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pivotTables/pivotTable1.xml" ContentType="application/vnd.openxmlformats-officedocument.spreadsheetml.pivotTable+xml"/>
  <Override PartName="/xl/comments6.xml" ContentType="application/vnd.openxmlformats-officedocument.spreadsheetml.comments+xml"/>
  <Override PartName="/xl/drawings/drawing1.xml" ContentType="application/vnd.openxmlformats-officedocument.drawing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8\"/>
    </mc:Choice>
  </mc:AlternateContent>
  <bookViews>
    <workbookView xWindow="0" yWindow="0" windowWidth="20160" windowHeight="7650" firstSheet="6" activeTab="14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3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_Surf" sheetId="23" r:id="rId13"/>
    <sheet name="Feuil1" sheetId="34" r:id="rId14"/>
    <sheet name="Parcellaire" sheetId="7" r:id="rId15"/>
    <sheet name="fonctionnement trp" sheetId="27" r:id="rId16"/>
  </sheets>
  <externalReferences>
    <externalReference r:id="rId17"/>
  </externalReferences>
  <calcPr calcId="162913"/>
  <pivotCaches>
    <pivotCache cacheId="107" r:id="rId18"/>
  </pivotCaches>
</workbook>
</file>

<file path=xl/calcChain.xml><?xml version="1.0" encoding="utf-8"?>
<calcChain xmlns="http://schemas.openxmlformats.org/spreadsheetml/2006/main">
  <c r="AV5" i="29" l="1"/>
  <c r="AW5" i="29"/>
  <c r="AX5" i="29"/>
  <c r="AY5" i="29"/>
  <c r="AZ5" i="29"/>
  <c r="BD5" i="29"/>
  <c r="BE5" i="29" s="1"/>
  <c r="BF5" i="29" s="1"/>
  <c r="AV6" i="29"/>
  <c r="AW6" i="29"/>
  <c r="BD6" i="29" s="1"/>
  <c r="AX6" i="29"/>
  <c r="AY6" i="29"/>
  <c r="AZ6" i="29"/>
  <c r="BE6" i="29"/>
  <c r="BF6" i="29" s="1"/>
  <c r="AV7" i="29"/>
  <c r="AW7" i="29"/>
  <c r="BK7" i="29" s="1"/>
  <c r="AX7" i="29"/>
  <c r="AY7" i="29"/>
  <c r="AZ7" i="29"/>
  <c r="BD7" i="29"/>
  <c r="BE7" i="29" s="1"/>
  <c r="BF7" i="29" s="1"/>
  <c r="BG7" i="29"/>
  <c r="BH7" i="29"/>
  <c r="BI7" i="29"/>
  <c r="BJ7" i="29"/>
  <c r="BL7" i="29"/>
  <c r="AV8" i="29"/>
  <c r="AW8" i="29"/>
  <c r="AX8" i="29"/>
  <c r="AY8" i="29"/>
  <c r="AZ8" i="29"/>
  <c r="AV9" i="29"/>
  <c r="AW9" i="29"/>
  <c r="AX9" i="29"/>
  <c r="AY9" i="29"/>
  <c r="BD9" i="29" s="1"/>
  <c r="BE9" i="29" s="1"/>
  <c r="BF9" i="29" s="1"/>
  <c r="AZ9" i="29"/>
  <c r="AV10" i="29"/>
  <c r="AW10" i="29"/>
  <c r="AX10" i="29"/>
  <c r="AY10" i="29"/>
  <c r="BD10" i="29" s="1"/>
  <c r="BE10" i="29" s="1"/>
  <c r="BF10" i="29" s="1"/>
  <c r="AZ10" i="29"/>
  <c r="AV11" i="29"/>
  <c r="AW11" i="29"/>
  <c r="AX11" i="29"/>
  <c r="AY11" i="29"/>
  <c r="AZ11" i="29"/>
  <c r="AV12" i="29"/>
  <c r="AW12" i="29"/>
  <c r="AX12" i="29"/>
  <c r="AY12" i="29"/>
  <c r="AZ12" i="29"/>
  <c r="BD12" i="29"/>
  <c r="BE12" i="29" s="1"/>
  <c r="BF12" i="29" s="1"/>
  <c r="BL12" i="29" s="1"/>
  <c r="AV13" i="29"/>
  <c r="AW13" i="29"/>
  <c r="AX13" i="29"/>
  <c r="AY13" i="29"/>
  <c r="AZ13" i="29"/>
  <c r="BD13" i="29"/>
  <c r="BE13" i="29" s="1"/>
  <c r="BF13" i="29" s="1"/>
  <c r="AV14" i="29"/>
  <c r="AW14" i="29"/>
  <c r="BD14" i="29" s="1"/>
  <c r="BE14" i="29" s="1"/>
  <c r="BF14" i="29" s="1"/>
  <c r="AX14" i="29"/>
  <c r="AY14" i="29"/>
  <c r="AZ14" i="29"/>
  <c r="AV15" i="29"/>
  <c r="AW15" i="29"/>
  <c r="AX15" i="29"/>
  <c r="AY15" i="29"/>
  <c r="AZ15" i="29"/>
  <c r="BD15" i="29"/>
  <c r="BE15" i="29" s="1"/>
  <c r="BF15" i="29" s="1"/>
  <c r="AV16" i="29"/>
  <c r="AW16" i="29"/>
  <c r="AX16" i="29"/>
  <c r="AY16" i="29"/>
  <c r="AZ16" i="29"/>
  <c r="AV17" i="29"/>
  <c r="AW17" i="29"/>
  <c r="AX17" i="29"/>
  <c r="AY17" i="29"/>
  <c r="BD17" i="29" s="1"/>
  <c r="BE17" i="29" s="1"/>
  <c r="BF17" i="29" s="1"/>
  <c r="AZ17" i="29"/>
  <c r="AV18" i="29"/>
  <c r="AW18" i="29"/>
  <c r="AX18" i="29"/>
  <c r="AY18" i="29"/>
  <c r="BD18" i="29" s="1"/>
  <c r="BE18" i="29" s="1"/>
  <c r="BF18" i="29" s="1"/>
  <c r="AZ18" i="29"/>
  <c r="AV19" i="29"/>
  <c r="AW19" i="29"/>
  <c r="AX19" i="29"/>
  <c r="AY19" i="29"/>
  <c r="AZ19" i="29"/>
  <c r="AV20" i="29"/>
  <c r="AW20" i="29"/>
  <c r="AX20" i="29"/>
  <c r="AY20" i="29"/>
  <c r="AZ20" i="29"/>
  <c r="BD20" i="29"/>
  <c r="BE20" i="29" s="1"/>
  <c r="BF20" i="29" s="1"/>
  <c r="BL20" i="29" s="1"/>
  <c r="AV21" i="29"/>
  <c r="AW21" i="29"/>
  <c r="AX21" i="29"/>
  <c r="AY21" i="29"/>
  <c r="AZ21" i="29"/>
  <c r="BD21" i="29"/>
  <c r="BE21" i="29" s="1"/>
  <c r="BF21" i="29" s="1"/>
  <c r="AV22" i="29"/>
  <c r="AW22" i="29"/>
  <c r="BD22" i="29" s="1"/>
  <c r="BE22" i="29" s="1"/>
  <c r="BF22" i="29" s="1"/>
  <c r="AX22" i="29"/>
  <c r="AY22" i="29"/>
  <c r="AZ22" i="29"/>
  <c r="AV23" i="29"/>
  <c r="AW23" i="29"/>
  <c r="AX23" i="29"/>
  <c r="AY23" i="29"/>
  <c r="AZ23" i="29"/>
  <c r="BD23" i="29"/>
  <c r="BE23" i="29" s="1"/>
  <c r="BF23" i="29" s="1"/>
  <c r="AV24" i="29"/>
  <c r="AW24" i="29"/>
  <c r="AX24" i="29"/>
  <c r="AY24" i="29"/>
  <c r="AZ24" i="29"/>
  <c r="AV25" i="29"/>
  <c r="AW25" i="29"/>
  <c r="AX25" i="29"/>
  <c r="AY25" i="29"/>
  <c r="BD25" i="29" s="1"/>
  <c r="BE25" i="29" s="1"/>
  <c r="BF25" i="29" s="1"/>
  <c r="AZ25" i="29"/>
  <c r="AV26" i="29"/>
  <c r="AW26" i="29"/>
  <c r="BD26" i="29" s="1"/>
  <c r="BE26" i="29" s="1"/>
  <c r="BF26" i="29" s="1"/>
  <c r="AX26" i="29"/>
  <c r="AY26" i="29"/>
  <c r="AZ26" i="29"/>
  <c r="BA26" i="29"/>
  <c r="BB26" i="29"/>
  <c r="BC26" i="29"/>
  <c r="BG26" i="29"/>
  <c r="BH26" i="29"/>
  <c r="BI26" i="29"/>
  <c r="BJ26" i="29"/>
  <c r="BK26" i="29"/>
  <c r="BL26" i="29"/>
  <c r="AV27" i="29"/>
  <c r="AW27" i="29"/>
  <c r="BG27" i="29" s="1"/>
  <c r="AX27" i="29"/>
  <c r="AY27" i="29"/>
  <c r="AZ27" i="29"/>
  <c r="BA27" i="29"/>
  <c r="BB27" i="29"/>
  <c r="BC27" i="29"/>
  <c r="AV28" i="29"/>
  <c r="AW28" i="29"/>
  <c r="BG28" i="29" s="1"/>
  <c r="AX28" i="29"/>
  <c r="AY28" i="29"/>
  <c r="AZ28" i="29"/>
  <c r="BA28" i="29"/>
  <c r="BB28" i="29"/>
  <c r="BC28" i="29"/>
  <c r="BD28" i="29"/>
  <c r="BE28" i="29" s="1"/>
  <c r="BF28" i="29" s="1"/>
  <c r="BL28" i="29"/>
  <c r="AV29" i="29"/>
  <c r="AW29" i="29"/>
  <c r="AX29" i="29"/>
  <c r="AY29" i="29"/>
  <c r="AZ29" i="29"/>
  <c r="BA29" i="29"/>
  <c r="BB29" i="29"/>
  <c r="BC29" i="29"/>
  <c r="BD29" i="29"/>
  <c r="BE29" i="29" s="1"/>
  <c r="BF29" i="29" s="1"/>
  <c r="BG29" i="29"/>
  <c r="BH29" i="29"/>
  <c r="BI29" i="29"/>
  <c r="BJ29" i="29"/>
  <c r="BK29" i="29"/>
  <c r="BL29" i="29"/>
  <c r="AV30" i="29"/>
  <c r="AW30" i="29"/>
  <c r="BD30" i="29" s="1"/>
  <c r="BE30" i="29" s="1"/>
  <c r="BF30" i="29" s="1"/>
  <c r="AX30" i="29"/>
  <c r="AY30" i="29"/>
  <c r="AZ30" i="29"/>
  <c r="BA30" i="29"/>
  <c r="BB30" i="29"/>
  <c r="BC30" i="29"/>
  <c r="BG30" i="29"/>
  <c r="BJ30" i="29"/>
  <c r="BK30" i="29"/>
  <c r="BK22" i="29" l="1"/>
  <c r="BJ22" i="29"/>
  <c r="BG18" i="29"/>
  <c r="BI18" i="29"/>
  <c r="BJ18" i="29"/>
  <c r="BK18" i="29"/>
  <c r="BL18" i="29"/>
  <c r="BI17" i="29"/>
  <c r="BJ17" i="29"/>
  <c r="BK17" i="29"/>
  <c r="BL17" i="29"/>
  <c r="BG17" i="29"/>
  <c r="BJ23" i="29"/>
  <c r="BK23" i="29"/>
  <c r="BL23" i="29"/>
  <c r="BI23" i="29"/>
  <c r="BH23" i="29"/>
  <c r="BL21" i="29"/>
  <c r="BK21" i="29"/>
  <c r="BG21" i="29"/>
  <c r="BH21" i="29"/>
  <c r="BJ21" i="29"/>
  <c r="BG20" i="29"/>
  <c r="BK14" i="29"/>
  <c r="BG14" i="29"/>
  <c r="BJ14" i="29"/>
  <c r="BG10" i="29"/>
  <c r="BI10" i="29"/>
  <c r="BJ10" i="29"/>
  <c r="BK10" i="29"/>
  <c r="BL10" i="29"/>
  <c r="BH9" i="29"/>
  <c r="BJ9" i="29"/>
  <c r="BK9" i="29"/>
  <c r="BL9" i="29"/>
  <c r="BG9" i="29"/>
  <c r="BJ15" i="29"/>
  <c r="BK15" i="29"/>
  <c r="BL15" i="29"/>
  <c r="BG15" i="29"/>
  <c r="BI15" i="29"/>
  <c r="BH25" i="29"/>
  <c r="BJ25" i="29"/>
  <c r="BK25" i="29"/>
  <c r="BL25" i="29"/>
  <c r="BG25" i="29"/>
  <c r="BL13" i="29"/>
  <c r="BK13" i="29"/>
  <c r="BG13" i="29"/>
  <c r="BI13" i="29"/>
  <c r="BJ13" i="29"/>
  <c r="BG12" i="29"/>
  <c r="BK6" i="29"/>
  <c r="BG6" i="29"/>
  <c r="BH6" i="29"/>
  <c r="BJ6" i="29"/>
  <c r="BI6" i="29"/>
  <c r="BL5" i="29"/>
  <c r="BG5" i="29"/>
  <c r="BH5" i="29"/>
  <c r="BK5" i="29"/>
  <c r="BJ5" i="29"/>
  <c r="BI30" i="29"/>
  <c r="BK28" i="29"/>
  <c r="BL27" i="29"/>
  <c r="BD27" i="29"/>
  <c r="BE27" i="29" s="1"/>
  <c r="BF27" i="29" s="1"/>
  <c r="BI22" i="29"/>
  <c r="BK20" i="29"/>
  <c r="BD19" i="29"/>
  <c r="BE19" i="29" s="1"/>
  <c r="BF19" i="29" s="1"/>
  <c r="BJ19" i="29" s="1"/>
  <c r="BI14" i="29"/>
  <c r="BK12" i="29"/>
  <c r="BD11" i="29"/>
  <c r="BE11" i="29" s="1"/>
  <c r="BF11" i="29" s="1"/>
  <c r="BL11" i="29" s="1"/>
  <c r="BH30" i="29"/>
  <c r="BJ28" i="29"/>
  <c r="BK27" i="29"/>
  <c r="BH22" i="29"/>
  <c r="BJ20" i="29"/>
  <c r="BJ12" i="29"/>
  <c r="BI28" i="29"/>
  <c r="BJ27" i="29"/>
  <c r="BI20" i="29"/>
  <c r="BI12" i="29"/>
  <c r="BH28" i="29"/>
  <c r="BI27" i="29"/>
  <c r="BD24" i="29"/>
  <c r="BE24" i="29" s="1"/>
  <c r="BF24" i="29" s="1"/>
  <c r="BG24" i="29" s="1"/>
  <c r="BD16" i="29"/>
  <c r="BE16" i="29" s="1"/>
  <c r="BF16" i="29" s="1"/>
  <c r="BJ16" i="29" s="1"/>
  <c r="BD8" i="29"/>
  <c r="BE8" i="29" s="1"/>
  <c r="BF8" i="29" s="1"/>
  <c r="BJ8" i="29" s="1"/>
  <c r="BH27" i="29"/>
  <c r="BL30" i="29"/>
  <c r="BL22" i="29"/>
  <c r="BL14" i="29"/>
  <c r="BL6" i="29"/>
  <c r="BK8" i="29" l="1"/>
  <c r="BJ24" i="29"/>
  <c r="BK16" i="29"/>
  <c r="BK11" i="29"/>
  <c r="BL24" i="29"/>
  <c r="BL8" i="29"/>
  <c r="BI11" i="29"/>
  <c r="BG16" i="29"/>
  <c r="BG11" i="29"/>
  <c r="BL19" i="29"/>
  <c r="BI16" i="29"/>
  <c r="BJ11" i="29"/>
  <c r="BG8" i="29"/>
  <c r="BG19" i="29"/>
  <c r="BL16" i="29"/>
  <c r="BK19" i="29"/>
  <c r="BK24" i="29"/>
  <c r="BI19" i="29"/>
  <c r="BH8" i="29"/>
  <c r="BH24" i="29"/>
  <c r="C297" i="33" l="1"/>
  <c r="C295" i="33"/>
  <c r="C296" i="33"/>
  <c r="C302" i="33" l="1"/>
  <c r="AD29" i="29"/>
  <c r="AD28" i="29"/>
  <c r="B202" i="18"/>
  <c r="C202" i="18"/>
  <c r="D202" i="18"/>
  <c r="E202" i="18"/>
  <c r="F202" i="18"/>
  <c r="G202" i="18"/>
  <c r="H202" i="18"/>
  <c r="I202" i="18"/>
  <c r="J202" i="18"/>
  <c r="K202" i="18"/>
  <c r="L202" i="18"/>
  <c r="T202" i="18"/>
  <c r="U202" i="18"/>
  <c r="V202" i="18"/>
  <c r="W202" i="18"/>
  <c r="X202" i="18"/>
  <c r="Y202" i="18"/>
  <c r="B203" i="18"/>
  <c r="C203" i="18"/>
  <c r="D203" i="18"/>
  <c r="E203" i="18"/>
  <c r="F203" i="18"/>
  <c r="G203" i="18"/>
  <c r="H203" i="18"/>
  <c r="I203" i="18"/>
  <c r="J203" i="18"/>
  <c r="K203" i="18"/>
  <c r="L203" i="18"/>
  <c r="M203" i="18"/>
  <c r="N203" i="18"/>
  <c r="O203" i="18"/>
  <c r="P203" i="18"/>
  <c r="Q203" i="18"/>
  <c r="R203" i="18"/>
  <c r="S203" i="18"/>
  <c r="T203" i="18"/>
  <c r="U203" i="18"/>
  <c r="V203" i="18"/>
  <c r="W203" i="18"/>
  <c r="X203" i="18"/>
  <c r="Y203" i="18"/>
  <c r="B204" i="18"/>
  <c r="C204" i="18"/>
  <c r="D204" i="18"/>
  <c r="E204" i="18"/>
  <c r="F204" i="18"/>
  <c r="G204" i="18"/>
  <c r="H204" i="18"/>
  <c r="I204" i="18"/>
  <c r="J204" i="18"/>
  <c r="K204" i="18"/>
  <c r="L204" i="18"/>
  <c r="M204" i="18"/>
  <c r="N204" i="18"/>
  <c r="O204" i="18"/>
  <c r="P204" i="18"/>
  <c r="Q204" i="18"/>
  <c r="R204" i="18"/>
  <c r="S204" i="18"/>
  <c r="T204" i="18"/>
  <c r="U204" i="18"/>
  <c r="V204" i="18"/>
  <c r="W204" i="18"/>
  <c r="X204" i="18"/>
  <c r="Y204" i="18"/>
  <c r="B205" i="18"/>
  <c r="C205" i="18"/>
  <c r="D205" i="18"/>
  <c r="E205" i="18"/>
  <c r="F205" i="18"/>
  <c r="G205" i="18"/>
  <c r="H205" i="18"/>
  <c r="I205" i="18"/>
  <c r="J205" i="18"/>
  <c r="K205" i="18"/>
  <c r="L205" i="18"/>
  <c r="M205" i="18"/>
  <c r="N205" i="18"/>
  <c r="O205" i="18"/>
  <c r="P205" i="18"/>
  <c r="Q205" i="18"/>
  <c r="R205" i="18"/>
  <c r="S205" i="18"/>
  <c r="T205" i="18"/>
  <c r="U205" i="18"/>
  <c r="V205" i="18"/>
  <c r="W205" i="18"/>
  <c r="X205" i="18"/>
  <c r="Y205" i="18"/>
  <c r="B206" i="18"/>
  <c r="C206" i="18"/>
  <c r="D206" i="18"/>
  <c r="E206" i="18"/>
  <c r="F206" i="18"/>
  <c r="G206" i="18"/>
  <c r="H206" i="18"/>
  <c r="I206" i="18"/>
  <c r="J206" i="18"/>
  <c r="K206" i="18"/>
  <c r="L206" i="18"/>
  <c r="M206" i="18"/>
  <c r="N206" i="18"/>
  <c r="O206" i="18"/>
  <c r="P206" i="18"/>
  <c r="Q206" i="18"/>
  <c r="R206" i="18"/>
  <c r="S206" i="18"/>
  <c r="T206" i="18"/>
  <c r="U206" i="18"/>
  <c r="V206" i="18"/>
  <c r="W206" i="18"/>
  <c r="X206" i="18"/>
  <c r="Y206" i="18"/>
  <c r="B207" i="18"/>
  <c r="C207" i="18"/>
  <c r="D207" i="18"/>
  <c r="E207" i="18"/>
  <c r="F207" i="18"/>
  <c r="G207" i="18"/>
  <c r="H207" i="18"/>
  <c r="I207" i="18"/>
  <c r="J207" i="18"/>
  <c r="K207" i="18"/>
  <c r="L207" i="18"/>
  <c r="M207" i="18"/>
  <c r="N207" i="18"/>
  <c r="O207" i="18"/>
  <c r="P207" i="18"/>
  <c r="Q207" i="18"/>
  <c r="R207" i="18"/>
  <c r="S207" i="18"/>
  <c r="T207" i="18"/>
  <c r="U207" i="18"/>
  <c r="V207" i="18"/>
  <c r="W207" i="18"/>
  <c r="X207" i="18"/>
  <c r="Y207" i="18"/>
  <c r="B208" i="18"/>
  <c r="C208" i="18"/>
  <c r="D208" i="18"/>
  <c r="E208" i="18"/>
  <c r="F208" i="18"/>
  <c r="G208" i="18"/>
  <c r="H208" i="18"/>
  <c r="I208" i="18"/>
  <c r="J208" i="18"/>
  <c r="K208" i="18"/>
  <c r="L208" i="18"/>
  <c r="M208" i="18"/>
  <c r="N208" i="18"/>
  <c r="O208" i="18"/>
  <c r="P208" i="18"/>
  <c r="Q208" i="18"/>
  <c r="R208" i="18"/>
  <c r="S208" i="18"/>
  <c r="T208" i="18"/>
  <c r="U208" i="18"/>
  <c r="V208" i="18"/>
  <c r="W208" i="18"/>
  <c r="X208" i="18"/>
  <c r="Y208" i="18"/>
  <c r="B209" i="18"/>
  <c r="C209" i="18"/>
  <c r="D209" i="18"/>
  <c r="E209" i="18"/>
  <c r="F209" i="18"/>
  <c r="G209" i="18"/>
  <c r="H209" i="18"/>
  <c r="I209" i="18"/>
  <c r="J209" i="18"/>
  <c r="K209" i="18"/>
  <c r="L209" i="18"/>
  <c r="M209" i="18"/>
  <c r="N209" i="18"/>
  <c r="O209" i="18"/>
  <c r="P209" i="18"/>
  <c r="Q209" i="18"/>
  <c r="R209" i="18"/>
  <c r="S209" i="18"/>
  <c r="T209" i="18"/>
  <c r="U209" i="18"/>
  <c r="V209" i="18"/>
  <c r="W209" i="18"/>
  <c r="X209" i="18"/>
  <c r="Y209" i="18"/>
  <c r="B210" i="18"/>
  <c r="C210" i="18"/>
  <c r="D210" i="18"/>
  <c r="E210" i="18"/>
  <c r="F210" i="18"/>
  <c r="G210" i="18"/>
  <c r="H210" i="18"/>
  <c r="I210" i="18"/>
  <c r="J210" i="18"/>
  <c r="K210" i="18"/>
  <c r="L210" i="18"/>
  <c r="M210" i="18"/>
  <c r="N210" i="18"/>
  <c r="O210" i="18"/>
  <c r="P210" i="18"/>
  <c r="Q210" i="18"/>
  <c r="R210" i="18"/>
  <c r="S210" i="18"/>
  <c r="T210" i="18"/>
  <c r="U210" i="18"/>
  <c r="V210" i="18"/>
  <c r="W210" i="18"/>
  <c r="X210" i="18"/>
  <c r="Y210" i="18"/>
  <c r="C201" i="18"/>
  <c r="D201" i="18"/>
  <c r="E201" i="18"/>
  <c r="F201" i="18"/>
  <c r="G201" i="18"/>
  <c r="H201" i="18"/>
  <c r="I201" i="18"/>
  <c r="J201" i="18"/>
  <c r="K201" i="18"/>
  <c r="L201" i="18"/>
  <c r="T201" i="18"/>
  <c r="U201" i="18"/>
  <c r="V201" i="18"/>
  <c r="W201" i="18"/>
  <c r="X201" i="18"/>
  <c r="Y201" i="18"/>
  <c r="B201" i="18"/>
  <c r="K3" i="7"/>
  <c r="L3" i="7" s="1"/>
  <c r="M3" i="7" s="1"/>
  <c r="N3" i="7"/>
  <c r="K4" i="7"/>
  <c r="L4" i="7" s="1"/>
  <c r="M4" i="7" s="1"/>
  <c r="N4" i="7"/>
  <c r="K5" i="7"/>
  <c r="L5" i="7" s="1"/>
  <c r="M5" i="7" s="1"/>
  <c r="N5" i="7"/>
  <c r="K6" i="7"/>
  <c r="L6" i="7" s="1"/>
  <c r="M6" i="7" s="1"/>
  <c r="N6" i="7"/>
  <c r="K7" i="7"/>
  <c r="L7" i="7" s="1"/>
  <c r="M7" i="7" s="1"/>
  <c r="N7" i="7"/>
  <c r="K8" i="7"/>
  <c r="L8" i="7" s="1"/>
  <c r="M8" i="7" s="1"/>
  <c r="N8" i="7"/>
  <c r="K9" i="7"/>
  <c r="L9" i="7" s="1"/>
  <c r="M9" i="7" s="1"/>
  <c r="N9" i="7"/>
  <c r="K10" i="7"/>
  <c r="L10" i="7" s="1"/>
  <c r="M10" i="7" s="1"/>
  <c r="N10" i="7"/>
  <c r="K11" i="7"/>
  <c r="L11" i="7" s="1"/>
  <c r="M11" i="7" s="1"/>
  <c r="N11" i="7"/>
  <c r="K12" i="7"/>
  <c r="L12" i="7" s="1"/>
  <c r="M12" i="7" s="1"/>
  <c r="N12" i="7"/>
  <c r="K13" i="7"/>
  <c r="L13" i="7" s="1"/>
  <c r="M13" i="7" s="1"/>
  <c r="N13" i="7"/>
  <c r="K14" i="7"/>
  <c r="L14" i="7" s="1"/>
  <c r="M14" i="7" s="1"/>
  <c r="N14" i="7"/>
  <c r="K15" i="7"/>
  <c r="L15" i="7" s="1"/>
  <c r="M15" i="7" s="1"/>
  <c r="N15" i="7"/>
  <c r="K16" i="7"/>
  <c r="L16" i="7" s="1"/>
  <c r="M16" i="7" s="1"/>
  <c r="N16" i="7"/>
  <c r="K17" i="7"/>
  <c r="L17" i="7" s="1"/>
  <c r="M17" i="7" s="1"/>
  <c r="N17" i="7"/>
  <c r="K18" i="7"/>
  <c r="L18" i="7" s="1"/>
  <c r="M18" i="7" s="1"/>
  <c r="N18" i="7"/>
  <c r="K19" i="7"/>
  <c r="L19" i="7" s="1"/>
  <c r="M19" i="7" s="1"/>
  <c r="N19" i="7"/>
  <c r="K20" i="7"/>
  <c r="L20" i="7" s="1"/>
  <c r="M20" i="7" s="1"/>
  <c r="N20" i="7"/>
  <c r="K21" i="7"/>
  <c r="L21" i="7" s="1"/>
  <c r="M21" i="7" s="1"/>
  <c r="N21" i="7"/>
  <c r="K22" i="7"/>
  <c r="L22" i="7" s="1"/>
  <c r="M22" i="7" s="1"/>
  <c r="N22" i="7"/>
  <c r="K23" i="7"/>
  <c r="L23" i="7" s="1"/>
  <c r="M23" i="7" s="1"/>
  <c r="N23" i="7"/>
  <c r="K24" i="7"/>
  <c r="L24" i="7" s="1"/>
  <c r="M24" i="7" s="1"/>
  <c r="N24" i="7"/>
  <c r="K2" i="7"/>
  <c r="AF4" i="24" l="1"/>
  <c r="AF4" i="18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C155" i="31"/>
  <c r="C154" i="31"/>
  <c r="C153" i="31"/>
  <c r="C152" i="31"/>
  <c r="C151" i="31"/>
  <c r="C150" i="31"/>
  <c r="C149" i="31"/>
  <c r="AA134" i="31"/>
  <c r="Y134" i="31"/>
  <c r="W134" i="31"/>
  <c r="AI145" i="31"/>
  <c r="AH145" i="31"/>
  <c r="AI142" i="31"/>
  <c r="AH142" i="31"/>
  <c r="AI139" i="31"/>
  <c r="AH139" i="31"/>
  <c r="AI136" i="31"/>
  <c r="AH136" i="31"/>
  <c r="AI133" i="31"/>
  <c r="AH133" i="31"/>
  <c r="AI130" i="31"/>
  <c r="AH130" i="31"/>
  <c r="AI127" i="31"/>
  <c r="AH127" i="31"/>
  <c r="D138" i="31"/>
  <c r="D137" i="31"/>
  <c r="D136" i="31"/>
  <c r="D135" i="31"/>
  <c r="D134" i="31"/>
  <c r="D133" i="31"/>
  <c r="D132" i="31"/>
  <c r="D131" i="31"/>
  <c r="D130" i="31"/>
  <c r="D129" i="31"/>
  <c r="D128" i="31"/>
  <c r="D127" i="31"/>
  <c r="D126" i="31"/>
  <c r="D125" i="31"/>
  <c r="D124" i="31"/>
  <c r="D123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Y209" i="33"/>
  <c r="K206" i="33"/>
  <c r="U199" i="33"/>
  <c r="U198" i="33"/>
  <c r="O199" i="33"/>
  <c r="O198" i="33"/>
  <c r="H200" i="33"/>
  <c r="H199" i="33"/>
  <c r="H198" i="33"/>
  <c r="AN191" i="33"/>
  <c r="AN190" i="33"/>
  <c r="W247" i="31"/>
  <c r="W246" i="31"/>
  <c r="C167" i="31"/>
  <c r="C166" i="31"/>
  <c r="C161" i="31"/>
  <c r="C160" i="31"/>
  <c r="C159" i="31"/>
  <c r="C158" i="31"/>
  <c r="C119" i="31"/>
  <c r="C118" i="31"/>
  <c r="AC40" i="31"/>
  <c r="U41" i="31"/>
  <c r="U40" i="31"/>
  <c r="U39" i="31"/>
  <c r="C44" i="31"/>
  <c r="C43" i="31"/>
  <c r="C42" i="31"/>
  <c r="C40" i="31"/>
  <c r="C39" i="31"/>
  <c r="AJ38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F5" i="31" s="1"/>
  <c r="H5" i="31"/>
  <c r="G5" i="31"/>
  <c r="F87" i="30"/>
  <c r="L262" i="33"/>
  <c r="DD166" i="33"/>
  <c r="CA166" i="33"/>
  <c r="AU166" i="33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DD105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Y109" i="30"/>
  <c r="CX109" i="30"/>
  <c r="CW109" i="30"/>
  <c r="CV109" i="30"/>
  <c r="CU109" i="30"/>
  <c r="CT109" i="30"/>
  <c r="CS109" i="30"/>
  <c r="CR109" i="30"/>
  <c r="CQ109" i="30"/>
  <c r="CP109" i="30"/>
  <c r="CO109" i="30"/>
  <c r="CN109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CY108" i="30"/>
  <c r="CX108" i="30"/>
  <c r="CC108" i="30"/>
  <c r="CB108" i="30"/>
  <c r="CY106" i="30"/>
  <c r="CX106" i="30"/>
  <c r="CG106" i="30"/>
  <c r="CF106" i="30"/>
  <c r="CE106" i="30"/>
  <c r="CD106" i="30"/>
  <c r="CC106" i="30"/>
  <c r="CB106" i="30"/>
  <c r="CA105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E113" i="30"/>
  <c r="BD113" i="30"/>
  <c r="BC113" i="30"/>
  <c r="BB113" i="30"/>
  <c r="BA113" i="30"/>
  <c r="AZ113" i="30"/>
  <c r="AY113" i="30"/>
  <c r="AX113" i="30"/>
  <c r="AW113" i="30"/>
  <c r="AV113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AX112" i="30"/>
  <c r="AW112" i="30"/>
  <c r="AV112" i="30"/>
  <c r="BS111" i="30"/>
  <c r="BR111" i="30"/>
  <c r="BQ111" i="30"/>
  <c r="BP111" i="30"/>
  <c r="BO111" i="30"/>
  <c r="BN111" i="30"/>
  <c r="BM111" i="30"/>
  <c r="BL111" i="30"/>
  <c r="BK111" i="30"/>
  <c r="BJ111" i="30"/>
  <c r="BI111" i="30"/>
  <c r="BH111" i="30"/>
  <c r="BG111" i="30"/>
  <c r="BF111" i="30"/>
  <c r="BE111" i="30"/>
  <c r="BD111" i="30"/>
  <c r="BC111" i="30"/>
  <c r="BB111" i="30"/>
  <c r="BA111" i="30"/>
  <c r="AZ111" i="30"/>
  <c r="AY111" i="30"/>
  <c r="AX111" i="30"/>
  <c r="AW111" i="30"/>
  <c r="AV111" i="30"/>
  <c r="BS110" i="30"/>
  <c r="BR110" i="30"/>
  <c r="BQ110" i="30"/>
  <c r="BP110" i="30"/>
  <c r="BO110" i="30"/>
  <c r="BN110" i="30"/>
  <c r="BM110" i="30"/>
  <c r="BL110" i="30"/>
  <c r="BK110" i="30"/>
  <c r="BJ110" i="30"/>
  <c r="BI110" i="30"/>
  <c r="BH110" i="30"/>
  <c r="BG110" i="30"/>
  <c r="BF110" i="30"/>
  <c r="BE110" i="30"/>
  <c r="BD110" i="30"/>
  <c r="BC110" i="30"/>
  <c r="BB110" i="30"/>
  <c r="BA110" i="30"/>
  <c r="AZ110" i="30"/>
  <c r="AY110" i="30"/>
  <c r="AX110" i="30"/>
  <c r="AW110" i="30"/>
  <c r="AV110" i="30"/>
  <c r="BS106" i="30"/>
  <c r="BR106" i="30"/>
  <c r="BQ106" i="30"/>
  <c r="BP106" i="30"/>
  <c r="AX106" i="30"/>
  <c r="AW106" i="30"/>
  <c r="AV106" i="30"/>
  <c r="AU105" i="30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CS87" i="30"/>
  <c r="CR87" i="30"/>
  <c r="CQ87" i="30"/>
  <c r="CP87" i="30"/>
  <c r="CO87" i="30"/>
  <c r="CN87" i="30"/>
  <c r="CM87" i="30"/>
  <c r="CL87" i="30"/>
  <c r="CS86" i="30"/>
  <c r="CR86" i="30"/>
  <c r="CQ86" i="30"/>
  <c r="CP86" i="30"/>
  <c r="CO86" i="30"/>
  <c r="CN86" i="30"/>
  <c r="CM86" i="30"/>
  <c r="CL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D17" i="30"/>
  <c r="AN231" i="33"/>
  <c r="AV231" i="33"/>
  <c r="AU231" i="33"/>
  <c r="AV228" i="33"/>
  <c r="AU228" i="33"/>
  <c r="AN227" i="33"/>
  <c r="AN226" i="33"/>
  <c r="AN225" i="33"/>
  <c r="AN224" i="33"/>
  <c r="AM224" i="33"/>
  <c r="W275" i="31"/>
  <c r="AA260" i="31"/>
  <c r="AA259" i="31"/>
  <c r="AA258" i="31"/>
  <c r="AA257" i="31"/>
  <c r="AA256" i="31"/>
  <c r="W240" i="31"/>
  <c r="AE240" i="31"/>
  <c r="AD240" i="31"/>
  <c r="AE237" i="31"/>
  <c r="AD237" i="31"/>
  <c r="W236" i="31"/>
  <c r="W235" i="31"/>
  <c r="W234" i="31"/>
  <c r="W233" i="31"/>
  <c r="V233" i="31"/>
  <c r="C84" i="30"/>
  <c r="C83" i="30"/>
  <c r="C81" i="30"/>
  <c r="AD73" i="30"/>
  <c r="AC73" i="30"/>
  <c r="AB73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AD72" i="30"/>
  <c r="AC72" i="30"/>
  <c r="AB72" i="30"/>
  <c r="AA72" i="30"/>
  <c r="O72" i="30"/>
  <c r="N72" i="30"/>
  <c r="M72" i="30"/>
  <c r="L72" i="30"/>
  <c r="K72" i="30"/>
  <c r="J72" i="30"/>
  <c r="I72" i="30"/>
  <c r="H72" i="30"/>
  <c r="G72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V31" i="29"/>
  <c r="L31" i="29"/>
  <c r="K31" i="29"/>
  <c r="I31" i="29"/>
  <c r="C31" i="29"/>
  <c r="Z30" i="29"/>
  <c r="Y30" i="29"/>
  <c r="V30" i="29"/>
  <c r="L30" i="29"/>
  <c r="K30" i="29"/>
  <c r="I30" i="29"/>
  <c r="D30" i="29"/>
  <c r="C30" i="29"/>
  <c r="Z29" i="29"/>
  <c r="Y29" i="29"/>
  <c r="V29" i="29"/>
  <c r="L29" i="29"/>
  <c r="K29" i="29"/>
  <c r="I29" i="29"/>
  <c r="D29" i="29"/>
  <c r="C29" i="29"/>
  <c r="C10" i="29"/>
  <c r="K9" i="29"/>
  <c r="J9" i="29"/>
  <c r="I9" i="29"/>
  <c r="F9" i="29"/>
  <c r="E9" i="29"/>
  <c r="D9" i="29"/>
  <c r="C9" i="29"/>
  <c r="K8" i="29"/>
  <c r="J8" i="29"/>
  <c r="I8" i="29"/>
  <c r="F8" i="29"/>
  <c r="E8" i="29"/>
  <c r="D8" i="29"/>
  <c r="C8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07" i="31"/>
  <c r="Y207" i="31"/>
  <c r="X207" i="31"/>
  <c r="Z206" i="31"/>
  <c r="Y206" i="31"/>
  <c r="X206" i="31"/>
  <c r="Z205" i="31"/>
  <c r="Y205" i="31"/>
  <c r="X205" i="31"/>
  <c r="Z204" i="31"/>
  <c r="Y204" i="31"/>
  <c r="X204" i="31"/>
  <c r="Z203" i="31"/>
  <c r="Y203" i="31"/>
  <c r="X203" i="31"/>
  <c r="Z202" i="31"/>
  <c r="Y202" i="31"/>
  <c r="X202" i="31"/>
  <c r="Z201" i="31"/>
  <c r="Y201" i="31"/>
  <c r="X201" i="31"/>
  <c r="Z200" i="31"/>
  <c r="Y200" i="31"/>
  <c r="X200" i="31"/>
  <c r="Z199" i="31"/>
  <c r="Y199" i="31"/>
  <c r="X199" i="31"/>
  <c r="Z198" i="31"/>
  <c r="Y198" i="31"/>
  <c r="X198" i="31"/>
  <c r="Z197" i="31"/>
  <c r="Y197" i="31"/>
  <c r="X197" i="31"/>
  <c r="Z196" i="31"/>
  <c r="Y196" i="31"/>
  <c r="X196" i="31"/>
  <c r="Z195" i="31"/>
  <c r="Y195" i="31"/>
  <c r="X195" i="31"/>
  <c r="Z194" i="31"/>
  <c r="Y194" i="31"/>
  <c r="X194" i="31"/>
  <c r="Z193" i="31"/>
  <c r="Y193" i="31"/>
  <c r="X193" i="31"/>
  <c r="Z185" i="31"/>
  <c r="Y185" i="31"/>
  <c r="X185" i="31"/>
  <c r="Z184" i="31"/>
  <c r="Y184" i="31"/>
  <c r="X184" i="31"/>
  <c r="Z183" i="31"/>
  <c r="Y183" i="31"/>
  <c r="X183" i="31"/>
  <c r="Z182" i="31"/>
  <c r="Y182" i="31"/>
  <c r="X182" i="31"/>
  <c r="Z181" i="31"/>
  <c r="Y181" i="31"/>
  <c r="X181" i="31"/>
  <c r="Z180" i="31"/>
  <c r="Y180" i="31"/>
  <c r="X180" i="31"/>
  <c r="Z179" i="31"/>
  <c r="Y179" i="31"/>
  <c r="X179" i="31"/>
  <c r="Z178" i="31"/>
  <c r="Y178" i="31"/>
  <c r="X178" i="31"/>
  <c r="Z177" i="31"/>
  <c r="Y177" i="31"/>
  <c r="X177" i="31"/>
  <c r="Z176" i="31"/>
  <c r="Y176" i="31"/>
  <c r="X176" i="31"/>
  <c r="Z175" i="31"/>
  <c r="Y175" i="31"/>
  <c r="X175" i="31"/>
  <c r="Z174" i="31"/>
  <c r="Y174" i="31"/>
  <c r="X174" i="31"/>
  <c r="Z173" i="31"/>
  <c r="Y173" i="31"/>
  <c r="X173" i="31"/>
  <c r="Z172" i="31"/>
  <c r="Y172" i="31"/>
  <c r="X172" i="31"/>
  <c r="Z171" i="31"/>
  <c r="Y171" i="31"/>
  <c r="X171" i="31"/>
  <c r="T207" i="31"/>
  <c r="T206" i="31"/>
  <c r="T205" i="31"/>
  <c r="T204" i="31"/>
  <c r="T203" i="31"/>
  <c r="T202" i="31"/>
  <c r="T201" i="31"/>
  <c r="T200" i="31"/>
  <c r="T199" i="31"/>
  <c r="T198" i="31"/>
  <c r="T197" i="31"/>
  <c r="T196" i="31"/>
  <c r="T195" i="31"/>
  <c r="T194" i="31"/>
  <c r="T193" i="31"/>
  <c r="T185" i="31"/>
  <c r="T184" i="31"/>
  <c r="T183" i="31"/>
  <c r="T182" i="31"/>
  <c r="T181" i="31"/>
  <c r="T180" i="31"/>
  <c r="T179" i="31"/>
  <c r="T178" i="31"/>
  <c r="T177" i="31"/>
  <c r="T176" i="31"/>
  <c r="T175" i="31"/>
  <c r="T174" i="31"/>
  <c r="T173" i="31"/>
  <c r="T172" i="31"/>
  <c r="T171" i="31"/>
  <c r="Z207" i="28"/>
  <c r="Y207" i="28"/>
  <c r="X207" i="28"/>
  <c r="Z206" i="28"/>
  <c r="Y206" i="28"/>
  <c r="X206" i="28"/>
  <c r="Z205" i="28"/>
  <c r="Y205" i="28"/>
  <c r="X205" i="28"/>
  <c r="Z204" i="28"/>
  <c r="Y204" i="28"/>
  <c r="X204" i="28"/>
  <c r="Z203" i="28"/>
  <c r="Y203" i="28"/>
  <c r="X203" i="28"/>
  <c r="Z202" i="28"/>
  <c r="Y202" i="28"/>
  <c r="X202" i="28"/>
  <c r="Z201" i="28"/>
  <c r="Y201" i="28"/>
  <c r="X201" i="28"/>
  <c r="Z200" i="28"/>
  <c r="Y200" i="28"/>
  <c r="X200" i="28"/>
  <c r="Z199" i="28"/>
  <c r="Y199" i="28"/>
  <c r="X199" i="28"/>
  <c r="Z198" i="28"/>
  <c r="Y198" i="28"/>
  <c r="X198" i="28"/>
  <c r="Z197" i="28"/>
  <c r="Y197" i="28"/>
  <c r="X197" i="28"/>
  <c r="Z196" i="28"/>
  <c r="Y196" i="28"/>
  <c r="X196" i="28"/>
  <c r="Z195" i="28"/>
  <c r="Y195" i="28"/>
  <c r="X195" i="28"/>
  <c r="Z194" i="28"/>
  <c r="Y194" i="28"/>
  <c r="X194" i="28"/>
  <c r="Z193" i="28"/>
  <c r="Y193" i="28"/>
  <c r="X193" i="28"/>
  <c r="Z185" i="28"/>
  <c r="Y185" i="28"/>
  <c r="X185" i="28"/>
  <c r="Z184" i="28"/>
  <c r="Y184" i="28"/>
  <c r="X184" i="28"/>
  <c r="Z183" i="28"/>
  <c r="Y183" i="28"/>
  <c r="X183" i="28"/>
  <c r="Z182" i="28"/>
  <c r="Y182" i="28"/>
  <c r="X182" i="28"/>
  <c r="Z181" i="28"/>
  <c r="Y181" i="28"/>
  <c r="X181" i="28"/>
  <c r="Z180" i="28"/>
  <c r="Y180" i="28"/>
  <c r="X180" i="28"/>
  <c r="Z179" i="28"/>
  <c r="Y179" i="28"/>
  <c r="X179" i="28"/>
  <c r="Z178" i="28"/>
  <c r="Y178" i="28"/>
  <c r="X178" i="28"/>
  <c r="Z177" i="28"/>
  <c r="Y177" i="28"/>
  <c r="X177" i="28"/>
  <c r="Z176" i="28"/>
  <c r="Y176" i="28"/>
  <c r="X176" i="28"/>
  <c r="Z175" i="28"/>
  <c r="Y175" i="28"/>
  <c r="X175" i="28"/>
  <c r="Z174" i="28"/>
  <c r="Y174" i="28"/>
  <c r="X174" i="28"/>
  <c r="Z173" i="28"/>
  <c r="Y173" i="28"/>
  <c r="X173" i="28"/>
  <c r="Z172" i="28"/>
  <c r="Y172" i="28"/>
  <c r="X172" i="28"/>
  <c r="Z171" i="28"/>
  <c r="Y171" i="28"/>
  <c r="X171" i="28"/>
  <c r="T207" i="28"/>
  <c r="T206" i="28"/>
  <c r="T205" i="28"/>
  <c r="T204" i="28"/>
  <c r="T203" i="28"/>
  <c r="T202" i="28"/>
  <c r="T201" i="28"/>
  <c r="T200" i="28"/>
  <c r="T199" i="28"/>
  <c r="T198" i="28"/>
  <c r="T197" i="28"/>
  <c r="T196" i="28"/>
  <c r="T195" i="28"/>
  <c r="T194" i="28"/>
  <c r="T193" i="28"/>
  <c r="T185" i="28"/>
  <c r="T184" i="28"/>
  <c r="T183" i="28"/>
  <c r="T182" i="28"/>
  <c r="T181" i="28"/>
  <c r="T180" i="28"/>
  <c r="T179" i="28"/>
  <c r="T178" i="28"/>
  <c r="T177" i="28"/>
  <c r="T176" i="28"/>
  <c r="T175" i="28"/>
  <c r="T174" i="28"/>
  <c r="T173" i="28"/>
  <c r="T172" i="28"/>
  <c r="T171" i="28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8"/>
  <c r="V32" i="28"/>
  <c r="V31" i="28"/>
  <c r="V30" i="28"/>
  <c r="V29" i="28"/>
  <c r="V28" i="28"/>
  <c r="V27" i="28"/>
  <c r="V26" i="28"/>
  <c r="V25" i="28"/>
  <c r="V24" i="28"/>
  <c r="CJ87" i="30" l="1"/>
  <c r="CH87" i="30"/>
  <c r="CH86" i="30"/>
  <c r="CJ86" i="30"/>
  <c r="CI86" i="30"/>
  <c r="CI87" i="30"/>
  <c r="CK86" i="30"/>
  <c r="CK87" i="30"/>
  <c r="CT86" i="30"/>
  <c r="CT87" i="30"/>
  <c r="CM107" i="30"/>
  <c r="CU86" i="30"/>
  <c r="CU87" i="30"/>
  <c r="CV86" i="30"/>
  <c r="CV87" i="30"/>
  <c r="CG86" i="30"/>
  <c r="CW86" i="30"/>
  <c r="CG87" i="30"/>
  <c r="CW87" i="30"/>
  <c r="BH106" i="30"/>
  <c r="CE108" i="30"/>
  <c r="CU108" i="30"/>
  <c r="CU107" i="30"/>
  <c r="AZ106" i="30"/>
  <c r="CU106" i="30"/>
  <c r="BA106" i="30"/>
  <c r="BI106" i="30"/>
  <c r="CV107" i="30"/>
  <c r="CF108" i="30"/>
  <c r="CV108" i="30"/>
  <c r="BB106" i="30"/>
  <c r="BJ106" i="30"/>
  <c r="CW107" i="30"/>
  <c r="CG108" i="30"/>
  <c r="CW108" i="30"/>
  <c r="BC106" i="30"/>
  <c r="BK106" i="30"/>
  <c r="CH106" i="30"/>
  <c r="CH107" i="30"/>
  <c r="CH108" i="30"/>
  <c r="CP108" i="30"/>
  <c r="BD106" i="30"/>
  <c r="BL106" i="30"/>
  <c r="CI107" i="30"/>
  <c r="CI108" i="30"/>
  <c r="CQ108" i="30"/>
  <c r="BE106" i="30"/>
  <c r="BM106" i="30"/>
  <c r="CJ106" i="30"/>
  <c r="CJ107" i="30"/>
  <c r="CJ108" i="30"/>
  <c r="CR108" i="30"/>
  <c r="BF106" i="30"/>
  <c r="BN106" i="30"/>
  <c r="CK106" i="30"/>
  <c r="CK107" i="30"/>
  <c r="CK108" i="30"/>
  <c r="AY106" i="30"/>
  <c r="BG106" i="30"/>
  <c r="BO106" i="30"/>
  <c r="CT106" i="30"/>
  <c r="CL107" i="30"/>
  <c r="CT107" i="30"/>
  <c r="CD108" i="30"/>
  <c r="CL108" i="30"/>
  <c r="R8" i="7"/>
  <c r="S8" i="7"/>
  <c r="BA10" i="29" s="1"/>
  <c r="U8" i="7"/>
  <c r="BC10" i="29" s="1"/>
  <c r="R9" i="7"/>
  <c r="S9" i="7"/>
  <c r="BA11" i="29" s="1"/>
  <c r="U9" i="7"/>
  <c r="BC11" i="29" s="1"/>
  <c r="S4" i="7" l="1"/>
  <c r="BA6" i="29" s="1"/>
  <c r="R4" i="7"/>
  <c r="B16" i="24" l="1"/>
  <c r="C16" i="24"/>
  <c r="D16" i="24"/>
  <c r="E16" i="24"/>
  <c r="F16" i="24"/>
  <c r="G16" i="24"/>
  <c r="H16" i="24"/>
  <c r="I16" i="24"/>
  <c r="J16" i="24"/>
  <c r="K16" i="24"/>
  <c r="L16" i="24"/>
  <c r="M16" i="24"/>
  <c r="N16" i="24"/>
  <c r="O16" i="24"/>
  <c r="P16" i="24"/>
  <c r="Q16" i="24"/>
  <c r="R16" i="24"/>
  <c r="S16" i="24"/>
  <c r="T16" i="24"/>
  <c r="U16" i="24"/>
  <c r="V16" i="24"/>
  <c r="W16" i="24"/>
  <c r="X16" i="24"/>
  <c r="Y16" i="24"/>
  <c r="B17" i="24"/>
  <c r="C17" i="24"/>
  <c r="D17" i="24"/>
  <c r="E17" i="24"/>
  <c r="F17" i="24"/>
  <c r="G17" i="24"/>
  <c r="H17" i="24"/>
  <c r="I17" i="24"/>
  <c r="J17" i="24"/>
  <c r="K17" i="24"/>
  <c r="L17" i="24"/>
  <c r="M17" i="24"/>
  <c r="N17" i="24"/>
  <c r="O17" i="24"/>
  <c r="P17" i="24"/>
  <c r="Q17" i="24"/>
  <c r="R17" i="24"/>
  <c r="S17" i="24"/>
  <c r="T17" i="24"/>
  <c r="U17" i="24"/>
  <c r="V17" i="24"/>
  <c r="W17" i="24"/>
  <c r="X17" i="24"/>
  <c r="Y17" i="24"/>
  <c r="C15" i="24"/>
  <c r="D15" i="24"/>
  <c r="E15" i="24"/>
  <c r="F15" i="24"/>
  <c r="G15" i="24"/>
  <c r="H15" i="24"/>
  <c r="I15" i="24"/>
  <c r="J15" i="24"/>
  <c r="K15" i="24"/>
  <c r="L15" i="24"/>
  <c r="M15" i="24"/>
  <c r="N15" i="24"/>
  <c r="O15" i="24"/>
  <c r="P15" i="24"/>
  <c r="Q15" i="24"/>
  <c r="R15" i="24"/>
  <c r="S15" i="24"/>
  <c r="T15" i="24"/>
  <c r="U15" i="24"/>
  <c r="V15" i="24"/>
  <c r="W15" i="24"/>
  <c r="X15" i="24"/>
  <c r="Y15" i="24"/>
  <c r="B15" i="24"/>
  <c r="B16" i="18" l="1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BF3" i="18" l="1"/>
  <c r="BE3" i="18"/>
  <c r="BI2" i="18"/>
  <c r="BH2" i="18"/>
  <c r="BG2" i="18"/>
  <c r="BE2" i="18"/>
  <c r="V187" i="29" l="1"/>
  <c r="U187" i="29"/>
  <c r="T187" i="29"/>
  <c r="S187" i="29"/>
  <c r="R187" i="29"/>
  <c r="Q187" i="29"/>
  <c r="P187" i="29"/>
  <c r="O187" i="29"/>
  <c r="N187" i="29"/>
  <c r="M187" i="29"/>
  <c r="L187" i="29"/>
  <c r="K187" i="29"/>
  <c r="J187" i="29"/>
  <c r="I187" i="29"/>
  <c r="H187" i="29"/>
  <c r="G187" i="29"/>
  <c r="F187" i="29"/>
  <c r="E187" i="29"/>
  <c r="D187" i="29"/>
  <c r="C187" i="29"/>
  <c r="X187" i="29"/>
  <c r="Z206" i="29"/>
  <c r="Y206" i="29"/>
  <c r="X206" i="29"/>
  <c r="W208" i="29"/>
  <c r="W206" i="29"/>
  <c r="V208" i="29"/>
  <c r="V206" i="29"/>
  <c r="U208" i="29"/>
  <c r="U206" i="29"/>
  <c r="T208" i="29"/>
  <c r="T206" i="29"/>
  <c r="S208" i="29"/>
  <c r="S206" i="29"/>
  <c r="R208" i="29"/>
  <c r="R206" i="29"/>
  <c r="Q208" i="29"/>
  <c r="Q206" i="29"/>
  <c r="P208" i="29"/>
  <c r="P206" i="29"/>
  <c r="O208" i="29"/>
  <c r="O206" i="29"/>
  <c r="N208" i="29"/>
  <c r="N206" i="29"/>
  <c r="M208" i="29"/>
  <c r="M206" i="29"/>
  <c r="L208" i="29"/>
  <c r="L206" i="29"/>
  <c r="K208" i="29"/>
  <c r="K206" i="29"/>
  <c r="J208" i="29"/>
  <c r="J206" i="29"/>
  <c r="I208" i="29"/>
  <c r="I206" i="29"/>
  <c r="H208" i="29"/>
  <c r="H206" i="29"/>
  <c r="G208" i="29"/>
  <c r="G206" i="29"/>
  <c r="F208" i="29"/>
  <c r="F206" i="29"/>
  <c r="E208" i="29"/>
  <c r="E206" i="29"/>
  <c r="D208" i="29"/>
  <c r="D206" i="29"/>
  <c r="C208" i="29"/>
  <c r="C206" i="29"/>
  <c r="X208" i="29"/>
  <c r="Y208" i="29"/>
  <c r="W187" i="29"/>
  <c r="Y187" i="29"/>
  <c r="Z208" i="29"/>
  <c r="Z187" i="29"/>
  <c r="W188" i="29"/>
  <c r="W186" i="29"/>
  <c r="W185" i="29"/>
  <c r="V188" i="29"/>
  <c r="V186" i="29"/>
  <c r="V185" i="29"/>
  <c r="U188" i="29"/>
  <c r="U186" i="29"/>
  <c r="U185" i="29"/>
  <c r="T188" i="29"/>
  <c r="T186" i="29"/>
  <c r="T185" i="29"/>
  <c r="S188" i="29"/>
  <c r="S186" i="29"/>
  <c r="S185" i="29"/>
  <c r="R188" i="29"/>
  <c r="R186" i="29"/>
  <c r="R185" i="29"/>
  <c r="Q188" i="29"/>
  <c r="Q186" i="29"/>
  <c r="Q185" i="29"/>
  <c r="P188" i="29"/>
  <c r="P186" i="29"/>
  <c r="P185" i="29"/>
  <c r="O188" i="29"/>
  <c r="O186" i="29"/>
  <c r="O185" i="29"/>
  <c r="N188" i="29"/>
  <c r="N186" i="29"/>
  <c r="N185" i="29"/>
  <c r="M188" i="29"/>
  <c r="M186" i="29"/>
  <c r="M185" i="29"/>
  <c r="L188" i="29"/>
  <c r="L186" i="29"/>
  <c r="L185" i="29"/>
  <c r="K188" i="29"/>
  <c r="K186" i="29"/>
  <c r="K185" i="29"/>
  <c r="J188" i="29"/>
  <c r="J186" i="29"/>
  <c r="J185" i="29"/>
  <c r="I188" i="29"/>
  <c r="I186" i="29"/>
  <c r="I185" i="29"/>
  <c r="H188" i="29"/>
  <c r="H186" i="29"/>
  <c r="H185" i="29"/>
  <c r="G188" i="29"/>
  <c r="G186" i="29"/>
  <c r="G185" i="29"/>
  <c r="F188" i="29"/>
  <c r="F186" i="29"/>
  <c r="F185" i="29"/>
  <c r="E188" i="29"/>
  <c r="E186" i="29"/>
  <c r="E185" i="29"/>
  <c r="D188" i="29"/>
  <c r="D186" i="29"/>
  <c r="D185" i="29"/>
  <c r="C188" i="29"/>
  <c r="C186" i="29"/>
  <c r="C185" i="29"/>
  <c r="X188" i="29"/>
  <c r="X186" i="29"/>
  <c r="X185" i="29"/>
  <c r="Y188" i="29"/>
  <c r="Y186" i="29"/>
  <c r="Y185" i="29"/>
  <c r="Z209" i="29"/>
  <c r="Y209" i="29"/>
  <c r="X209" i="29"/>
  <c r="W209" i="29"/>
  <c r="V209" i="29"/>
  <c r="U209" i="29"/>
  <c r="T209" i="29"/>
  <c r="S209" i="29"/>
  <c r="R209" i="29"/>
  <c r="Q209" i="29"/>
  <c r="P209" i="29"/>
  <c r="O209" i="29"/>
  <c r="N209" i="29"/>
  <c r="M209" i="29"/>
  <c r="L209" i="29"/>
  <c r="K209" i="29"/>
  <c r="J209" i="29"/>
  <c r="I209" i="29"/>
  <c r="H209" i="29"/>
  <c r="G209" i="29"/>
  <c r="F209" i="29"/>
  <c r="E209" i="29"/>
  <c r="D209" i="29"/>
  <c r="C209" i="29"/>
  <c r="Z207" i="29"/>
  <c r="Y207" i="29"/>
  <c r="X207" i="29"/>
  <c r="W207" i="29"/>
  <c r="V207" i="29"/>
  <c r="U207" i="29"/>
  <c r="T207" i="29"/>
  <c r="S207" i="29"/>
  <c r="R207" i="29"/>
  <c r="Q207" i="29"/>
  <c r="P207" i="29"/>
  <c r="O207" i="29"/>
  <c r="N207" i="29"/>
  <c r="M207" i="29"/>
  <c r="L207" i="29"/>
  <c r="K207" i="29"/>
  <c r="J207" i="29"/>
  <c r="I207" i="29"/>
  <c r="H207" i="29"/>
  <c r="G207" i="29"/>
  <c r="F207" i="29"/>
  <c r="E207" i="29"/>
  <c r="D207" i="29"/>
  <c r="C207" i="29"/>
  <c r="Z188" i="29"/>
  <c r="Z186" i="29"/>
  <c r="Z185" i="29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D256" i="33" l="1"/>
  <c r="D255" i="33"/>
  <c r="D254" i="33"/>
  <c r="C229" i="33"/>
  <c r="AE125" i="33"/>
  <c r="AD125" i="33"/>
  <c r="AC125" i="33"/>
  <c r="AB125" i="33"/>
  <c r="AA125" i="33"/>
  <c r="Z125" i="33"/>
  <c r="Y125" i="33"/>
  <c r="X125" i="33"/>
  <c r="W125" i="33"/>
  <c r="V125" i="33"/>
  <c r="U125" i="33"/>
  <c r="T125" i="33"/>
  <c r="S125" i="33"/>
  <c r="R125" i="33"/>
  <c r="Q125" i="33"/>
  <c r="P125" i="33"/>
  <c r="O125" i="33"/>
  <c r="N125" i="33"/>
  <c r="M125" i="33"/>
  <c r="L125" i="33"/>
  <c r="K125" i="33"/>
  <c r="J125" i="33"/>
  <c r="I125" i="33"/>
  <c r="H125" i="33"/>
  <c r="AE124" i="33"/>
  <c r="AD124" i="33"/>
  <c r="AC124" i="33"/>
  <c r="AB124" i="33"/>
  <c r="AA124" i="33"/>
  <c r="Z124" i="33"/>
  <c r="Y124" i="33"/>
  <c r="X124" i="33"/>
  <c r="W124" i="33"/>
  <c r="V124" i="33"/>
  <c r="U124" i="33"/>
  <c r="T124" i="33"/>
  <c r="S124" i="33"/>
  <c r="R124" i="33"/>
  <c r="Q124" i="33"/>
  <c r="P124" i="33"/>
  <c r="O124" i="33"/>
  <c r="N124" i="33"/>
  <c r="M124" i="33"/>
  <c r="L124" i="33"/>
  <c r="K124" i="33"/>
  <c r="J124" i="33"/>
  <c r="I124" i="33"/>
  <c r="H124" i="33"/>
  <c r="AE123" i="33"/>
  <c r="AD123" i="33"/>
  <c r="AC123" i="33"/>
  <c r="AB123" i="33"/>
  <c r="AA123" i="33"/>
  <c r="Z123" i="33"/>
  <c r="Y123" i="33"/>
  <c r="X123" i="33"/>
  <c r="W123" i="33"/>
  <c r="V123" i="33"/>
  <c r="U123" i="33"/>
  <c r="T123" i="33"/>
  <c r="S123" i="33"/>
  <c r="R123" i="33"/>
  <c r="Q123" i="33"/>
  <c r="P123" i="33"/>
  <c r="O123" i="33"/>
  <c r="N123" i="33"/>
  <c r="M123" i="33"/>
  <c r="L123" i="33"/>
  <c r="K123" i="33"/>
  <c r="J123" i="33"/>
  <c r="I123" i="33"/>
  <c r="H123" i="33"/>
  <c r="AE122" i="33"/>
  <c r="AD122" i="33"/>
  <c r="AC122" i="33"/>
  <c r="AB122" i="33"/>
  <c r="AA122" i="33"/>
  <c r="Z122" i="33"/>
  <c r="Y122" i="33"/>
  <c r="X122" i="33"/>
  <c r="W122" i="33"/>
  <c r="V122" i="33"/>
  <c r="U122" i="33"/>
  <c r="T122" i="33"/>
  <c r="S122" i="33"/>
  <c r="R122" i="33"/>
  <c r="Q122" i="33"/>
  <c r="P122" i="33"/>
  <c r="O122" i="33"/>
  <c r="N122" i="33"/>
  <c r="M122" i="33"/>
  <c r="L122" i="33"/>
  <c r="K122" i="33"/>
  <c r="J122" i="33"/>
  <c r="I122" i="33"/>
  <c r="H122" i="33"/>
  <c r="AE121" i="33"/>
  <c r="AD121" i="33"/>
  <c r="AC121" i="33"/>
  <c r="AB121" i="33"/>
  <c r="AA121" i="33"/>
  <c r="Z121" i="33"/>
  <c r="Y121" i="33"/>
  <c r="X121" i="33"/>
  <c r="W121" i="33"/>
  <c r="V121" i="33"/>
  <c r="U121" i="33"/>
  <c r="T121" i="33"/>
  <c r="S121" i="33"/>
  <c r="R121" i="33"/>
  <c r="Q121" i="33"/>
  <c r="P121" i="33"/>
  <c r="O121" i="33"/>
  <c r="N121" i="33"/>
  <c r="M121" i="33"/>
  <c r="L121" i="33"/>
  <c r="K121" i="33"/>
  <c r="J121" i="33"/>
  <c r="I121" i="33"/>
  <c r="H121" i="33"/>
  <c r="AE120" i="33"/>
  <c r="AD120" i="33"/>
  <c r="AC120" i="33"/>
  <c r="AB120" i="33"/>
  <c r="AA120" i="33"/>
  <c r="Z120" i="33"/>
  <c r="Y120" i="33"/>
  <c r="X120" i="33"/>
  <c r="W120" i="33"/>
  <c r="V120" i="33"/>
  <c r="U120" i="33"/>
  <c r="T120" i="33"/>
  <c r="S120" i="33"/>
  <c r="R120" i="33"/>
  <c r="Q120" i="33"/>
  <c r="P120" i="33"/>
  <c r="O120" i="33"/>
  <c r="N120" i="33"/>
  <c r="M120" i="33"/>
  <c r="L120" i="33"/>
  <c r="K120" i="33"/>
  <c r="J120" i="33"/>
  <c r="I120" i="33"/>
  <c r="H120" i="33"/>
  <c r="AE119" i="33"/>
  <c r="AD119" i="33"/>
  <c r="AC119" i="33"/>
  <c r="AB119" i="33"/>
  <c r="AA119" i="33"/>
  <c r="Z119" i="33"/>
  <c r="Y119" i="33"/>
  <c r="X119" i="33"/>
  <c r="W119" i="33"/>
  <c r="V119" i="33"/>
  <c r="U119" i="33"/>
  <c r="T119" i="33"/>
  <c r="S119" i="33"/>
  <c r="R119" i="33"/>
  <c r="Q119" i="33"/>
  <c r="P119" i="33"/>
  <c r="O119" i="33"/>
  <c r="N119" i="33"/>
  <c r="M119" i="33"/>
  <c r="L119" i="33"/>
  <c r="K119" i="33"/>
  <c r="J119" i="33"/>
  <c r="I119" i="33"/>
  <c r="H119" i="33"/>
  <c r="AE118" i="33"/>
  <c r="AD118" i="33"/>
  <c r="AC118" i="33"/>
  <c r="AB118" i="33"/>
  <c r="AA118" i="33"/>
  <c r="Z118" i="33"/>
  <c r="Y118" i="33"/>
  <c r="X118" i="33"/>
  <c r="W118" i="33"/>
  <c r="V118" i="33"/>
  <c r="U118" i="33"/>
  <c r="T118" i="33"/>
  <c r="S118" i="33"/>
  <c r="R118" i="33"/>
  <c r="Q118" i="33"/>
  <c r="P118" i="33"/>
  <c r="O118" i="33"/>
  <c r="N118" i="33"/>
  <c r="M118" i="33"/>
  <c r="L118" i="33"/>
  <c r="K118" i="33"/>
  <c r="J118" i="33"/>
  <c r="I118" i="33"/>
  <c r="H118" i="33"/>
  <c r="AE117" i="33"/>
  <c r="AD117" i="33"/>
  <c r="AC117" i="33"/>
  <c r="AB117" i="33"/>
  <c r="AA117" i="33"/>
  <c r="Z117" i="33"/>
  <c r="Y117" i="33"/>
  <c r="X117" i="33"/>
  <c r="W117" i="33"/>
  <c r="V117" i="33"/>
  <c r="U117" i="33"/>
  <c r="T117" i="33"/>
  <c r="S117" i="33"/>
  <c r="R117" i="33"/>
  <c r="Q117" i="33"/>
  <c r="P117" i="33"/>
  <c r="O117" i="33"/>
  <c r="N117" i="33"/>
  <c r="M117" i="33"/>
  <c r="L117" i="33"/>
  <c r="K117" i="33"/>
  <c r="J117" i="33"/>
  <c r="I117" i="33"/>
  <c r="H117" i="33"/>
  <c r="AE116" i="33"/>
  <c r="AD116" i="33"/>
  <c r="AC116" i="33"/>
  <c r="AB116" i="33"/>
  <c r="AA116" i="33"/>
  <c r="Z116" i="33"/>
  <c r="Y116" i="33"/>
  <c r="X116" i="33"/>
  <c r="W116" i="33"/>
  <c r="V116" i="33"/>
  <c r="U116" i="33"/>
  <c r="T116" i="33"/>
  <c r="S116" i="33"/>
  <c r="R116" i="33"/>
  <c r="Q116" i="33"/>
  <c r="P116" i="33"/>
  <c r="P131" i="33" s="1"/>
  <c r="O116" i="33"/>
  <c r="N116" i="33"/>
  <c r="M116" i="33"/>
  <c r="L116" i="33"/>
  <c r="K116" i="33"/>
  <c r="J116" i="33"/>
  <c r="I116" i="33"/>
  <c r="H116" i="33"/>
  <c r="EB118" i="33"/>
  <c r="EA118" i="33"/>
  <c r="DZ118" i="33"/>
  <c r="DY118" i="33"/>
  <c r="DX118" i="33"/>
  <c r="DW118" i="33"/>
  <c r="DV118" i="33"/>
  <c r="DU118" i="33"/>
  <c r="DT118" i="33"/>
  <c r="DS118" i="33"/>
  <c r="DR118" i="33"/>
  <c r="DQ118" i="33"/>
  <c r="DP118" i="33"/>
  <c r="DO118" i="33"/>
  <c r="DN118" i="33"/>
  <c r="DM118" i="33"/>
  <c r="DL118" i="33"/>
  <c r="DK118" i="33"/>
  <c r="DJ118" i="33"/>
  <c r="DI118" i="33"/>
  <c r="DH118" i="33"/>
  <c r="DG118" i="33"/>
  <c r="DF118" i="33"/>
  <c r="DE118" i="33"/>
  <c r="EB117" i="33"/>
  <c r="EA117" i="33"/>
  <c r="DZ117" i="33"/>
  <c r="DY117" i="33"/>
  <c r="DX117" i="33"/>
  <c r="DW117" i="33"/>
  <c r="DV117" i="33"/>
  <c r="DU117" i="33"/>
  <c r="DT117" i="33"/>
  <c r="DS117" i="33"/>
  <c r="DR117" i="33"/>
  <c r="DQ117" i="33"/>
  <c r="DP117" i="33"/>
  <c r="DO117" i="33"/>
  <c r="DN117" i="33"/>
  <c r="DM117" i="33"/>
  <c r="DL117" i="33"/>
  <c r="DK117" i="33"/>
  <c r="DJ117" i="33"/>
  <c r="DI117" i="33"/>
  <c r="DH117" i="33"/>
  <c r="DG117" i="33"/>
  <c r="DF117" i="33"/>
  <c r="DE117" i="33"/>
  <c r="EB116" i="33"/>
  <c r="EA116" i="33"/>
  <c r="DZ116" i="33"/>
  <c r="DY116" i="33"/>
  <c r="DX116" i="33"/>
  <c r="DW116" i="33"/>
  <c r="DV116" i="33"/>
  <c r="DU116" i="33"/>
  <c r="DT116" i="33"/>
  <c r="DS116" i="33"/>
  <c r="DR116" i="33"/>
  <c r="DQ116" i="33"/>
  <c r="DP116" i="33"/>
  <c r="DO116" i="33"/>
  <c r="DN116" i="33"/>
  <c r="DM116" i="33"/>
  <c r="DL116" i="33"/>
  <c r="DK116" i="33"/>
  <c r="DJ116" i="33"/>
  <c r="DI116" i="33"/>
  <c r="DH116" i="33"/>
  <c r="DG116" i="33"/>
  <c r="DF116" i="33"/>
  <c r="DE116" i="33"/>
  <c r="EB115" i="33"/>
  <c r="EA115" i="33"/>
  <c r="DZ115" i="33"/>
  <c r="DY115" i="33"/>
  <c r="DX115" i="33"/>
  <c r="DW115" i="33"/>
  <c r="DV115" i="33"/>
  <c r="DU115" i="33"/>
  <c r="DT115" i="33"/>
  <c r="DS115" i="33"/>
  <c r="DR115" i="33"/>
  <c r="DQ115" i="33"/>
  <c r="DP115" i="33"/>
  <c r="DO115" i="33"/>
  <c r="DN115" i="33"/>
  <c r="DM115" i="33"/>
  <c r="DL115" i="33"/>
  <c r="DK115" i="33"/>
  <c r="DJ115" i="33"/>
  <c r="DI115" i="33"/>
  <c r="DH115" i="33"/>
  <c r="DG115" i="33"/>
  <c r="DF115" i="33"/>
  <c r="DE115" i="33"/>
  <c r="EB114" i="33"/>
  <c r="EA114" i="33"/>
  <c r="DZ114" i="33"/>
  <c r="DY114" i="33"/>
  <c r="DX114" i="33"/>
  <c r="DW114" i="33"/>
  <c r="DV114" i="33"/>
  <c r="DU114" i="33"/>
  <c r="DT114" i="33"/>
  <c r="DS114" i="33"/>
  <c r="DR114" i="33"/>
  <c r="DQ114" i="33"/>
  <c r="DP114" i="33"/>
  <c r="DO114" i="33"/>
  <c r="DN114" i="33"/>
  <c r="DM114" i="33"/>
  <c r="DL114" i="33"/>
  <c r="DK114" i="33"/>
  <c r="DJ114" i="33"/>
  <c r="DI114" i="33"/>
  <c r="DH114" i="33"/>
  <c r="DG114" i="33"/>
  <c r="DF114" i="33"/>
  <c r="DE114" i="33"/>
  <c r="EB113" i="33"/>
  <c r="EA113" i="33"/>
  <c r="DZ113" i="33"/>
  <c r="DY113" i="33"/>
  <c r="DX113" i="33"/>
  <c r="DW113" i="33"/>
  <c r="DV113" i="33"/>
  <c r="DU113" i="33"/>
  <c r="DT113" i="33"/>
  <c r="DS113" i="33"/>
  <c r="DR113" i="33"/>
  <c r="DQ113" i="33"/>
  <c r="DP113" i="33"/>
  <c r="DO113" i="33"/>
  <c r="DN113" i="33"/>
  <c r="DM113" i="33"/>
  <c r="DL113" i="33"/>
  <c r="DK113" i="33"/>
  <c r="DJ113" i="33"/>
  <c r="DI113" i="33"/>
  <c r="DH113" i="33"/>
  <c r="DG113" i="33"/>
  <c r="DF113" i="33"/>
  <c r="DE113" i="33"/>
  <c r="EB112" i="33"/>
  <c r="EA112" i="33"/>
  <c r="DZ112" i="33"/>
  <c r="DY112" i="33"/>
  <c r="DX112" i="33"/>
  <c r="DW112" i="33"/>
  <c r="DV112" i="33"/>
  <c r="DU112" i="33"/>
  <c r="DT112" i="33"/>
  <c r="DS112" i="33"/>
  <c r="DR112" i="33"/>
  <c r="DQ112" i="33"/>
  <c r="DP112" i="33"/>
  <c r="DO112" i="33"/>
  <c r="DN112" i="33"/>
  <c r="DM112" i="33"/>
  <c r="DL112" i="33"/>
  <c r="DK112" i="33"/>
  <c r="DJ112" i="33"/>
  <c r="DI112" i="33"/>
  <c r="DH112" i="33"/>
  <c r="DG112" i="33"/>
  <c r="DF112" i="33"/>
  <c r="DE112" i="33"/>
  <c r="EB111" i="33"/>
  <c r="EA111" i="33"/>
  <c r="DZ111" i="33"/>
  <c r="DY111" i="33"/>
  <c r="DX111" i="33"/>
  <c r="DW111" i="33"/>
  <c r="DV111" i="33"/>
  <c r="DU111" i="33"/>
  <c r="DT111" i="33"/>
  <c r="DS111" i="33"/>
  <c r="DR111" i="33"/>
  <c r="DQ111" i="33"/>
  <c r="DP111" i="33"/>
  <c r="DO111" i="33"/>
  <c r="DN111" i="33"/>
  <c r="DM111" i="33"/>
  <c r="DL111" i="33"/>
  <c r="DK111" i="33"/>
  <c r="DJ111" i="33"/>
  <c r="DI111" i="33"/>
  <c r="DH111" i="33"/>
  <c r="DG111" i="33"/>
  <c r="DF111" i="33"/>
  <c r="DE111" i="33"/>
  <c r="EB110" i="33"/>
  <c r="EA110" i="33"/>
  <c r="DZ110" i="33"/>
  <c r="DY110" i="33"/>
  <c r="DX110" i="33"/>
  <c r="DW110" i="33"/>
  <c r="DV110" i="33"/>
  <c r="DU110" i="33"/>
  <c r="DT110" i="33"/>
  <c r="DS110" i="33"/>
  <c r="DR110" i="33"/>
  <c r="DQ110" i="33"/>
  <c r="DP110" i="33"/>
  <c r="DO110" i="33"/>
  <c r="DN110" i="33"/>
  <c r="DM110" i="33"/>
  <c r="DL110" i="33"/>
  <c r="DK110" i="33"/>
  <c r="DJ110" i="33"/>
  <c r="DI110" i="33"/>
  <c r="DH110" i="33"/>
  <c r="DG110" i="33"/>
  <c r="DF110" i="33"/>
  <c r="DE110" i="33"/>
  <c r="EB109" i="33"/>
  <c r="EA109" i="33"/>
  <c r="DZ109" i="33"/>
  <c r="DY109" i="33"/>
  <c r="DX109" i="33"/>
  <c r="DW109" i="33"/>
  <c r="DV109" i="33"/>
  <c r="DU109" i="33"/>
  <c r="DT109" i="33"/>
  <c r="DS109" i="33"/>
  <c r="DR109" i="33"/>
  <c r="DQ109" i="33"/>
  <c r="DP109" i="33"/>
  <c r="DO109" i="33"/>
  <c r="DN109" i="33"/>
  <c r="DM109" i="33"/>
  <c r="DL109" i="33"/>
  <c r="DK109" i="33"/>
  <c r="DJ109" i="33"/>
  <c r="DI109" i="33"/>
  <c r="DH109" i="33"/>
  <c r="DG109" i="33"/>
  <c r="DF109" i="33"/>
  <c r="DE109" i="33"/>
  <c r="EB107" i="33"/>
  <c r="EB159" i="33" s="1"/>
  <c r="EA107" i="33"/>
  <c r="DZ107" i="33"/>
  <c r="DY107" i="33"/>
  <c r="DY159" i="33" s="1"/>
  <c r="DX107" i="33"/>
  <c r="DW107" i="33"/>
  <c r="DV107" i="33"/>
  <c r="DU107" i="33"/>
  <c r="DU159" i="33" s="1"/>
  <c r="DT107" i="33"/>
  <c r="DT159" i="33" s="1"/>
  <c r="DS107" i="33"/>
  <c r="DR107" i="33"/>
  <c r="DR159" i="33" s="1"/>
  <c r="DQ107" i="33"/>
  <c r="DQ159" i="33" s="1"/>
  <c r="DP107" i="33"/>
  <c r="DO107" i="33"/>
  <c r="DN107" i="33"/>
  <c r="DM107" i="33"/>
  <c r="DM159" i="33" s="1"/>
  <c r="DL107" i="33"/>
  <c r="DL159" i="33" s="1"/>
  <c r="DK107" i="33"/>
  <c r="DJ107" i="33"/>
  <c r="DJ159" i="33" s="1"/>
  <c r="DI107" i="33"/>
  <c r="DI159" i="33" s="1"/>
  <c r="DH107" i="33"/>
  <c r="DG107" i="33"/>
  <c r="DF107" i="33"/>
  <c r="DE107" i="33"/>
  <c r="DE159" i="33" s="1"/>
  <c r="EB106" i="33"/>
  <c r="EB158" i="33" s="1"/>
  <c r="EA106" i="33"/>
  <c r="DZ106" i="33"/>
  <c r="DZ158" i="33" s="1"/>
  <c r="DY106" i="33"/>
  <c r="DY158" i="33" s="1"/>
  <c r="DX106" i="33"/>
  <c r="DW106" i="33"/>
  <c r="DV106" i="33"/>
  <c r="DU106" i="33"/>
  <c r="DU158" i="33" s="1"/>
  <c r="DT106" i="33"/>
  <c r="DT158" i="33" s="1"/>
  <c r="DS106" i="33"/>
  <c r="DR106" i="33"/>
  <c r="DR158" i="33" s="1"/>
  <c r="DQ106" i="33"/>
  <c r="DQ158" i="33" s="1"/>
  <c r="DP106" i="33"/>
  <c r="DO106" i="33"/>
  <c r="DN106" i="33"/>
  <c r="DM106" i="33"/>
  <c r="DM158" i="33" s="1"/>
  <c r="DL106" i="33"/>
  <c r="DL158" i="33" s="1"/>
  <c r="DK106" i="33"/>
  <c r="DJ106" i="33"/>
  <c r="DJ158" i="33" s="1"/>
  <c r="DI106" i="33"/>
  <c r="DI158" i="33" s="1"/>
  <c r="DH106" i="33"/>
  <c r="DG106" i="33"/>
  <c r="DF106" i="33"/>
  <c r="DE106" i="33"/>
  <c r="DE158" i="33" s="1"/>
  <c r="EB105" i="33"/>
  <c r="EB157" i="33" s="1"/>
  <c r="EA105" i="33"/>
  <c r="DZ105" i="33"/>
  <c r="DZ157" i="33" s="1"/>
  <c r="DY105" i="33"/>
  <c r="DY157" i="33" s="1"/>
  <c r="DX105" i="33"/>
  <c r="DW105" i="33"/>
  <c r="DV105" i="33"/>
  <c r="DU105" i="33"/>
  <c r="DU157" i="33" s="1"/>
  <c r="DT105" i="33"/>
  <c r="DT157" i="33" s="1"/>
  <c r="DS105" i="33"/>
  <c r="DR105" i="33"/>
  <c r="DR157" i="33" s="1"/>
  <c r="DQ105" i="33"/>
  <c r="DQ157" i="33" s="1"/>
  <c r="DP105" i="33"/>
  <c r="DO105" i="33"/>
  <c r="DN105" i="33"/>
  <c r="DM105" i="33"/>
  <c r="DM157" i="33" s="1"/>
  <c r="DL105" i="33"/>
  <c r="DL157" i="33" s="1"/>
  <c r="DK105" i="33"/>
  <c r="DJ105" i="33"/>
  <c r="DI105" i="33"/>
  <c r="DI157" i="33" s="1"/>
  <c r="DH105" i="33"/>
  <c r="DG105" i="33"/>
  <c r="DF105" i="33"/>
  <c r="DE105" i="33"/>
  <c r="DE157" i="33" s="1"/>
  <c r="EB104" i="33"/>
  <c r="EA104" i="33"/>
  <c r="DZ104" i="33"/>
  <c r="DY104" i="33"/>
  <c r="DX104" i="33"/>
  <c r="DW104" i="33"/>
  <c r="DV104" i="33"/>
  <c r="DU104" i="33"/>
  <c r="DT104" i="33"/>
  <c r="DS104" i="33"/>
  <c r="DR104" i="33"/>
  <c r="DQ104" i="33"/>
  <c r="DP104" i="33"/>
  <c r="DO104" i="33"/>
  <c r="DN104" i="33"/>
  <c r="DM104" i="33"/>
  <c r="DL104" i="33"/>
  <c r="DK104" i="33"/>
  <c r="DJ104" i="33"/>
  <c r="DI104" i="33"/>
  <c r="DH104" i="33"/>
  <c r="DG104" i="33"/>
  <c r="DF104" i="33"/>
  <c r="DE104" i="33"/>
  <c r="EB103" i="33"/>
  <c r="EB156" i="33" s="1"/>
  <c r="EA103" i="33"/>
  <c r="DZ103" i="33"/>
  <c r="DZ156" i="33" s="1"/>
  <c r="DY103" i="33"/>
  <c r="DY156" i="33" s="1"/>
  <c r="DX103" i="33"/>
  <c r="DW103" i="33"/>
  <c r="DV103" i="33"/>
  <c r="DU103" i="33"/>
  <c r="DU156" i="33" s="1"/>
  <c r="DT103" i="33"/>
  <c r="DT156" i="33" s="1"/>
  <c r="DS103" i="33"/>
  <c r="DR103" i="33"/>
  <c r="DR156" i="33" s="1"/>
  <c r="DQ103" i="33"/>
  <c r="DQ156" i="33" s="1"/>
  <c r="DP103" i="33"/>
  <c r="DO103" i="33"/>
  <c r="DN103" i="33"/>
  <c r="DM103" i="33"/>
  <c r="DM156" i="33" s="1"/>
  <c r="DL103" i="33"/>
  <c r="DL156" i="33" s="1"/>
  <c r="DK103" i="33"/>
  <c r="DJ103" i="33"/>
  <c r="DJ156" i="33" s="1"/>
  <c r="DI103" i="33"/>
  <c r="DI156" i="33" s="1"/>
  <c r="DH103" i="33"/>
  <c r="DG103" i="33"/>
  <c r="DF103" i="33"/>
  <c r="DE103" i="33"/>
  <c r="DE156" i="33" s="1"/>
  <c r="EB102" i="33"/>
  <c r="EB155" i="33" s="1"/>
  <c r="EA102" i="33"/>
  <c r="DZ102" i="33"/>
  <c r="DZ155" i="33" s="1"/>
  <c r="DY102" i="33"/>
  <c r="DY155" i="33" s="1"/>
  <c r="DX102" i="33"/>
  <c r="DW102" i="33"/>
  <c r="DV102" i="33"/>
  <c r="DU102" i="33"/>
  <c r="DU155" i="33" s="1"/>
  <c r="DT102" i="33"/>
  <c r="DT155" i="33" s="1"/>
  <c r="DS102" i="33"/>
  <c r="DR102" i="33"/>
  <c r="DR155" i="33" s="1"/>
  <c r="DQ102" i="33"/>
  <c r="DQ155" i="33" s="1"/>
  <c r="DP102" i="33"/>
  <c r="DO102" i="33"/>
  <c r="DN102" i="33"/>
  <c r="DM102" i="33"/>
  <c r="DM155" i="33" s="1"/>
  <c r="DL102" i="33"/>
  <c r="DL155" i="33" s="1"/>
  <c r="DK102" i="33"/>
  <c r="DJ102" i="33"/>
  <c r="DI102" i="33"/>
  <c r="DI155" i="33" s="1"/>
  <c r="DH102" i="33"/>
  <c r="DG102" i="33"/>
  <c r="DF102" i="33"/>
  <c r="DE102" i="33"/>
  <c r="DE155" i="33" s="1"/>
  <c r="EB101" i="33"/>
  <c r="EB154" i="33" s="1"/>
  <c r="EA101" i="33"/>
  <c r="DZ101" i="33"/>
  <c r="DZ154" i="33" s="1"/>
  <c r="DY101" i="33"/>
  <c r="DY154" i="33" s="1"/>
  <c r="DX101" i="33"/>
  <c r="DW101" i="33"/>
  <c r="DV101" i="33"/>
  <c r="DU101" i="33"/>
  <c r="DU154" i="33" s="1"/>
  <c r="DT101" i="33"/>
  <c r="DT154" i="33" s="1"/>
  <c r="DS101" i="33"/>
  <c r="DR101" i="33"/>
  <c r="DR154" i="33" s="1"/>
  <c r="DQ101" i="33"/>
  <c r="DQ154" i="33" s="1"/>
  <c r="DP101" i="33"/>
  <c r="DO101" i="33"/>
  <c r="DN101" i="33"/>
  <c r="DM101" i="33"/>
  <c r="DM154" i="33" s="1"/>
  <c r="DL101" i="33"/>
  <c r="DL154" i="33" s="1"/>
  <c r="DK101" i="33"/>
  <c r="DJ101" i="33"/>
  <c r="DJ154" i="33" s="1"/>
  <c r="DI101" i="33"/>
  <c r="DI154" i="33" s="1"/>
  <c r="DH101" i="33"/>
  <c r="DG101" i="33"/>
  <c r="DF101" i="33"/>
  <c r="DE101" i="33"/>
  <c r="DE154" i="33" s="1"/>
  <c r="EB100" i="33"/>
  <c r="EB153" i="33" s="1"/>
  <c r="EA100" i="33"/>
  <c r="DZ100" i="33"/>
  <c r="DY100" i="33"/>
  <c r="DY153" i="33" s="1"/>
  <c r="DX100" i="33"/>
  <c r="DW100" i="33"/>
  <c r="DV100" i="33"/>
  <c r="DU100" i="33"/>
  <c r="DU153" i="33" s="1"/>
  <c r="DT100" i="33"/>
  <c r="DT153" i="33" s="1"/>
  <c r="DS100" i="33"/>
  <c r="DR100" i="33"/>
  <c r="DR153" i="33" s="1"/>
  <c r="DQ100" i="33"/>
  <c r="DQ153" i="33" s="1"/>
  <c r="DP100" i="33"/>
  <c r="DO100" i="33"/>
  <c r="DN100" i="33"/>
  <c r="DM100" i="33"/>
  <c r="DM153" i="33" s="1"/>
  <c r="DL100" i="33"/>
  <c r="DL153" i="33" s="1"/>
  <c r="DK100" i="33"/>
  <c r="DJ100" i="33"/>
  <c r="DJ153" i="33" s="1"/>
  <c r="DI100" i="33"/>
  <c r="DI153" i="33" s="1"/>
  <c r="DH100" i="33"/>
  <c r="DG100" i="33"/>
  <c r="DF100" i="33"/>
  <c r="DE100" i="33"/>
  <c r="DE153" i="33" s="1"/>
  <c r="EB99" i="33"/>
  <c r="EB152" i="33" s="1"/>
  <c r="EA99" i="33"/>
  <c r="DZ99" i="33"/>
  <c r="DZ152" i="33" s="1"/>
  <c r="DY99" i="33"/>
  <c r="DY152" i="33" s="1"/>
  <c r="DX99" i="33"/>
  <c r="DW99" i="33"/>
  <c r="DV99" i="33"/>
  <c r="DU99" i="33"/>
  <c r="DU152" i="33" s="1"/>
  <c r="DT99" i="33"/>
  <c r="DT152" i="33" s="1"/>
  <c r="DS99" i="33"/>
  <c r="DR99" i="33"/>
  <c r="DR152" i="33" s="1"/>
  <c r="DQ99" i="33"/>
  <c r="DQ152" i="33" s="1"/>
  <c r="DP99" i="33"/>
  <c r="DO99" i="33"/>
  <c r="DN99" i="33"/>
  <c r="DM99" i="33"/>
  <c r="DM152" i="33" s="1"/>
  <c r="DL99" i="33"/>
  <c r="DL152" i="33" s="1"/>
  <c r="DK99" i="33"/>
  <c r="DJ99" i="33"/>
  <c r="DI99" i="33"/>
  <c r="DI152" i="33" s="1"/>
  <c r="DH99" i="33"/>
  <c r="DG99" i="33"/>
  <c r="DF99" i="33"/>
  <c r="DE99" i="33"/>
  <c r="DE152" i="33" s="1"/>
  <c r="EB98" i="33"/>
  <c r="EA98" i="33"/>
  <c r="DZ98" i="33"/>
  <c r="DZ151" i="33" s="1"/>
  <c r="DY98" i="33"/>
  <c r="DY151" i="33" s="1"/>
  <c r="DX98" i="33"/>
  <c r="DW98" i="33"/>
  <c r="DV98" i="33"/>
  <c r="DU98" i="33"/>
  <c r="DU151" i="33" s="1"/>
  <c r="DT98" i="33"/>
  <c r="DS98" i="33"/>
  <c r="DR98" i="33"/>
  <c r="DR151" i="33" s="1"/>
  <c r="DQ98" i="33"/>
  <c r="DQ151" i="33" s="1"/>
  <c r="DP98" i="33"/>
  <c r="DO98" i="33"/>
  <c r="DN98" i="33"/>
  <c r="DM98" i="33"/>
  <c r="DM151" i="33" s="1"/>
  <c r="DL98" i="33"/>
  <c r="DK98" i="33"/>
  <c r="DJ98" i="33"/>
  <c r="DJ151" i="33" s="1"/>
  <c r="DI98" i="33"/>
  <c r="DI151" i="33" s="1"/>
  <c r="DH98" i="33"/>
  <c r="DG98" i="33"/>
  <c r="DF98" i="33"/>
  <c r="DE98" i="33"/>
  <c r="DE151" i="33" s="1"/>
  <c r="DC73" i="33"/>
  <c r="DC72" i="33"/>
  <c r="DC71" i="33"/>
  <c r="DC70" i="33"/>
  <c r="DC81" i="33" s="1"/>
  <c r="DC115" i="33" s="1"/>
  <c r="DC69" i="33"/>
  <c r="DC68" i="33"/>
  <c r="DC67" i="33"/>
  <c r="DC66" i="33"/>
  <c r="DC65" i="33"/>
  <c r="DC64" i="33"/>
  <c r="AE114" i="33"/>
  <c r="AD114" i="33"/>
  <c r="AC114" i="33"/>
  <c r="AB114" i="33"/>
  <c r="AA114" i="33"/>
  <c r="Z114" i="33"/>
  <c r="Y114" i="33"/>
  <c r="X114" i="33"/>
  <c r="W114" i="33"/>
  <c r="V114" i="33"/>
  <c r="U114" i="33"/>
  <c r="T114" i="33"/>
  <c r="S114" i="33"/>
  <c r="R114" i="33"/>
  <c r="Q114" i="33"/>
  <c r="P114" i="33"/>
  <c r="O114" i="33"/>
  <c r="N114" i="33"/>
  <c r="M114" i="33"/>
  <c r="L114" i="33"/>
  <c r="K114" i="33"/>
  <c r="J114" i="33"/>
  <c r="I114" i="33"/>
  <c r="H114" i="33"/>
  <c r="AE113" i="33"/>
  <c r="AD113" i="33"/>
  <c r="AC113" i="33"/>
  <c r="AB113" i="33"/>
  <c r="AA113" i="33"/>
  <c r="Z113" i="33"/>
  <c r="Y113" i="33"/>
  <c r="X113" i="33"/>
  <c r="W113" i="33"/>
  <c r="V113" i="33"/>
  <c r="U113" i="33"/>
  <c r="T113" i="33"/>
  <c r="S113" i="33"/>
  <c r="R113" i="33"/>
  <c r="Q113" i="33"/>
  <c r="P113" i="33"/>
  <c r="O113" i="33"/>
  <c r="N113" i="33"/>
  <c r="M113" i="33"/>
  <c r="L113" i="33"/>
  <c r="K113" i="33"/>
  <c r="J113" i="33"/>
  <c r="I113" i="33"/>
  <c r="H113" i="33"/>
  <c r="AE112" i="33"/>
  <c r="AD112" i="33"/>
  <c r="AC112" i="33"/>
  <c r="AB112" i="33"/>
  <c r="AA112" i="33"/>
  <c r="Z112" i="33"/>
  <c r="Y112" i="33"/>
  <c r="X112" i="33"/>
  <c r="W112" i="33"/>
  <c r="V112" i="33"/>
  <c r="U112" i="33"/>
  <c r="T112" i="33"/>
  <c r="S112" i="33"/>
  <c r="R112" i="33"/>
  <c r="Q112" i="33"/>
  <c r="P112" i="33"/>
  <c r="O112" i="33"/>
  <c r="N112" i="33"/>
  <c r="M112" i="33"/>
  <c r="L112" i="33"/>
  <c r="K112" i="33"/>
  <c r="J112" i="33"/>
  <c r="I112" i="33"/>
  <c r="H112" i="33"/>
  <c r="AE111" i="33"/>
  <c r="AD111" i="33"/>
  <c r="AC111" i="33"/>
  <c r="AB111" i="33"/>
  <c r="AA111" i="33"/>
  <c r="Z111" i="33"/>
  <c r="Y111" i="33"/>
  <c r="X111" i="33"/>
  <c r="W111" i="33"/>
  <c r="V111" i="33"/>
  <c r="U111" i="33"/>
  <c r="T111" i="33"/>
  <c r="S111" i="33"/>
  <c r="R111" i="33"/>
  <c r="Q111" i="33"/>
  <c r="P111" i="33"/>
  <c r="O111" i="33"/>
  <c r="N111" i="33"/>
  <c r="M111" i="33"/>
  <c r="L111" i="33"/>
  <c r="K111" i="33"/>
  <c r="J111" i="33"/>
  <c r="I111" i="33"/>
  <c r="H111" i="33"/>
  <c r="AE110" i="33"/>
  <c r="AD110" i="33"/>
  <c r="AC110" i="33"/>
  <c r="AB110" i="33"/>
  <c r="AA110" i="33"/>
  <c r="Z110" i="33"/>
  <c r="Y110" i="33"/>
  <c r="X110" i="33"/>
  <c r="W110" i="33"/>
  <c r="V110" i="33"/>
  <c r="U110" i="33"/>
  <c r="T110" i="33"/>
  <c r="S110" i="33"/>
  <c r="R110" i="33"/>
  <c r="Q110" i="33"/>
  <c r="P110" i="33"/>
  <c r="O110" i="33"/>
  <c r="N110" i="33"/>
  <c r="M110" i="33"/>
  <c r="L110" i="33"/>
  <c r="K110" i="33"/>
  <c r="J110" i="33"/>
  <c r="I110" i="33"/>
  <c r="H110" i="33"/>
  <c r="AE109" i="33"/>
  <c r="AD109" i="33"/>
  <c r="AC109" i="33"/>
  <c r="AB109" i="33"/>
  <c r="AA109" i="33"/>
  <c r="Z109" i="33"/>
  <c r="Y109" i="33"/>
  <c r="X109" i="33"/>
  <c r="W109" i="33"/>
  <c r="V109" i="33"/>
  <c r="U109" i="33"/>
  <c r="T109" i="33"/>
  <c r="S109" i="33"/>
  <c r="R109" i="33"/>
  <c r="Q109" i="33"/>
  <c r="P109" i="33"/>
  <c r="O109" i="33"/>
  <c r="N109" i="33"/>
  <c r="M109" i="33"/>
  <c r="L109" i="33"/>
  <c r="K109" i="33"/>
  <c r="J109" i="33"/>
  <c r="I109" i="33"/>
  <c r="H109" i="33"/>
  <c r="AE108" i="33"/>
  <c r="AD108" i="33"/>
  <c r="AC108" i="33"/>
  <c r="AB108" i="33"/>
  <c r="AA108" i="33"/>
  <c r="Z108" i="33"/>
  <c r="Y108" i="33"/>
  <c r="X108" i="33"/>
  <c r="W108" i="33"/>
  <c r="V108" i="33"/>
  <c r="U108" i="33"/>
  <c r="T108" i="33"/>
  <c r="S108" i="33"/>
  <c r="R108" i="33"/>
  <c r="Q108" i="33"/>
  <c r="P108" i="33"/>
  <c r="O108" i="33"/>
  <c r="N108" i="33"/>
  <c r="M108" i="33"/>
  <c r="L108" i="33"/>
  <c r="K108" i="33"/>
  <c r="J108" i="33"/>
  <c r="I108" i="33"/>
  <c r="H108" i="33"/>
  <c r="AE107" i="33"/>
  <c r="AD107" i="33"/>
  <c r="AC107" i="33"/>
  <c r="AB107" i="33"/>
  <c r="AA107" i="33"/>
  <c r="Z107" i="33"/>
  <c r="Y107" i="33"/>
  <c r="X107" i="33"/>
  <c r="W107" i="33"/>
  <c r="V107" i="33"/>
  <c r="U107" i="33"/>
  <c r="T107" i="33"/>
  <c r="S107" i="33"/>
  <c r="R107" i="33"/>
  <c r="Q107" i="33"/>
  <c r="P107" i="33"/>
  <c r="O107" i="33"/>
  <c r="N107" i="33"/>
  <c r="M107" i="33"/>
  <c r="L107" i="33"/>
  <c r="K107" i="33"/>
  <c r="J107" i="33"/>
  <c r="I107" i="33"/>
  <c r="H107" i="33"/>
  <c r="AE106" i="33"/>
  <c r="AD106" i="33"/>
  <c r="AC106" i="33"/>
  <c r="AB106" i="33"/>
  <c r="AA106" i="33"/>
  <c r="Z106" i="33"/>
  <c r="Y106" i="33"/>
  <c r="X106" i="33"/>
  <c r="W106" i="33"/>
  <c r="V106" i="33"/>
  <c r="U106" i="33"/>
  <c r="T106" i="33"/>
  <c r="S106" i="33"/>
  <c r="R106" i="33"/>
  <c r="Q106" i="33"/>
  <c r="P106" i="33"/>
  <c r="O106" i="33"/>
  <c r="N106" i="33"/>
  <c r="M106" i="33"/>
  <c r="L106" i="33"/>
  <c r="K106" i="33"/>
  <c r="J106" i="33"/>
  <c r="I106" i="33"/>
  <c r="H106" i="33"/>
  <c r="AE105" i="33"/>
  <c r="AD105" i="33"/>
  <c r="AC105" i="33"/>
  <c r="AB105" i="33"/>
  <c r="AA105" i="33"/>
  <c r="Z105" i="33"/>
  <c r="Y105" i="33"/>
  <c r="X105" i="33"/>
  <c r="W105" i="33"/>
  <c r="V105" i="33"/>
  <c r="U105" i="33"/>
  <c r="T105" i="33"/>
  <c r="T130" i="33" s="1"/>
  <c r="S105" i="33"/>
  <c r="R105" i="33"/>
  <c r="Q105" i="33"/>
  <c r="P105" i="33"/>
  <c r="O105" i="33"/>
  <c r="N105" i="33"/>
  <c r="M105" i="33"/>
  <c r="L105" i="33"/>
  <c r="K105" i="33"/>
  <c r="J105" i="33"/>
  <c r="I105" i="33"/>
  <c r="H105" i="33"/>
  <c r="CY118" i="33"/>
  <c r="CX118" i="33"/>
  <c r="CW118" i="33"/>
  <c r="CV118" i="33"/>
  <c r="CU118" i="33"/>
  <c r="CT118" i="33"/>
  <c r="CS118" i="33"/>
  <c r="CR118" i="33"/>
  <c r="CQ118" i="33"/>
  <c r="CP118" i="33"/>
  <c r="CO118" i="33"/>
  <c r="CN118" i="33"/>
  <c r="CM118" i="33"/>
  <c r="CL118" i="33"/>
  <c r="CK118" i="33"/>
  <c r="CJ118" i="33"/>
  <c r="CI118" i="33"/>
  <c r="CH118" i="33"/>
  <c r="CG118" i="33"/>
  <c r="CF118" i="33"/>
  <c r="CE118" i="33"/>
  <c r="CD118" i="33"/>
  <c r="CC118" i="33"/>
  <c r="CB118" i="33"/>
  <c r="CY117" i="33"/>
  <c r="CX117" i="33"/>
  <c r="CW117" i="33"/>
  <c r="CV117" i="33"/>
  <c r="CU117" i="33"/>
  <c r="CT117" i="33"/>
  <c r="CS117" i="33"/>
  <c r="CR117" i="33"/>
  <c r="CQ117" i="33"/>
  <c r="CP117" i="33"/>
  <c r="CO117" i="33"/>
  <c r="CN117" i="33"/>
  <c r="CM117" i="33"/>
  <c r="CL117" i="33"/>
  <c r="CK117" i="33"/>
  <c r="CJ117" i="33"/>
  <c r="CI117" i="33"/>
  <c r="CH117" i="33"/>
  <c r="CG117" i="33"/>
  <c r="CF117" i="33"/>
  <c r="CE117" i="33"/>
  <c r="CD117" i="33"/>
  <c r="CC117" i="33"/>
  <c r="CB117" i="33"/>
  <c r="CY116" i="33"/>
  <c r="CX116" i="33"/>
  <c r="CW116" i="33"/>
  <c r="CV116" i="33"/>
  <c r="CU116" i="33"/>
  <c r="CT116" i="33"/>
  <c r="CS116" i="33"/>
  <c r="CR116" i="33"/>
  <c r="CQ116" i="33"/>
  <c r="CP116" i="33"/>
  <c r="CO116" i="33"/>
  <c r="CN116" i="33"/>
  <c r="CM116" i="33"/>
  <c r="CL116" i="33"/>
  <c r="CK116" i="33"/>
  <c r="CJ116" i="33"/>
  <c r="CI116" i="33"/>
  <c r="CH116" i="33"/>
  <c r="CG116" i="33"/>
  <c r="CF116" i="33"/>
  <c r="CE116" i="33"/>
  <c r="CD116" i="33"/>
  <c r="CC116" i="33"/>
  <c r="CB116" i="33"/>
  <c r="CY115" i="33"/>
  <c r="CX115" i="33"/>
  <c r="CW115" i="33"/>
  <c r="CV115" i="33"/>
  <c r="CU115" i="33"/>
  <c r="CT115" i="33"/>
  <c r="CS115" i="33"/>
  <c r="CR115" i="33"/>
  <c r="CQ115" i="33"/>
  <c r="CP115" i="33"/>
  <c r="CO115" i="33"/>
  <c r="CN115" i="33"/>
  <c r="CM115" i="33"/>
  <c r="CL115" i="33"/>
  <c r="CK115" i="33"/>
  <c r="CJ115" i="33"/>
  <c r="CI115" i="33"/>
  <c r="CH115" i="33"/>
  <c r="CG115" i="33"/>
  <c r="CF115" i="33"/>
  <c r="CE115" i="33"/>
  <c r="CD115" i="33"/>
  <c r="CC115" i="33"/>
  <c r="CB115" i="33"/>
  <c r="CY114" i="33"/>
  <c r="CX114" i="33"/>
  <c r="CW114" i="33"/>
  <c r="CV114" i="33"/>
  <c r="CU114" i="33"/>
  <c r="CT114" i="33"/>
  <c r="CS114" i="33"/>
  <c r="CR114" i="33"/>
  <c r="CQ114" i="33"/>
  <c r="CP114" i="33"/>
  <c r="CO114" i="33"/>
  <c r="CN114" i="33"/>
  <c r="CM114" i="33"/>
  <c r="CL114" i="33"/>
  <c r="CK114" i="33"/>
  <c r="CJ114" i="33"/>
  <c r="CI114" i="33"/>
  <c r="CH114" i="33"/>
  <c r="CG114" i="33"/>
  <c r="CF114" i="33"/>
  <c r="CE114" i="33"/>
  <c r="CD114" i="33"/>
  <c r="CC114" i="33"/>
  <c r="CB114" i="33"/>
  <c r="CY113" i="33"/>
  <c r="CX113" i="33"/>
  <c r="CW113" i="33"/>
  <c r="CV113" i="33"/>
  <c r="CU113" i="33"/>
  <c r="CT113" i="33"/>
  <c r="CS113" i="33"/>
  <c r="CR113" i="33"/>
  <c r="CQ113" i="33"/>
  <c r="CP113" i="33"/>
  <c r="CO113" i="33"/>
  <c r="CN113" i="33"/>
  <c r="CM113" i="33"/>
  <c r="CL113" i="33"/>
  <c r="CK113" i="33"/>
  <c r="CJ113" i="33"/>
  <c r="CI113" i="33"/>
  <c r="CH113" i="33"/>
  <c r="CG113" i="33"/>
  <c r="CF113" i="33"/>
  <c r="CE113" i="33"/>
  <c r="CD113" i="33"/>
  <c r="CC113" i="33"/>
  <c r="CB113" i="33"/>
  <c r="CY112" i="33"/>
  <c r="CX112" i="33"/>
  <c r="CW112" i="33"/>
  <c r="CV112" i="33"/>
  <c r="CU112" i="33"/>
  <c r="CT112" i="33"/>
  <c r="CS112" i="33"/>
  <c r="CR112" i="33"/>
  <c r="CQ112" i="33"/>
  <c r="CP112" i="33"/>
  <c r="CO112" i="33"/>
  <c r="CN112" i="33"/>
  <c r="CM112" i="33"/>
  <c r="CL112" i="33"/>
  <c r="CK112" i="33"/>
  <c r="CJ112" i="33"/>
  <c r="CI112" i="33"/>
  <c r="CH112" i="33"/>
  <c r="CG112" i="33"/>
  <c r="CF112" i="33"/>
  <c r="CE112" i="33"/>
  <c r="CD112" i="33"/>
  <c r="CC112" i="33"/>
  <c r="CB112" i="33"/>
  <c r="CY111" i="33"/>
  <c r="CX111" i="33"/>
  <c r="CW111" i="33"/>
  <c r="CV111" i="33"/>
  <c r="CU111" i="33"/>
  <c r="CT111" i="33"/>
  <c r="CS111" i="33"/>
  <c r="CR111" i="33"/>
  <c r="CQ111" i="33"/>
  <c r="CP111" i="33"/>
  <c r="CO111" i="33"/>
  <c r="CN111" i="33"/>
  <c r="CM111" i="33"/>
  <c r="CL111" i="33"/>
  <c r="CK111" i="33"/>
  <c r="CJ111" i="33"/>
  <c r="CI111" i="33"/>
  <c r="CH111" i="33"/>
  <c r="CG111" i="33"/>
  <c r="CF111" i="33"/>
  <c r="CE111" i="33"/>
  <c r="CD111" i="33"/>
  <c r="CC111" i="33"/>
  <c r="CB111" i="33"/>
  <c r="CY110" i="33"/>
  <c r="CX110" i="33"/>
  <c r="CW110" i="33"/>
  <c r="CV110" i="33"/>
  <c r="CU110" i="33"/>
  <c r="CT110" i="33"/>
  <c r="CS110" i="33"/>
  <c r="CR110" i="33"/>
  <c r="CQ110" i="33"/>
  <c r="CP110" i="33"/>
  <c r="CO110" i="33"/>
  <c r="CN110" i="33"/>
  <c r="CM110" i="33"/>
  <c r="CL110" i="33"/>
  <c r="CK110" i="33"/>
  <c r="CJ110" i="33"/>
  <c r="CI110" i="33"/>
  <c r="CH110" i="33"/>
  <c r="CG110" i="33"/>
  <c r="CF110" i="33"/>
  <c r="CE110" i="33"/>
  <c r="CD110" i="33"/>
  <c r="CC110" i="33"/>
  <c r="CB110" i="33"/>
  <c r="CY109" i="33"/>
  <c r="CX109" i="33"/>
  <c r="CW109" i="33"/>
  <c r="CV109" i="33"/>
  <c r="CU109" i="33"/>
  <c r="CT109" i="33"/>
  <c r="CS109" i="33"/>
  <c r="CR109" i="33"/>
  <c r="CQ109" i="33"/>
  <c r="CP109" i="33"/>
  <c r="CO109" i="33"/>
  <c r="CN109" i="33"/>
  <c r="CM109" i="33"/>
  <c r="CL109" i="33"/>
  <c r="CK109" i="33"/>
  <c r="CJ109" i="33"/>
  <c r="CI109" i="33"/>
  <c r="CH109" i="33"/>
  <c r="CG109" i="33"/>
  <c r="CF109" i="33"/>
  <c r="CE109" i="33"/>
  <c r="CD109" i="33"/>
  <c r="CC109" i="33"/>
  <c r="CB109" i="33"/>
  <c r="CY107" i="33"/>
  <c r="CY159" i="33" s="1"/>
  <c r="CX107" i="33"/>
  <c r="CX159" i="33" s="1"/>
  <c r="CW107" i="33"/>
  <c r="CW159" i="33" s="1"/>
  <c r="CV107" i="33"/>
  <c r="CV159" i="33" s="1"/>
  <c r="CU107" i="33"/>
  <c r="CT107" i="33"/>
  <c r="CT159" i="33" s="1"/>
  <c r="CS107" i="33"/>
  <c r="CR107" i="33"/>
  <c r="CQ107" i="33"/>
  <c r="CQ159" i="33" s="1"/>
  <c r="CP107" i="33"/>
  <c r="CP159" i="33" s="1"/>
  <c r="CO107" i="33"/>
  <c r="CO159" i="33" s="1"/>
  <c r="CN107" i="33"/>
  <c r="CN159" i="33" s="1"/>
  <c r="CM107" i="33"/>
  <c r="CL107" i="33"/>
  <c r="CL159" i="33" s="1"/>
  <c r="CK107" i="33"/>
  <c r="CJ107" i="33"/>
  <c r="CI107" i="33"/>
  <c r="CI159" i="33" s="1"/>
  <c r="CH107" i="33"/>
  <c r="CH159" i="33" s="1"/>
  <c r="CG107" i="33"/>
  <c r="CG159" i="33" s="1"/>
  <c r="CF107" i="33"/>
  <c r="CF159" i="33" s="1"/>
  <c r="CE107" i="33"/>
  <c r="CD107" i="33"/>
  <c r="CC107" i="33"/>
  <c r="CB107" i="33"/>
  <c r="CY106" i="33"/>
  <c r="CX106" i="33"/>
  <c r="CX158" i="33" s="1"/>
  <c r="CW106" i="33"/>
  <c r="CW158" i="33" s="1"/>
  <c r="CV106" i="33"/>
  <c r="CV158" i="33" s="1"/>
  <c r="CU106" i="33"/>
  <c r="CT106" i="33"/>
  <c r="CT158" i="33" s="1"/>
  <c r="CS106" i="33"/>
  <c r="CR106" i="33"/>
  <c r="CQ106" i="33"/>
  <c r="CQ158" i="33" s="1"/>
  <c r="CP106" i="33"/>
  <c r="CP158" i="33" s="1"/>
  <c r="CO106" i="33"/>
  <c r="CO158" i="33" s="1"/>
  <c r="CN106" i="33"/>
  <c r="CN158" i="33" s="1"/>
  <c r="CM106" i="33"/>
  <c r="CL106" i="33"/>
  <c r="CK106" i="33"/>
  <c r="CJ106" i="33"/>
  <c r="CI106" i="33"/>
  <c r="CH106" i="33"/>
  <c r="CH158" i="33" s="1"/>
  <c r="CG106" i="33"/>
  <c r="CG158" i="33" s="1"/>
  <c r="CF106" i="33"/>
  <c r="CF158" i="33" s="1"/>
  <c r="CE106" i="33"/>
  <c r="CD106" i="33"/>
  <c r="CD158" i="33" s="1"/>
  <c r="CC106" i="33"/>
  <c r="CB106" i="33"/>
  <c r="CY105" i="33"/>
  <c r="CY157" i="33" s="1"/>
  <c r="CX105" i="33"/>
  <c r="CX157" i="33" s="1"/>
  <c r="CW105" i="33"/>
  <c r="CV105" i="33"/>
  <c r="CU105" i="33"/>
  <c r="CT105" i="33"/>
  <c r="CT157" i="33" s="1"/>
  <c r="CS105" i="33"/>
  <c r="CR105" i="33"/>
  <c r="CQ105" i="33"/>
  <c r="CQ157" i="33" s="1"/>
  <c r="CP105" i="33"/>
  <c r="CP157" i="33" s="1"/>
  <c r="CO105" i="33"/>
  <c r="CN105" i="33"/>
  <c r="CM105" i="33"/>
  <c r="CL105" i="33"/>
  <c r="CL157" i="33" s="1"/>
  <c r="CK105" i="33"/>
  <c r="CJ105" i="33"/>
  <c r="CI105" i="33"/>
  <c r="CH105" i="33"/>
  <c r="CH157" i="33" s="1"/>
  <c r="CG105" i="33"/>
  <c r="CF105" i="33"/>
  <c r="CE105" i="33"/>
  <c r="CD105" i="33"/>
  <c r="CD157" i="33" s="1"/>
  <c r="CC105" i="33"/>
  <c r="CB105" i="33"/>
  <c r="CY104" i="33"/>
  <c r="CX104" i="33"/>
  <c r="CW104" i="33"/>
  <c r="CV104" i="33"/>
  <c r="CU104" i="33"/>
  <c r="CT104" i="33"/>
  <c r="CS104" i="33"/>
  <c r="CR104" i="33"/>
  <c r="CQ104" i="33"/>
  <c r="CP104" i="33"/>
  <c r="CO104" i="33"/>
  <c r="CN104" i="33"/>
  <c r="CM104" i="33"/>
  <c r="CL104" i="33"/>
  <c r="CK104" i="33"/>
  <c r="CJ104" i="33"/>
  <c r="CI104" i="33"/>
  <c r="CH104" i="33"/>
  <c r="CG104" i="33"/>
  <c r="CF104" i="33"/>
  <c r="CE104" i="33"/>
  <c r="CD104" i="33"/>
  <c r="CC104" i="33"/>
  <c r="CB104" i="33"/>
  <c r="CY103" i="33"/>
  <c r="CX103" i="33"/>
  <c r="CX156" i="33" s="1"/>
  <c r="CW103" i="33"/>
  <c r="CW156" i="33" s="1"/>
  <c r="CV103" i="33"/>
  <c r="CV156" i="33" s="1"/>
  <c r="CU103" i="33"/>
  <c r="CT103" i="33"/>
  <c r="CT156" i="33" s="1"/>
  <c r="CS103" i="33"/>
  <c r="CR103" i="33"/>
  <c r="CQ103" i="33"/>
  <c r="CQ156" i="33" s="1"/>
  <c r="CP103" i="33"/>
  <c r="CP156" i="33" s="1"/>
  <c r="CO103" i="33"/>
  <c r="CO156" i="33" s="1"/>
  <c r="CN103" i="33"/>
  <c r="CN156" i="33" s="1"/>
  <c r="CM103" i="33"/>
  <c r="CL103" i="33"/>
  <c r="CL156" i="33" s="1"/>
  <c r="CK103" i="33"/>
  <c r="CJ103" i="33"/>
  <c r="CI103" i="33"/>
  <c r="CH103" i="33"/>
  <c r="CH156" i="33" s="1"/>
  <c r="CG103" i="33"/>
  <c r="CG156" i="33" s="1"/>
  <c r="CF103" i="33"/>
  <c r="CF156" i="33" s="1"/>
  <c r="CE103" i="33"/>
  <c r="CD103" i="33"/>
  <c r="CD156" i="33" s="1"/>
  <c r="CC103" i="33"/>
  <c r="CB103" i="33"/>
  <c r="CY102" i="33"/>
  <c r="CY155" i="33" s="1"/>
  <c r="CX102" i="33"/>
  <c r="CX155" i="33" s="1"/>
  <c r="CW102" i="33"/>
  <c r="CW155" i="33" s="1"/>
  <c r="CV102" i="33"/>
  <c r="CV155" i="33" s="1"/>
  <c r="CU102" i="33"/>
  <c r="CT102" i="33"/>
  <c r="CT155" i="33" s="1"/>
  <c r="CS102" i="33"/>
  <c r="CR102" i="33"/>
  <c r="CQ102" i="33"/>
  <c r="CP102" i="33"/>
  <c r="CP155" i="33" s="1"/>
  <c r="CO102" i="33"/>
  <c r="CO155" i="33" s="1"/>
  <c r="CN102" i="33"/>
  <c r="CN155" i="33" s="1"/>
  <c r="CM102" i="33"/>
  <c r="CL102" i="33"/>
  <c r="CL155" i="33" s="1"/>
  <c r="CK102" i="33"/>
  <c r="CJ102" i="33"/>
  <c r="CI102" i="33"/>
  <c r="CI155" i="33" s="1"/>
  <c r="CH102" i="33"/>
  <c r="CH155" i="33" s="1"/>
  <c r="CG102" i="33"/>
  <c r="CG155" i="33" s="1"/>
  <c r="CF102" i="33"/>
  <c r="CF155" i="33" s="1"/>
  <c r="CE102" i="33"/>
  <c r="CD102" i="33"/>
  <c r="CD155" i="33" s="1"/>
  <c r="CC102" i="33"/>
  <c r="CB102" i="33"/>
  <c r="CY101" i="33"/>
  <c r="CX101" i="33"/>
  <c r="CX154" i="33" s="1"/>
  <c r="CW101" i="33"/>
  <c r="CW154" i="33" s="1"/>
  <c r="CV101" i="33"/>
  <c r="CV154" i="33" s="1"/>
  <c r="CU101" i="33"/>
  <c r="CT101" i="33"/>
  <c r="CT154" i="33" s="1"/>
  <c r="CS101" i="33"/>
  <c r="CR101" i="33"/>
  <c r="CQ101" i="33"/>
  <c r="CQ154" i="33" s="1"/>
  <c r="CP101" i="33"/>
  <c r="CP154" i="33" s="1"/>
  <c r="CO101" i="33"/>
  <c r="CO154" i="33" s="1"/>
  <c r="CN101" i="33"/>
  <c r="CN154" i="33" s="1"/>
  <c r="CM101" i="33"/>
  <c r="CL101" i="33"/>
  <c r="CL154" i="33" s="1"/>
  <c r="CK101" i="33"/>
  <c r="CJ101" i="33"/>
  <c r="CI101" i="33"/>
  <c r="CH101" i="33"/>
  <c r="CH154" i="33" s="1"/>
  <c r="CG101" i="33"/>
  <c r="CG154" i="33" s="1"/>
  <c r="CF101" i="33"/>
  <c r="CF154" i="33" s="1"/>
  <c r="CE101" i="33"/>
  <c r="CD101" i="33"/>
  <c r="CD154" i="33" s="1"/>
  <c r="CC101" i="33"/>
  <c r="CB101" i="33"/>
  <c r="CY100" i="33"/>
  <c r="CX100" i="33"/>
  <c r="CW100" i="33"/>
  <c r="CW153" i="33" s="1"/>
  <c r="CV100" i="33"/>
  <c r="CV153" i="33" s="1"/>
  <c r="CU100" i="33"/>
  <c r="CT100" i="33"/>
  <c r="CT153" i="33" s="1"/>
  <c r="CS100" i="33"/>
  <c r="CR100" i="33"/>
  <c r="CQ100" i="33"/>
  <c r="CP100" i="33"/>
  <c r="CP153" i="33" s="1"/>
  <c r="CO100" i="33"/>
  <c r="CO153" i="33" s="1"/>
  <c r="CN100" i="33"/>
  <c r="CN153" i="33" s="1"/>
  <c r="CM100" i="33"/>
  <c r="CL100" i="33"/>
  <c r="CL153" i="33" s="1"/>
  <c r="CK100" i="33"/>
  <c r="CJ100" i="33"/>
  <c r="CI100" i="33"/>
  <c r="CI153" i="33" s="1"/>
  <c r="CH100" i="33"/>
  <c r="CH153" i="33" s="1"/>
  <c r="CG100" i="33"/>
  <c r="CF100" i="33"/>
  <c r="CE100" i="33"/>
  <c r="CD100" i="33"/>
  <c r="CC100" i="33"/>
  <c r="CB100" i="33"/>
  <c r="CY99" i="33"/>
  <c r="CX99" i="33"/>
  <c r="CW99" i="33"/>
  <c r="CV99" i="33"/>
  <c r="CU99" i="33"/>
  <c r="CT99" i="33"/>
  <c r="CT152" i="33" s="1"/>
  <c r="CS99" i="33"/>
  <c r="CR99" i="33"/>
  <c r="CQ99" i="33"/>
  <c r="CP99" i="33"/>
  <c r="CP152" i="33" s="1"/>
  <c r="CO99" i="33"/>
  <c r="CO152" i="33" s="1"/>
  <c r="CN99" i="33"/>
  <c r="CN152" i="33" s="1"/>
  <c r="CM99" i="33"/>
  <c r="CL99" i="33"/>
  <c r="CL152" i="33" s="1"/>
  <c r="CK99" i="33"/>
  <c r="CJ99" i="33"/>
  <c r="CI99" i="33"/>
  <c r="CH99" i="33"/>
  <c r="CG99" i="33"/>
  <c r="CF99" i="33"/>
  <c r="CE99" i="33"/>
  <c r="CD99" i="33"/>
  <c r="CC99" i="33"/>
  <c r="CB99" i="33"/>
  <c r="CY98" i="33"/>
  <c r="CX98" i="33"/>
  <c r="CW98" i="33"/>
  <c r="CV98" i="33"/>
  <c r="CU98" i="33"/>
  <c r="CT98" i="33"/>
  <c r="CS98" i="33"/>
  <c r="CR98" i="33"/>
  <c r="CQ98" i="33"/>
  <c r="CP98" i="33"/>
  <c r="CP151" i="33" s="1"/>
  <c r="CO98" i="33"/>
  <c r="CO151" i="33" s="1"/>
  <c r="CN98" i="33"/>
  <c r="CN151" i="33" s="1"/>
  <c r="CM98" i="33"/>
  <c r="CL98" i="33"/>
  <c r="CK98" i="33"/>
  <c r="CJ98" i="33"/>
  <c r="CI98" i="33"/>
  <c r="CH98" i="33"/>
  <c r="CG98" i="33"/>
  <c r="CF98" i="33"/>
  <c r="CE98" i="33"/>
  <c r="CD98" i="33"/>
  <c r="CC98" i="33"/>
  <c r="CB98" i="33"/>
  <c r="BZ73" i="33"/>
  <c r="BZ72" i="33"/>
  <c r="BZ71" i="33"/>
  <c r="BZ70" i="33"/>
  <c r="BZ69" i="33"/>
  <c r="BZ68" i="33"/>
  <c r="BZ91" i="33" s="1"/>
  <c r="BZ155" i="33" s="1"/>
  <c r="BZ67" i="33"/>
  <c r="BZ66" i="33"/>
  <c r="BZ65" i="33"/>
  <c r="BZ64" i="33"/>
  <c r="AE103" i="33"/>
  <c r="AD103" i="33"/>
  <c r="AC103" i="33"/>
  <c r="AB103" i="33"/>
  <c r="AA103" i="33"/>
  <c r="Z103" i="33"/>
  <c r="Y103" i="33"/>
  <c r="X103" i="33"/>
  <c r="W103" i="33"/>
  <c r="V103" i="33"/>
  <c r="U103" i="33"/>
  <c r="T103" i="33"/>
  <c r="S103" i="33"/>
  <c r="R103" i="33"/>
  <c r="Q103" i="33"/>
  <c r="P103" i="33"/>
  <c r="O103" i="33"/>
  <c r="N103" i="33"/>
  <c r="M103" i="33"/>
  <c r="L103" i="33"/>
  <c r="K103" i="33"/>
  <c r="J103" i="33"/>
  <c r="I103" i="33"/>
  <c r="H103" i="33"/>
  <c r="AE102" i="33"/>
  <c r="AD102" i="33"/>
  <c r="AC102" i="33"/>
  <c r="AB102" i="33"/>
  <c r="AA102" i="33"/>
  <c r="Z102" i="33"/>
  <c r="Y102" i="33"/>
  <c r="X102" i="33"/>
  <c r="W102" i="33"/>
  <c r="V102" i="33"/>
  <c r="U102" i="33"/>
  <c r="T102" i="33"/>
  <c r="S102" i="33"/>
  <c r="R102" i="33"/>
  <c r="Q102" i="33"/>
  <c r="P102" i="33"/>
  <c r="O102" i="33"/>
  <c r="N102" i="33"/>
  <c r="M102" i="33"/>
  <c r="L102" i="33"/>
  <c r="K102" i="33"/>
  <c r="J102" i="33"/>
  <c r="I102" i="33"/>
  <c r="H102" i="33"/>
  <c r="AE101" i="33"/>
  <c r="AD101" i="33"/>
  <c r="AC101" i="33"/>
  <c r="AB101" i="33"/>
  <c r="AA101" i="33"/>
  <c r="Z101" i="33"/>
  <c r="Y101" i="33"/>
  <c r="X101" i="33"/>
  <c r="W101" i="33"/>
  <c r="V101" i="33"/>
  <c r="U101" i="33"/>
  <c r="T101" i="33"/>
  <c r="S101" i="33"/>
  <c r="R101" i="33"/>
  <c r="Q101" i="33"/>
  <c r="P101" i="33"/>
  <c r="O101" i="33"/>
  <c r="N101" i="33"/>
  <c r="M101" i="33"/>
  <c r="L101" i="33"/>
  <c r="K101" i="33"/>
  <c r="J101" i="33"/>
  <c r="I101" i="33"/>
  <c r="H101" i="33"/>
  <c r="AE100" i="33"/>
  <c r="AD100" i="33"/>
  <c r="AC100" i="33"/>
  <c r="AB100" i="33"/>
  <c r="AA100" i="33"/>
  <c r="Z100" i="33"/>
  <c r="Y100" i="33"/>
  <c r="X100" i="33"/>
  <c r="W100" i="33"/>
  <c r="V100" i="33"/>
  <c r="U100" i="33"/>
  <c r="T100" i="33"/>
  <c r="S100" i="33"/>
  <c r="R100" i="33"/>
  <c r="Q100" i="33"/>
  <c r="P100" i="33"/>
  <c r="O100" i="33"/>
  <c r="N100" i="33"/>
  <c r="M100" i="33"/>
  <c r="L100" i="33"/>
  <c r="K100" i="33"/>
  <c r="J100" i="33"/>
  <c r="I100" i="33"/>
  <c r="H100" i="33"/>
  <c r="AE99" i="33"/>
  <c r="AD99" i="33"/>
  <c r="AC99" i="33"/>
  <c r="AB99" i="33"/>
  <c r="AA99" i="33"/>
  <c r="Z99" i="33"/>
  <c r="Y99" i="33"/>
  <c r="X99" i="33"/>
  <c r="W99" i="33"/>
  <c r="V99" i="33"/>
  <c r="U99" i="33"/>
  <c r="T99" i="33"/>
  <c r="S99" i="33"/>
  <c r="R99" i="33"/>
  <c r="Q99" i="33"/>
  <c r="P99" i="33"/>
  <c r="O99" i="33"/>
  <c r="N99" i="33"/>
  <c r="M99" i="33"/>
  <c r="L99" i="33"/>
  <c r="K99" i="33"/>
  <c r="J99" i="33"/>
  <c r="I99" i="33"/>
  <c r="H99" i="33"/>
  <c r="AE98" i="33"/>
  <c r="AD98" i="33"/>
  <c r="AC98" i="33"/>
  <c r="AB98" i="33"/>
  <c r="AA98" i="33"/>
  <c r="Z98" i="33"/>
  <c r="Y98" i="33"/>
  <c r="X98" i="33"/>
  <c r="W98" i="33"/>
  <c r="V98" i="33"/>
  <c r="U98" i="33"/>
  <c r="T98" i="33"/>
  <c r="S98" i="33"/>
  <c r="R98" i="33"/>
  <c r="Q98" i="33"/>
  <c r="P98" i="33"/>
  <c r="O98" i="33"/>
  <c r="N98" i="33"/>
  <c r="M98" i="33"/>
  <c r="L98" i="33"/>
  <c r="K98" i="33"/>
  <c r="J98" i="33"/>
  <c r="I98" i="33"/>
  <c r="H98" i="33"/>
  <c r="AE97" i="33"/>
  <c r="AD97" i="33"/>
  <c r="AC97" i="33"/>
  <c r="AB97" i="33"/>
  <c r="AA97" i="33"/>
  <c r="Z97" i="33"/>
  <c r="Y97" i="33"/>
  <c r="X97" i="33"/>
  <c r="W97" i="33"/>
  <c r="V97" i="33"/>
  <c r="U97" i="33"/>
  <c r="T97" i="33"/>
  <c r="S97" i="33"/>
  <c r="R97" i="33"/>
  <c r="Q97" i="33"/>
  <c r="P97" i="33"/>
  <c r="O97" i="33"/>
  <c r="N97" i="33"/>
  <c r="M97" i="33"/>
  <c r="L97" i="33"/>
  <c r="K97" i="33"/>
  <c r="J97" i="33"/>
  <c r="I97" i="33"/>
  <c r="H97" i="33"/>
  <c r="AE96" i="33"/>
  <c r="AD96" i="33"/>
  <c r="AC96" i="33"/>
  <c r="AB96" i="33"/>
  <c r="AA96" i="33"/>
  <c r="Z96" i="33"/>
  <c r="Y96" i="33"/>
  <c r="X96" i="33"/>
  <c r="W96" i="33"/>
  <c r="V96" i="33"/>
  <c r="U96" i="33"/>
  <c r="T96" i="33"/>
  <c r="S96" i="33"/>
  <c r="R96" i="33"/>
  <c r="Q96" i="33"/>
  <c r="P96" i="33"/>
  <c r="O96" i="33"/>
  <c r="N96" i="33"/>
  <c r="M96" i="33"/>
  <c r="L96" i="33"/>
  <c r="K96" i="33"/>
  <c r="J96" i="33"/>
  <c r="I96" i="33"/>
  <c r="H96" i="33"/>
  <c r="AE95" i="33"/>
  <c r="AD95" i="33"/>
  <c r="AC95" i="33"/>
  <c r="AB95" i="33"/>
  <c r="AA95" i="33"/>
  <c r="Z95" i="33"/>
  <c r="Y95" i="33"/>
  <c r="X95" i="33"/>
  <c r="W95" i="33"/>
  <c r="V95" i="33"/>
  <c r="U95" i="33"/>
  <c r="T95" i="33"/>
  <c r="S95" i="33"/>
  <c r="R95" i="33"/>
  <c r="Q95" i="33"/>
  <c r="P95" i="33"/>
  <c r="O95" i="33"/>
  <c r="N95" i="33"/>
  <c r="M95" i="33"/>
  <c r="L95" i="33"/>
  <c r="K95" i="33"/>
  <c r="J95" i="33"/>
  <c r="I95" i="33"/>
  <c r="H95" i="33"/>
  <c r="AE94" i="33"/>
  <c r="AD94" i="33"/>
  <c r="AC94" i="33"/>
  <c r="AB94" i="33"/>
  <c r="AA94" i="33"/>
  <c r="Z94" i="33"/>
  <c r="Y94" i="33"/>
  <c r="X94" i="33"/>
  <c r="W94" i="33"/>
  <c r="V94" i="33"/>
  <c r="U94" i="33"/>
  <c r="T94" i="33"/>
  <c r="S94" i="33"/>
  <c r="R94" i="33"/>
  <c r="Q94" i="33"/>
  <c r="P94" i="33"/>
  <c r="O94" i="33"/>
  <c r="N94" i="33"/>
  <c r="M94" i="33"/>
  <c r="L94" i="33"/>
  <c r="K94" i="33"/>
  <c r="J94" i="33"/>
  <c r="I94" i="33"/>
  <c r="H94" i="33"/>
  <c r="BS118" i="33"/>
  <c r="BR118" i="33"/>
  <c r="BQ118" i="33"/>
  <c r="BP118" i="33"/>
  <c r="BO118" i="33"/>
  <c r="BN118" i="33"/>
  <c r="BM118" i="33"/>
  <c r="BL118" i="33"/>
  <c r="BK118" i="33"/>
  <c r="BJ118" i="33"/>
  <c r="BI118" i="33"/>
  <c r="BH118" i="33"/>
  <c r="BG118" i="33"/>
  <c r="BF118" i="33"/>
  <c r="BE118" i="33"/>
  <c r="BD118" i="33"/>
  <c r="BC118" i="33"/>
  <c r="BB118" i="33"/>
  <c r="BA118" i="33"/>
  <c r="AZ118" i="33"/>
  <c r="AY118" i="33"/>
  <c r="AX118" i="33"/>
  <c r="AW118" i="33"/>
  <c r="AV118" i="33"/>
  <c r="BS117" i="33"/>
  <c r="BR117" i="33"/>
  <c r="BQ117" i="33"/>
  <c r="BP117" i="33"/>
  <c r="BO117" i="33"/>
  <c r="BN117" i="33"/>
  <c r="BM117" i="33"/>
  <c r="BL117" i="33"/>
  <c r="BK117" i="33"/>
  <c r="BJ117" i="33"/>
  <c r="BI117" i="33"/>
  <c r="BH117" i="33"/>
  <c r="BG117" i="33"/>
  <c r="BF117" i="33"/>
  <c r="BE117" i="33"/>
  <c r="BD117" i="33"/>
  <c r="BC117" i="33"/>
  <c r="BB117" i="33"/>
  <c r="BA117" i="33"/>
  <c r="AZ117" i="33"/>
  <c r="AY117" i="33"/>
  <c r="AX117" i="33"/>
  <c r="AW117" i="33"/>
  <c r="AV117" i="33"/>
  <c r="BS116" i="33"/>
  <c r="BR116" i="33"/>
  <c r="BQ116" i="33"/>
  <c r="BP116" i="33"/>
  <c r="BO116" i="33"/>
  <c r="BN116" i="33"/>
  <c r="BM116" i="33"/>
  <c r="BL116" i="33"/>
  <c r="BK116" i="33"/>
  <c r="BJ116" i="33"/>
  <c r="BI116" i="33"/>
  <c r="BH116" i="33"/>
  <c r="BG116" i="33"/>
  <c r="BF116" i="33"/>
  <c r="BE116" i="33"/>
  <c r="BD116" i="33"/>
  <c r="BC116" i="33"/>
  <c r="BB116" i="33"/>
  <c r="BA116" i="33"/>
  <c r="AZ116" i="33"/>
  <c r="AY116" i="33"/>
  <c r="AX116" i="33"/>
  <c r="AW116" i="33"/>
  <c r="AV116" i="33"/>
  <c r="BS115" i="33"/>
  <c r="BR115" i="33"/>
  <c r="BQ115" i="33"/>
  <c r="BP115" i="33"/>
  <c r="BO115" i="33"/>
  <c r="BN115" i="33"/>
  <c r="BM115" i="33"/>
  <c r="BL115" i="33"/>
  <c r="BK115" i="33"/>
  <c r="BJ115" i="33"/>
  <c r="BI115" i="33"/>
  <c r="BH115" i="33"/>
  <c r="BG115" i="33"/>
  <c r="BF115" i="33"/>
  <c r="BE115" i="33"/>
  <c r="BD115" i="33"/>
  <c r="BC115" i="33"/>
  <c r="BB115" i="33"/>
  <c r="BA115" i="33"/>
  <c r="AZ115" i="33"/>
  <c r="AY115" i="33"/>
  <c r="AX115" i="33"/>
  <c r="AW115" i="33"/>
  <c r="AV115" i="33"/>
  <c r="BS114" i="33"/>
  <c r="BR114" i="33"/>
  <c r="BQ114" i="33"/>
  <c r="BP114" i="33"/>
  <c r="BO114" i="33"/>
  <c r="BN114" i="33"/>
  <c r="BM114" i="33"/>
  <c r="BL114" i="33"/>
  <c r="BK114" i="33"/>
  <c r="BJ114" i="33"/>
  <c r="BI114" i="33"/>
  <c r="BH114" i="33"/>
  <c r="BG114" i="33"/>
  <c r="BF114" i="33"/>
  <c r="BE114" i="33"/>
  <c r="BD114" i="33"/>
  <c r="BC114" i="33"/>
  <c r="BB114" i="33"/>
  <c r="BA114" i="33"/>
  <c r="AZ114" i="33"/>
  <c r="AY114" i="33"/>
  <c r="AX114" i="33"/>
  <c r="AW114" i="33"/>
  <c r="AV114" i="33"/>
  <c r="BS113" i="33"/>
  <c r="BR113" i="33"/>
  <c r="BQ113" i="33"/>
  <c r="BP113" i="33"/>
  <c r="BO113" i="33"/>
  <c r="BN113" i="33"/>
  <c r="BM113" i="33"/>
  <c r="BL113" i="33"/>
  <c r="BK113" i="33"/>
  <c r="BJ113" i="33"/>
  <c r="BI113" i="33"/>
  <c r="BH113" i="33"/>
  <c r="BG113" i="33"/>
  <c r="BF113" i="33"/>
  <c r="BE113" i="33"/>
  <c r="BD113" i="33"/>
  <c r="BC113" i="33"/>
  <c r="BB113" i="33"/>
  <c r="BA113" i="33"/>
  <c r="AZ113" i="33"/>
  <c r="AY113" i="33"/>
  <c r="AX113" i="33"/>
  <c r="AW113" i="33"/>
  <c r="AV113" i="33"/>
  <c r="BS112" i="33"/>
  <c r="BR112" i="33"/>
  <c r="BQ112" i="33"/>
  <c r="BP112" i="33"/>
  <c r="BO112" i="33"/>
  <c r="BN112" i="33"/>
  <c r="BM112" i="33"/>
  <c r="BL112" i="33"/>
  <c r="BK112" i="33"/>
  <c r="BJ112" i="33"/>
  <c r="BI112" i="33"/>
  <c r="BH112" i="33"/>
  <c r="BG112" i="33"/>
  <c r="BF112" i="33"/>
  <c r="BE112" i="33"/>
  <c r="BD112" i="33"/>
  <c r="BC112" i="33"/>
  <c r="BB112" i="33"/>
  <c r="BA112" i="33"/>
  <c r="AZ112" i="33"/>
  <c r="AY112" i="33"/>
  <c r="AX112" i="33"/>
  <c r="AW112" i="33"/>
  <c r="AV112" i="33"/>
  <c r="BS111" i="33"/>
  <c r="BR111" i="33"/>
  <c r="BQ111" i="33"/>
  <c r="BP111" i="33"/>
  <c r="BO111" i="33"/>
  <c r="BN111" i="33"/>
  <c r="BM111" i="33"/>
  <c r="BL111" i="33"/>
  <c r="BK111" i="33"/>
  <c r="BJ111" i="33"/>
  <c r="BI111" i="33"/>
  <c r="BH111" i="33"/>
  <c r="BG111" i="33"/>
  <c r="BF111" i="33"/>
  <c r="BE111" i="33"/>
  <c r="BD111" i="33"/>
  <c r="BC111" i="33"/>
  <c r="BB111" i="33"/>
  <c r="BA111" i="33"/>
  <c r="AZ111" i="33"/>
  <c r="AY111" i="33"/>
  <c r="AX111" i="33"/>
  <c r="AW111" i="33"/>
  <c r="AV111" i="33"/>
  <c r="BS110" i="33"/>
  <c r="BR110" i="33"/>
  <c r="BQ110" i="33"/>
  <c r="BP110" i="33"/>
  <c r="BO110" i="33"/>
  <c r="BN110" i="33"/>
  <c r="BM110" i="33"/>
  <c r="BL110" i="33"/>
  <c r="BK110" i="33"/>
  <c r="BJ110" i="33"/>
  <c r="BI110" i="33"/>
  <c r="BH110" i="33"/>
  <c r="BG110" i="33"/>
  <c r="BF110" i="33"/>
  <c r="BE110" i="33"/>
  <c r="BD110" i="33"/>
  <c r="BC110" i="33"/>
  <c r="BB110" i="33"/>
  <c r="BA110" i="33"/>
  <c r="AZ110" i="33"/>
  <c r="AY110" i="33"/>
  <c r="AX110" i="33"/>
  <c r="AW110" i="33"/>
  <c r="AV110" i="33"/>
  <c r="BS109" i="33"/>
  <c r="BR109" i="33"/>
  <c r="BQ109" i="33"/>
  <c r="BP109" i="33"/>
  <c r="BO109" i="33"/>
  <c r="BN109" i="33"/>
  <c r="BM109" i="33"/>
  <c r="BL109" i="33"/>
  <c r="BK109" i="33"/>
  <c r="BJ109" i="33"/>
  <c r="BI109" i="33"/>
  <c r="BG109" i="33"/>
  <c r="BF109" i="33"/>
  <c r="BE109" i="33"/>
  <c r="BD109" i="33"/>
  <c r="BC109" i="33"/>
  <c r="BB109" i="33"/>
  <c r="BA109" i="33"/>
  <c r="AZ109" i="33"/>
  <c r="AY109" i="33"/>
  <c r="AX109" i="33"/>
  <c r="AW109" i="33"/>
  <c r="AV109" i="33"/>
  <c r="BS107" i="33"/>
  <c r="BS159" i="33" s="1"/>
  <c r="BR107" i="33"/>
  <c r="BQ107" i="33"/>
  <c r="BP107" i="33"/>
  <c r="BP159" i="33" s="1"/>
  <c r="BO107" i="33"/>
  <c r="BO159" i="33" s="1"/>
  <c r="BN107" i="33"/>
  <c r="BM107" i="33"/>
  <c r="BL107" i="33"/>
  <c r="BL159" i="33" s="1"/>
  <c r="BK107" i="33"/>
  <c r="BK159" i="33" s="1"/>
  <c r="BJ107" i="33"/>
  <c r="BI107" i="33"/>
  <c r="BH107" i="33"/>
  <c r="BH159" i="33" s="1"/>
  <c r="BG107" i="33"/>
  <c r="BG159" i="33" s="1"/>
  <c r="BF107" i="33"/>
  <c r="BE107" i="33"/>
  <c r="BE159" i="33" s="1"/>
  <c r="BD107" i="33"/>
  <c r="BD159" i="33" s="1"/>
  <c r="BC107" i="33"/>
  <c r="BC159" i="33" s="1"/>
  <c r="BB107" i="33"/>
  <c r="BA107" i="33"/>
  <c r="AZ107" i="33"/>
  <c r="AY107" i="33"/>
  <c r="AY159" i="33" s="1"/>
  <c r="AX107" i="33"/>
  <c r="AW107" i="33"/>
  <c r="AV107" i="33"/>
  <c r="AV159" i="33" s="1"/>
  <c r="BS106" i="33"/>
  <c r="BS158" i="33" s="1"/>
  <c r="BR106" i="33"/>
  <c r="BQ106" i="33"/>
  <c r="BP106" i="33"/>
  <c r="BP158" i="33" s="1"/>
  <c r="BO106" i="33"/>
  <c r="BO158" i="33" s="1"/>
  <c r="BN106" i="33"/>
  <c r="BM106" i="33"/>
  <c r="BM158" i="33" s="1"/>
  <c r="BL106" i="33"/>
  <c r="BL158" i="33" s="1"/>
  <c r="BK106" i="33"/>
  <c r="BK158" i="33" s="1"/>
  <c r="BJ106" i="33"/>
  <c r="BI106" i="33"/>
  <c r="BH106" i="33"/>
  <c r="BH158" i="33" s="1"/>
  <c r="BG106" i="33"/>
  <c r="BG158" i="33" s="1"/>
  <c r="BF106" i="33"/>
  <c r="BE106" i="33"/>
  <c r="BE158" i="33" s="1"/>
  <c r="BD106" i="33"/>
  <c r="BD158" i="33" s="1"/>
  <c r="BC106" i="33"/>
  <c r="BC158" i="33" s="1"/>
  <c r="BB106" i="33"/>
  <c r="BA106" i="33"/>
  <c r="AZ106" i="33"/>
  <c r="AZ158" i="33" s="1"/>
  <c r="AY106" i="33"/>
  <c r="AY158" i="33" s="1"/>
  <c r="AX106" i="33"/>
  <c r="AW106" i="33"/>
  <c r="AW158" i="33" s="1"/>
  <c r="AV106" i="33"/>
  <c r="AV158" i="33" s="1"/>
  <c r="BS105" i="33"/>
  <c r="BS157" i="33" s="1"/>
  <c r="BR105" i="33"/>
  <c r="BQ105" i="33"/>
  <c r="BP105" i="33"/>
  <c r="BP157" i="33" s="1"/>
  <c r="BO105" i="33"/>
  <c r="BO157" i="33" s="1"/>
  <c r="BN105" i="33"/>
  <c r="BN157" i="33" s="1"/>
  <c r="BM105" i="33"/>
  <c r="BM157" i="33" s="1"/>
  <c r="BL105" i="33"/>
  <c r="BK105" i="33"/>
  <c r="BK157" i="33" s="1"/>
  <c r="BJ105" i="33"/>
  <c r="BI105" i="33"/>
  <c r="BH105" i="33"/>
  <c r="BH157" i="33" s="1"/>
  <c r="BG105" i="33"/>
  <c r="BG157" i="33" s="1"/>
  <c r="BF105" i="33"/>
  <c r="BF157" i="33" s="1"/>
  <c r="BE105" i="33"/>
  <c r="BE157" i="33" s="1"/>
  <c r="BD105" i="33"/>
  <c r="BD157" i="33" s="1"/>
  <c r="BC105" i="33"/>
  <c r="BC157" i="33" s="1"/>
  <c r="BB105" i="33"/>
  <c r="BA105" i="33"/>
  <c r="AZ105" i="33"/>
  <c r="AY105" i="33"/>
  <c r="AY157" i="33" s="1"/>
  <c r="AX105" i="33"/>
  <c r="AX157" i="33" s="1"/>
  <c r="AW105" i="33"/>
  <c r="AW157" i="33" s="1"/>
  <c r="AV105" i="33"/>
  <c r="BS104" i="33"/>
  <c r="BR104" i="33"/>
  <c r="BQ104" i="33"/>
  <c r="BP104" i="33"/>
  <c r="BO104" i="33"/>
  <c r="BN104" i="33"/>
  <c r="BM104" i="33"/>
  <c r="BL104" i="33"/>
  <c r="BK104" i="33"/>
  <c r="BJ104" i="33"/>
  <c r="BI104" i="33"/>
  <c r="BH104" i="33"/>
  <c r="BG104" i="33"/>
  <c r="BF104" i="33"/>
  <c r="BE104" i="33"/>
  <c r="BD104" i="33"/>
  <c r="BC104" i="33"/>
  <c r="BB104" i="33"/>
  <c r="BA104" i="33"/>
  <c r="AZ104" i="33"/>
  <c r="AY104" i="33"/>
  <c r="AX104" i="33"/>
  <c r="AW104" i="33"/>
  <c r="AV104" i="33"/>
  <c r="BS103" i="33"/>
  <c r="BS156" i="33" s="1"/>
  <c r="BR103" i="33"/>
  <c r="BQ103" i="33"/>
  <c r="BQ156" i="33" s="1"/>
  <c r="BP103" i="33"/>
  <c r="BP156" i="33" s="1"/>
  <c r="BO103" i="33"/>
  <c r="BO156" i="33" s="1"/>
  <c r="BN103" i="33"/>
  <c r="BM103" i="33"/>
  <c r="BM156" i="33" s="1"/>
  <c r="BL103" i="33"/>
  <c r="BL156" i="33" s="1"/>
  <c r="BK103" i="33"/>
  <c r="BK156" i="33" s="1"/>
  <c r="BJ103" i="33"/>
  <c r="BI103" i="33"/>
  <c r="BI156" i="33" s="1"/>
  <c r="BH103" i="33"/>
  <c r="BH156" i="33" s="1"/>
  <c r="BG103" i="33"/>
  <c r="BG156" i="33" s="1"/>
  <c r="BF103" i="33"/>
  <c r="BE103" i="33"/>
  <c r="BD103" i="33"/>
  <c r="BD156" i="33" s="1"/>
  <c r="BC103" i="33"/>
  <c r="BC156" i="33" s="1"/>
  <c r="BB103" i="33"/>
  <c r="BA103" i="33"/>
  <c r="BA156" i="33" s="1"/>
  <c r="AZ103" i="33"/>
  <c r="AZ156" i="33" s="1"/>
  <c r="AY103" i="33"/>
  <c r="AY156" i="33" s="1"/>
  <c r="AX103" i="33"/>
  <c r="AW103" i="33"/>
  <c r="AW156" i="33" s="1"/>
  <c r="AV103" i="33"/>
  <c r="AV156" i="33" s="1"/>
  <c r="BS102" i="33"/>
  <c r="BS155" i="33" s="1"/>
  <c r="BR102" i="33"/>
  <c r="BR155" i="33" s="1"/>
  <c r="BQ102" i="33"/>
  <c r="BQ155" i="33" s="1"/>
  <c r="BP102" i="33"/>
  <c r="BP155" i="33" s="1"/>
  <c r="BO102" i="33"/>
  <c r="BO155" i="33" s="1"/>
  <c r="BN102" i="33"/>
  <c r="BM102" i="33"/>
  <c r="BL102" i="33"/>
  <c r="BL155" i="33" s="1"/>
  <c r="BK102" i="33"/>
  <c r="BK155" i="33" s="1"/>
  <c r="BJ102" i="33"/>
  <c r="BJ155" i="33" s="1"/>
  <c r="BI102" i="33"/>
  <c r="BI155" i="33" s="1"/>
  <c r="BH102" i="33"/>
  <c r="BH155" i="33" s="1"/>
  <c r="BG102" i="33"/>
  <c r="BG155" i="33" s="1"/>
  <c r="BF102" i="33"/>
  <c r="BE102" i="33"/>
  <c r="BE155" i="33" s="1"/>
  <c r="BD102" i="33"/>
  <c r="BD155" i="33" s="1"/>
  <c r="BC102" i="33"/>
  <c r="BC155" i="33" s="1"/>
  <c r="BB102" i="33"/>
  <c r="BB155" i="33" s="1"/>
  <c r="BA102" i="33"/>
  <c r="BA155" i="33" s="1"/>
  <c r="AZ102" i="33"/>
  <c r="AZ155" i="33" s="1"/>
  <c r="AY102" i="33"/>
  <c r="AY155" i="33" s="1"/>
  <c r="AX102" i="33"/>
  <c r="AW102" i="33"/>
  <c r="AV102" i="33"/>
  <c r="BS101" i="33"/>
  <c r="BR101" i="33"/>
  <c r="BQ101" i="33"/>
  <c r="BP101" i="33"/>
  <c r="BO101" i="33"/>
  <c r="BN101" i="33"/>
  <c r="BM101" i="33"/>
  <c r="BM154" i="33" s="1"/>
  <c r="BL101" i="33"/>
  <c r="BL154" i="33" s="1"/>
  <c r="BK101" i="33"/>
  <c r="BK154" i="33" s="1"/>
  <c r="BJ101" i="33"/>
  <c r="BJ154" i="33" s="1"/>
  <c r="BI101" i="33"/>
  <c r="BI154" i="33" s="1"/>
  <c r="BH101" i="33"/>
  <c r="BG101" i="33"/>
  <c r="BG154" i="33" s="1"/>
  <c r="BF101" i="33"/>
  <c r="BE101" i="33"/>
  <c r="BE154" i="33" s="1"/>
  <c r="BD101" i="33"/>
  <c r="BC101" i="33"/>
  <c r="BB101" i="33"/>
  <c r="BA101" i="33"/>
  <c r="AZ101" i="33"/>
  <c r="AY101" i="33"/>
  <c r="AX101" i="33"/>
  <c r="AW101" i="33"/>
  <c r="AV101" i="33"/>
  <c r="BS100" i="33"/>
  <c r="BR100" i="33"/>
  <c r="BQ100" i="33"/>
  <c r="BP100" i="33"/>
  <c r="BO100" i="33"/>
  <c r="BN100" i="33"/>
  <c r="BM100" i="33"/>
  <c r="BL100" i="33"/>
  <c r="BK100" i="33"/>
  <c r="BJ100" i="33"/>
  <c r="BI100" i="33"/>
  <c r="BH100" i="33"/>
  <c r="BG100" i="33"/>
  <c r="BF100" i="33"/>
  <c r="BE100" i="33"/>
  <c r="BD100" i="33"/>
  <c r="BC100" i="33"/>
  <c r="BB100" i="33"/>
  <c r="BA100" i="33"/>
  <c r="AZ100" i="33"/>
  <c r="AY100" i="33"/>
  <c r="AX100" i="33"/>
  <c r="AW100" i="33"/>
  <c r="AV100" i="33"/>
  <c r="BS99" i="33"/>
  <c r="BR99" i="33"/>
  <c r="BQ99" i="33"/>
  <c r="BP99" i="33"/>
  <c r="BO99" i="33"/>
  <c r="BN99" i="33"/>
  <c r="BM99" i="33"/>
  <c r="BM152" i="33" s="1"/>
  <c r="BL99" i="33"/>
  <c r="BL152" i="33" s="1"/>
  <c r="BK99" i="33"/>
  <c r="BK152" i="33" s="1"/>
  <c r="BJ99" i="33"/>
  <c r="BI99" i="33"/>
  <c r="BH99" i="33"/>
  <c r="BH152" i="33" s="1"/>
  <c r="BG99" i="33"/>
  <c r="BG152" i="33" s="1"/>
  <c r="BF99" i="33"/>
  <c r="BE99" i="33"/>
  <c r="BE152" i="33" s="1"/>
  <c r="BD99" i="33"/>
  <c r="BC99" i="33"/>
  <c r="BB99" i="33"/>
  <c r="BA99" i="33"/>
  <c r="AZ99" i="33"/>
  <c r="AY99" i="33"/>
  <c r="AX99" i="33"/>
  <c r="AW99" i="33"/>
  <c r="AV99" i="33"/>
  <c r="BS98" i="33"/>
  <c r="BR98" i="33"/>
  <c r="BQ98" i="33"/>
  <c r="BP98" i="33"/>
  <c r="BO98" i="33"/>
  <c r="BN98" i="33"/>
  <c r="BM98" i="33"/>
  <c r="BM151" i="33" s="1"/>
  <c r="BL98" i="33"/>
  <c r="BL151" i="33" s="1"/>
  <c r="BK98" i="33"/>
  <c r="BK151" i="33" s="1"/>
  <c r="BJ98" i="33"/>
  <c r="BI98" i="33"/>
  <c r="BH98" i="33"/>
  <c r="BG98" i="33"/>
  <c r="BF98" i="33"/>
  <c r="BE98" i="33"/>
  <c r="BD98" i="33"/>
  <c r="BC98" i="33"/>
  <c r="BB98" i="33"/>
  <c r="BA98" i="33"/>
  <c r="AZ98" i="33"/>
  <c r="AY98" i="33"/>
  <c r="AX98" i="33"/>
  <c r="AW98" i="33"/>
  <c r="AV98" i="33"/>
  <c r="AT96" i="33"/>
  <c r="AT73" i="33" s="1"/>
  <c r="AT95" i="33"/>
  <c r="AT94" i="33"/>
  <c r="AT93" i="33"/>
  <c r="AT92" i="33"/>
  <c r="AT80" i="33" s="1"/>
  <c r="AT91" i="33"/>
  <c r="AT90" i="33"/>
  <c r="AT89" i="33"/>
  <c r="AT153" i="33" s="1"/>
  <c r="AT88" i="33"/>
  <c r="AT65" i="33" s="1"/>
  <c r="AT87" i="33"/>
  <c r="D286" i="33"/>
  <c r="C286" i="33"/>
  <c r="H218" i="33"/>
  <c r="H217" i="33"/>
  <c r="H216" i="33"/>
  <c r="C215" i="33"/>
  <c r="C213" i="33"/>
  <c r="C200" i="33"/>
  <c r="C198" i="33"/>
  <c r="C196" i="33"/>
  <c r="C168" i="33"/>
  <c r="C167" i="33"/>
  <c r="C164" i="33"/>
  <c r="C163" i="33"/>
  <c r="G155" i="33"/>
  <c r="G152" i="33"/>
  <c r="G151" i="33"/>
  <c r="G148" i="33"/>
  <c r="G147" i="33"/>
  <c r="C150" i="33"/>
  <c r="C147" i="33"/>
  <c r="C146" i="33"/>
  <c r="C141" i="33"/>
  <c r="C140" i="33"/>
  <c r="C139" i="33"/>
  <c r="C66" i="33"/>
  <c r="C65" i="33"/>
  <c r="C64" i="33"/>
  <c r="C63" i="33"/>
  <c r="DC62" i="33"/>
  <c r="DD62" i="33" s="1"/>
  <c r="BZ62" i="33"/>
  <c r="CA62" i="33" s="1"/>
  <c r="AT62" i="33"/>
  <c r="K225" i="33"/>
  <c r="K224" i="33"/>
  <c r="K223" i="33"/>
  <c r="DD96" i="33"/>
  <c r="DV96" i="33" s="1"/>
  <c r="DD95" i="33"/>
  <c r="DQ95" i="33" s="1"/>
  <c r="DD94" i="33"/>
  <c r="EB94" i="33" s="1"/>
  <c r="DD93" i="33"/>
  <c r="DJ93" i="33" s="1"/>
  <c r="DD92" i="33"/>
  <c r="DD91" i="33"/>
  <c r="DW91" i="33" s="1"/>
  <c r="DD90" i="33"/>
  <c r="EA90" i="33" s="1"/>
  <c r="DD89" i="33"/>
  <c r="DD88" i="33"/>
  <c r="DV88" i="33" s="1"/>
  <c r="DD87" i="33"/>
  <c r="DW87" i="33" s="1"/>
  <c r="CA96" i="33"/>
  <c r="CY96" i="33" s="1"/>
  <c r="CA95" i="33"/>
  <c r="CA94" i="33"/>
  <c r="CA93" i="33"/>
  <c r="CX93" i="33" s="1"/>
  <c r="CA92" i="33"/>
  <c r="CA91" i="33"/>
  <c r="CA90" i="33"/>
  <c r="CA89" i="33"/>
  <c r="CA88" i="33"/>
  <c r="CX88" i="33" s="1"/>
  <c r="CA87" i="33"/>
  <c r="CB87" i="33" s="1"/>
  <c r="AU96" i="33"/>
  <c r="AU95" i="33"/>
  <c r="CX95" i="33" s="1"/>
  <c r="AU94" i="33"/>
  <c r="CW94" i="33" s="1"/>
  <c r="AU93" i="33"/>
  <c r="AU92" i="33"/>
  <c r="CN92" i="33" s="1"/>
  <c r="AU91" i="33"/>
  <c r="CN91" i="33" s="1"/>
  <c r="AU90" i="33"/>
  <c r="CP90" i="33" s="1"/>
  <c r="AU89" i="33"/>
  <c r="AZ89" i="33" s="1"/>
  <c r="AU88" i="33"/>
  <c r="AU87" i="33"/>
  <c r="BR87" i="33" s="1"/>
  <c r="C83" i="33"/>
  <c r="C62" i="33"/>
  <c r="C61" i="33"/>
  <c r="D61" i="33" s="1"/>
  <c r="C60" i="33"/>
  <c r="D60" i="33" s="1"/>
  <c r="C59" i="33"/>
  <c r="D59" i="33" s="1"/>
  <c r="C58" i="33"/>
  <c r="D58" i="33" s="1"/>
  <c r="C57" i="33"/>
  <c r="C56" i="33"/>
  <c r="D56" i="33" s="1"/>
  <c r="C55" i="33"/>
  <c r="D55" i="33" s="1"/>
  <c r="C54" i="33"/>
  <c r="C53" i="33"/>
  <c r="D53" i="33" s="1"/>
  <c r="C52" i="33"/>
  <c r="D52" i="33" s="1"/>
  <c r="C51" i="33"/>
  <c r="D51" i="33" s="1"/>
  <c r="C50" i="33"/>
  <c r="D50" i="33" s="1"/>
  <c r="C49" i="33"/>
  <c r="C47" i="33"/>
  <c r="D47" i="33" s="1"/>
  <c r="C46" i="33"/>
  <c r="D46" i="33" s="1"/>
  <c r="C44" i="33"/>
  <c r="D44" i="33" s="1"/>
  <c r="C43" i="33"/>
  <c r="D43" i="33" s="1"/>
  <c r="C37" i="33"/>
  <c r="D37" i="33" s="1"/>
  <c r="C36" i="33"/>
  <c r="D36" i="33" s="1"/>
  <c r="C35" i="33"/>
  <c r="D35" i="33" s="1"/>
  <c r="C33" i="33"/>
  <c r="C32" i="33"/>
  <c r="D32" i="33" s="1"/>
  <c r="C31" i="33"/>
  <c r="D31" i="33" s="1"/>
  <c r="C29" i="33"/>
  <c r="C28" i="33"/>
  <c r="D28" i="33" s="1"/>
  <c r="C27" i="33"/>
  <c r="D27" i="33" s="1"/>
  <c r="C26" i="33"/>
  <c r="D26" i="33" s="1"/>
  <c r="C25" i="33"/>
  <c r="D25" i="33" s="1"/>
  <c r="C24" i="33"/>
  <c r="C23" i="33"/>
  <c r="D23" i="33" s="1"/>
  <c r="C21" i="33"/>
  <c r="D21" i="33" s="1"/>
  <c r="C20" i="33"/>
  <c r="D20" i="33" s="1"/>
  <c r="C19" i="33"/>
  <c r="D19" i="33" s="1"/>
  <c r="C18" i="33"/>
  <c r="D18" i="33" s="1"/>
  <c r="C17" i="33"/>
  <c r="D17" i="33" s="1"/>
  <c r="C16" i="33"/>
  <c r="C15" i="33"/>
  <c r="C14" i="33"/>
  <c r="D14" i="33" s="1"/>
  <c r="C13" i="33"/>
  <c r="D13" i="33" s="1"/>
  <c r="C12" i="33"/>
  <c r="D12" i="33" s="1"/>
  <c r="C11" i="33"/>
  <c r="D11" i="33" s="1"/>
  <c r="C8" i="33"/>
  <c r="D8" i="33" s="1"/>
  <c r="C7" i="33"/>
  <c r="D7" i="33" s="1"/>
  <c r="C6" i="33"/>
  <c r="C5" i="33"/>
  <c r="C4" i="33"/>
  <c r="D4" i="33" s="1"/>
  <c r="C3" i="33"/>
  <c r="D3" i="33" s="1"/>
  <c r="C2" i="33"/>
  <c r="D2" i="33" s="1"/>
  <c r="C1" i="33"/>
  <c r="D1" i="33" s="1"/>
  <c r="EA159" i="33"/>
  <c r="DZ159" i="33"/>
  <c r="DX159" i="33"/>
  <c r="DW159" i="33"/>
  <c r="DV159" i="33"/>
  <c r="DS159" i="33"/>
  <c r="DP159" i="33"/>
  <c r="DO159" i="33"/>
  <c r="DN159" i="33"/>
  <c r="DK159" i="33"/>
  <c r="DH159" i="33"/>
  <c r="DG159" i="33"/>
  <c r="DF159" i="33"/>
  <c r="CU159" i="33"/>
  <c r="CS159" i="33"/>
  <c r="CR159" i="33"/>
  <c r="CM159" i="33"/>
  <c r="CK159" i="33"/>
  <c r="CJ159" i="33"/>
  <c r="CE159" i="33"/>
  <c r="CD159" i="33"/>
  <c r="CC159" i="33"/>
  <c r="CB159" i="33"/>
  <c r="BR159" i="33"/>
  <c r="BQ159" i="33"/>
  <c r="BN159" i="33"/>
  <c r="BM159" i="33"/>
  <c r="BJ159" i="33"/>
  <c r="BI159" i="33"/>
  <c r="BF159" i="33"/>
  <c r="BB159" i="33"/>
  <c r="BA159" i="33"/>
  <c r="AZ159" i="33"/>
  <c r="AX159" i="33"/>
  <c r="AW159" i="33"/>
  <c r="EA158" i="33"/>
  <c r="DX158" i="33"/>
  <c r="DW158" i="33"/>
  <c r="DV158" i="33"/>
  <c r="DS158" i="33"/>
  <c r="DP158" i="33"/>
  <c r="DO158" i="33"/>
  <c r="DN158" i="33"/>
  <c r="DK158" i="33"/>
  <c r="DH158" i="33"/>
  <c r="DG158" i="33"/>
  <c r="DF158" i="33"/>
  <c r="CY158" i="33"/>
  <c r="CU158" i="33"/>
  <c r="CS158" i="33"/>
  <c r="CR158" i="33"/>
  <c r="CM158" i="33"/>
  <c r="CL158" i="33"/>
  <c r="CK158" i="33"/>
  <c r="CJ158" i="33"/>
  <c r="CI158" i="33"/>
  <c r="CE158" i="33"/>
  <c r="CC158" i="33"/>
  <c r="CB158" i="33"/>
  <c r="BR158" i="33"/>
  <c r="BQ158" i="33"/>
  <c r="BN158" i="33"/>
  <c r="BJ158" i="33"/>
  <c r="BI158" i="33"/>
  <c r="BF158" i="33"/>
  <c r="BB158" i="33"/>
  <c r="BA158" i="33"/>
  <c r="AX158" i="33"/>
  <c r="EA157" i="33"/>
  <c r="DX157" i="33"/>
  <c r="DW157" i="33"/>
  <c r="DV157" i="33"/>
  <c r="DS157" i="33"/>
  <c r="DP157" i="33"/>
  <c r="DO157" i="33"/>
  <c r="DN157" i="33"/>
  <c r="DK157" i="33"/>
  <c r="DJ157" i="33"/>
  <c r="DH157" i="33"/>
  <c r="DG157" i="33"/>
  <c r="DF157" i="33"/>
  <c r="CW157" i="33"/>
  <c r="CV157" i="33"/>
  <c r="CU157" i="33"/>
  <c r="CS157" i="33"/>
  <c r="CR157" i="33"/>
  <c r="CO157" i="33"/>
  <c r="CN157" i="33"/>
  <c r="CM157" i="33"/>
  <c r="CK157" i="33"/>
  <c r="CJ157" i="33"/>
  <c r="CI157" i="33"/>
  <c r="CG157" i="33"/>
  <c r="CF157" i="33"/>
  <c r="CE157" i="33"/>
  <c r="CC157" i="33"/>
  <c r="CB157" i="33"/>
  <c r="BR157" i="33"/>
  <c r="BQ157" i="33"/>
  <c r="BL157" i="33"/>
  <c r="BJ157" i="33"/>
  <c r="BI157" i="33"/>
  <c r="BB157" i="33"/>
  <c r="BA157" i="33"/>
  <c r="AZ157" i="33"/>
  <c r="AV157" i="33"/>
  <c r="EA156" i="33"/>
  <c r="DX156" i="33"/>
  <c r="DW156" i="33"/>
  <c r="DV156" i="33"/>
  <c r="DS156" i="33"/>
  <c r="DP156" i="33"/>
  <c r="DO156" i="33"/>
  <c r="DN156" i="33"/>
  <c r="DK156" i="33"/>
  <c r="DH156" i="33"/>
  <c r="DG156" i="33"/>
  <c r="DF156" i="33"/>
  <c r="CY156" i="33"/>
  <c r="CU156" i="33"/>
  <c r="CS156" i="33"/>
  <c r="CR156" i="33"/>
  <c r="CM156" i="33"/>
  <c r="CK156" i="33"/>
  <c r="CJ156" i="33"/>
  <c r="CI156" i="33"/>
  <c r="CE156" i="33"/>
  <c r="CC156" i="33"/>
  <c r="CB156" i="33"/>
  <c r="BR156" i="33"/>
  <c r="BN156" i="33"/>
  <c r="BJ156" i="33"/>
  <c r="BF156" i="33"/>
  <c r="BE156" i="33"/>
  <c r="BB156" i="33"/>
  <c r="AX156" i="33"/>
  <c r="EA155" i="33"/>
  <c r="DX155" i="33"/>
  <c r="DW155" i="33"/>
  <c r="DV155" i="33"/>
  <c r="DS155" i="33"/>
  <c r="DP155" i="33"/>
  <c r="DO155" i="33"/>
  <c r="DN155" i="33"/>
  <c r="DK155" i="33"/>
  <c r="DJ155" i="33"/>
  <c r="DH155" i="33"/>
  <c r="DG155" i="33"/>
  <c r="DF155" i="33"/>
  <c r="CU155" i="33"/>
  <c r="CS155" i="33"/>
  <c r="CR155" i="33"/>
  <c r="CQ155" i="33"/>
  <c r="CM155" i="33"/>
  <c r="CK155" i="33"/>
  <c r="CJ155" i="33"/>
  <c r="CE155" i="33"/>
  <c r="CC155" i="33"/>
  <c r="CB155" i="33"/>
  <c r="BN155" i="33"/>
  <c r="BM155" i="33"/>
  <c r="BF155" i="33"/>
  <c r="AX155" i="33"/>
  <c r="AW155" i="33"/>
  <c r="AV155" i="33"/>
  <c r="EA154" i="33"/>
  <c r="DX154" i="33"/>
  <c r="DW154" i="33"/>
  <c r="DV154" i="33"/>
  <c r="DS154" i="33"/>
  <c r="DP154" i="33"/>
  <c r="DO154" i="33"/>
  <c r="DN154" i="33"/>
  <c r="DK154" i="33"/>
  <c r="DH154" i="33"/>
  <c r="DG154" i="33"/>
  <c r="DF154" i="33"/>
  <c r="CY154" i="33"/>
  <c r="CU154" i="33"/>
  <c r="CS154" i="33"/>
  <c r="CR154" i="33"/>
  <c r="CM154" i="33"/>
  <c r="CK154" i="33"/>
  <c r="CJ154" i="33"/>
  <c r="CI154" i="33"/>
  <c r="CE154" i="33"/>
  <c r="CC154" i="33"/>
  <c r="CB154" i="33"/>
  <c r="BN154" i="33"/>
  <c r="BH154" i="33"/>
  <c r="BF154" i="33"/>
  <c r="EA153" i="33"/>
  <c r="DZ153" i="33"/>
  <c r="DX153" i="33"/>
  <c r="DW153" i="33"/>
  <c r="DV153" i="33"/>
  <c r="DS153" i="33"/>
  <c r="DP153" i="33"/>
  <c r="DO153" i="33"/>
  <c r="DN153" i="33"/>
  <c r="DK153" i="33"/>
  <c r="DH153" i="33"/>
  <c r="DG153" i="33"/>
  <c r="DF153" i="33"/>
  <c r="CU153" i="33"/>
  <c r="CS153" i="33"/>
  <c r="CR153" i="33"/>
  <c r="CQ153" i="33"/>
  <c r="CM153" i="33"/>
  <c r="CK153" i="33"/>
  <c r="CJ153" i="33"/>
  <c r="EA152" i="33"/>
  <c r="DX152" i="33"/>
  <c r="DW152" i="33"/>
  <c r="DV152" i="33"/>
  <c r="DS152" i="33"/>
  <c r="DP152" i="33"/>
  <c r="DO152" i="33"/>
  <c r="DN152" i="33"/>
  <c r="DK152" i="33"/>
  <c r="DJ152" i="33"/>
  <c r="DH152" i="33"/>
  <c r="DG152" i="33"/>
  <c r="DF152" i="33"/>
  <c r="CU152" i="33"/>
  <c r="CS152" i="33"/>
  <c r="CR152" i="33"/>
  <c r="CQ152" i="33"/>
  <c r="CM152" i="33"/>
  <c r="BN152" i="33"/>
  <c r="BJ152" i="33"/>
  <c r="BI152" i="33"/>
  <c r="BF152" i="33"/>
  <c r="EB151" i="33"/>
  <c r="EA151" i="33"/>
  <c r="DX151" i="33"/>
  <c r="DW151" i="33"/>
  <c r="DV151" i="33"/>
  <c r="DT151" i="33"/>
  <c r="DS151" i="33"/>
  <c r="DP151" i="33"/>
  <c r="DO151" i="33"/>
  <c r="DN151" i="33"/>
  <c r="DL151" i="33"/>
  <c r="DK151" i="33"/>
  <c r="DH151" i="33"/>
  <c r="DG151" i="33"/>
  <c r="DF151" i="33"/>
  <c r="CS151" i="33"/>
  <c r="CR151" i="33"/>
  <c r="CQ151" i="33"/>
  <c r="CM151" i="33"/>
  <c r="CL151" i="33"/>
  <c r="BJ151" i="33"/>
  <c r="BI151" i="33"/>
  <c r="BH151" i="33"/>
  <c r="BG151" i="33"/>
  <c r="EA96" i="33"/>
  <c r="DZ96" i="33"/>
  <c r="DX96" i="33"/>
  <c r="DK96" i="33"/>
  <c r="DJ96" i="33"/>
  <c r="DH96" i="33"/>
  <c r="BQ96" i="33"/>
  <c r="BM96" i="33"/>
  <c r="BI96" i="33"/>
  <c r="BE96" i="33"/>
  <c r="BA96" i="33"/>
  <c r="AW96" i="33"/>
  <c r="BL96" i="33"/>
  <c r="CF95" i="33"/>
  <c r="BR95" i="33"/>
  <c r="BL95" i="33"/>
  <c r="BJ95" i="33"/>
  <c r="BD95" i="33"/>
  <c r="BB95" i="33"/>
  <c r="AV95" i="33"/>
  <c r="BM95" i="33"/>
  <c r="AT158" i="33"/>
  <c r="AT157" i="33"/>
  <c r="W129" i="33"/>
  <c r="K138" i="33"/>
  <c r="DS93" i="33"/>
  <c r="DR93" i="33"/>
  <c r="DI93" i="33"/>
  <c r="CU93" i="33"/>
  <c r="CT93" i="33"/>
  <c r="CN93" i="33"/>
  <c r="CM93" i="33"/>
  <c r="CH93" i="33"/>
  <c r="CF93" i="33"/>
  <c r="CB93" i="33"/>
  <c r="CS93" i="33"/>
  <c r="BR93" i="33"/>
  <c r="BQ93" i="33"/>
  <c r="BP93" i="33"/>
  <c r="BN93" i="33"/>
  <c r="BM93" i="33"/>
  <c r="BL93" i="33"/>
  <c r="BJ93" i="33"/>
  <c r="BI93" i="33"/>
  <c r="BH93" i="33"/>
  <c r="BF93" i="33"/>
  <c r="BE93" i="33"/>
  <c r="BD93" i="33"/>
  <c r="BB93" i="33"/>
  <c r="BA93" i="33"/>
  <c r="AZ93" i="33"/>
  <c r="AX93" i="33"/>
  <c r="AW93" i="33"/>
  <c r="AV93" i="33"/>
  <c r="BO93" i="33"/>
  <c r="EA92" i="33"/>
  <c r="DZ92" i="33"/>
  <c r="DY92" i="33"/>
  <c r="DW92" i="33"/>
  <c r="DV92" i="33"/>
  <c r="DU92" i="33"/>
  <c r="DS92" i="33"/>
  <c r="DR92" i="33"/>
  <c r="DQ92" i="33"/>
  <c r="DO92" i="33"/>
  <c r="DN92" i="33"/>
  <c r="DM92" i="33"/>
  <c r="DK92" i="33"/>
  <c r="DJ92" i="33"/>
  <c r="DI92" i="33"/>
  <c r="DG92" i="33"/>
  <c r="DF92" i="33"/>
  <c r="DE92" i="33"/>
  <c r="EB92" i="33"/>
  <c r="BM92" i="33"/>
  <c r="BL92" i="33"/>
  <c r="BJ92" i="33"/>
  <c r="BB92" i="33"/>
  <c r="BA92" i="33"/>
  <c r="AZ92" i="33"/>
  <c r="DZ91" i="33"/>
  <c r="DY91" i="33"/>
  <c r="DU91" i="33"/>
  <c r="DS91" i="33"/>
  <c r="DO91" i="33"/>
  <c r="DN91" i="33"/>
  <c r="DJ91" i="33"/>
  <c r="DI91" i="33"/>
  <c r="DE91" i="33"/>
  <c r="EB91" i="33"/>
  <c r="CP91" i="33"/>
  <c r="CF91" i="33"/>
  <c r="DG90" i="33"/>
  <c r="EA89" i="33"/>
  <c r="DZ89" i="33"/>
  <c r="DY89" i="33"/>
  <c r="DW89" i="33"/>
  <c r="DV89" i="33"/>
  <c r="DU89" i="33"/>
  <c r="DS89" i="33"/>
  <c r="DR89" i="33"/>
  <c r="DQ89" i="33"/>
  <c r="DO89" i="33"/>
  <c r="DN89" i="33"/>
  <c r="DM89" i="33"/>
  <c r="DK89" i="33"/>
  <c r="DJ89" i="33"/>
  <c r="DI89" i="33"/>
  <c r="DG89" i="33"/>
  <c r="DF89" i="33"/>
  <c r="DE89" i="33"/>
  <c r="EB89" i="33"/>
  <c r="BI89" i="33"/>
  <c r="DZ88" i="33"/>
  <c r="DY88" i="33"/>
  <c r="DW88" i="33"/>
  <c r="DO88" i="33"/>
  <c r="DN88" i="33"/>
  <c r="DM88" i="33"/>
  <c r="DE88" i="33"/>
  <c r="EB88" i="33"/>
  <c r="BR88" i="33"/>
  <c r="BQ88" i="33"/>
  <c r="BP88" i="33"/>
  <c r="BN88" i="33"/>
  <c r="BM88" i="33"/>
  <c r="BL88" i="33"/>
  <c r="BJ88" i="33"/>
  <c r="BI88" i="33"/>
  <c r="BH88" i="33"/>
  <c r="BF88" i="33"/>
  <c r="BE88" i="33"/>
  <c r="BD88" i="33"/>
  <c r="BB88" i="33"/>
  <c r="BA88" i="33"/>
  <c r="AZ88" i="33"/>
  <c r="AX88" i="33"/>
  <c r="AW88" i="33"/>
  <c r="AV88" i="33"/>
  <c r="BO88" i="33"/>
  <c r="EB87" i="33"/>
  <c r="CP87" i="33"/>
  <c r="CN87" i="33"/>
  <c r="CM87" i="33"/>
  <c r="CQ87" i="33"/>
  <c r="BP87" i="33"/>
  <c r="BN87" i="33"/>
  <c r="BJ87" i="33"/>
  <c r="BI87" i="33"/>
  <c r="BE87" i="33"/>
  <c r="BD87" i="33"/>
  <c r="AZ87" i="33"/>
  <c r="AX87" i="33"/>
  <c r="BO87" i="33"/>
  <c r="AT151" i="33"/>
  <c r="DC85" i="33"/>
  <c r="DC118" i="33" s="1"/>
  <c r="AT84" i="33"/>
  <c r="DC82" i="33"/>
  <c r="DC116" i="33" s="1"/>
  <c r="AT82" i="33"/>
  <c r="AT81" i="33"/>
  <c r="AT75" i="33"/>
  <c r="AT72" i="33"/>
  <c r="AT71" i="33"/>
  <c r="AT70" i="33"/>
  <c r="DC80" i="33"/>
  <c r="DC114" i="33" s="1"/>
  <c r="AT69" i="33"/>
  <c r="AT68" i="33"/>
  <c r="AT64" i="33"/>
  <c r="AU62" i="33"/>
  <c r="D62" i="33"/>
  <c r="D57" i="33"/>
  <c r="D54" i="33"/>
  <c r="D49" i="33"/>
  <c r="D33" i="33"/>
  <c r="D29" i="33"/>
  <c r="D24" i="33"/>
  <c r="D16" i="33"/>
  <c r="D15" i="33"/>
  <c r="D6" i="33"/>
  <c r="D5" i="33"/>
  <c r="BJ89" i="33" l="1"/>
  <c r="CM89" i="33"/>
  <c r="DO87" i="33"/>
  <c r="DF88" i="33"/>
  <c r="DQ88" i="33"/>
  <c r="EA88" i="33"/>
  <c r="BD92" i="33"/>
  <c r="BN92" i="33"/>
  <c r="DN96" i="33"/>
  <c r="DE87" i="33"/>
  <c r="DQ87" i="33"/>
  <c r="DG88" i="33"/>
  <c r="DR88" i="33"/>
  <c r="BA91" i="33"/>
  <c r="BO92" i="33"/>
  <c r="BE92" i="33"/>
  <c r="BP92" i="33"/>
  <c r="DP96" i="33"/>
  <c r="CT92" i="33"/>
  <c r="AT66" i="33"/>
  <c r="AT77" i="33"/>
  <c r="EA87" i="33"/>
  <c r="DI88" i="33"/>
  <c r="DS88" i="33"/>
  <c r="BB91" i="33"/>
  <c r="AV92" i="33"/>
  <c r="BF92" i="33"/>
  <c r="BQ92" i="33"/>
  <c r="DZ95" i="33"/>
  <c r="DR96" i="33"/>
  <c r="DJ88" i="33"/>
  <c r="DU88" i="33"/>
  <c r="BM91" i="33"/>
  <c r="AW92" i="33"/>
  <c r="BH92" i="33"/>
  <c r="BR92" i="33"/>
  <c r="DS95" i="33"/>
  <c r="DY96" i="33"/>
  <c r="DS96" i="33"/>
  <c r="DK88" i="33"/>
  <c r="CN89" i="33"/>
  <c r="BN91" i="33"/>
  <c r="AX92" i="33"/>
  <c r="BI92" i="33"/>
  <c r="DF96" i="33"/>
  <c r="CU92" i="33"/>
  <c r="DM90" i="33"/>
  <c r="AV87" i="33"/>
  <c r="BA87" i="33"/>
  <c r="BF87" i="33"/>
  <c r="BL87" i="33"/>
  <c r="BQ87" i="33"/>
  <c r="DF87" i="33"/>
  <c r="DY87" i="33"/>
  <c r="DR90" i="33"/>
  <c r="BD91" i="33"/>
  <c r="CD91" i="33"/>
  <c r="CR91" i="33"/>
  <c r="DF91" i="33"/>
  <c r="DK91" i="33"/>
  <c r="DQ91" i="33"/>
  <c r="DV91" i="33"/>
  <c r="EA91" i="33"/>
  <c r="CB92" i="33"/>
  <c r="CD93" i="33"/>
  <c r="CJ93" i="33"/>
  <c r="CP93" i="33"/>
  <c r="CV93" i="33"/>
  <c r="BC94" i="33"/>
  <c r="AX95" i="33"/>
  <c r="BF95" i="33"/>
  <c r="BN95" i="33"/>
  <c r="CV95" i="33"/>
  <c r="DW95" i="33"/>
  <c r="AW87" i="33"/>
  <c r="BB87" i="33"/>
  <c r="BH87" i="33"/>
  <c r="BM87" i="33"/>
  <c r="DN87" i="33"/>
  <c r="DZ87" i="33"/>
  <c r="DW90" i="33"/>
  <c r="BL91" i="33"/>
  <c r="CE91" i="33"/>
  <c r="CT91" i="33"/>
  <c r="DG91" i="33"/>
  <c r="DM91" i="33"/>
  <c r="DR91" i="33"/>
  <c r="CH92" i="33"/>
  <c r="CE93" i="33"/>
  <c r="CL93" i="33"/>
  <c r="CR93" i="33"/>
  <c r="AY95" i="33"/>
  <c r="BG95" i="33"/>
  <c r="BO95" i="33"/>
  <c r="DY95" i="33"/>
  <c r="CB89" i="33"/>
  <c r="AT152" i="33"/>
  <c r="EB90" i="33"/>
  <c r="DI90" i="33"/>
  <c r="DN90" i="33"/>
  <c r="DS90" i="33"/>
  <c r="DY90" i="33"/>
  <c r="CD92" i="33"/>
  <c r="CJ92" i="33"/>
  <c r="CP92" i="33"/>
  <c r="CV92" i="33"/>
  <c r="BS94" i="33"/>
  <c r="DE90" i="33"/>
  <c r="DJ90" i="33"/>
  <c r="DO90" i="33"/>
  <c r="DU90" i="33"/>
  <c r="DZ90" i="33"/>
  <c r="CE92" i="33"/>
  <c r="CL92" i="33"/>
  <c r="CR92" i="33"/>
  <c r="CX92" i="33"/>
  <c r="CK94" i="33"/>
  <c r="DF90" i="33"/>
  <c r="DK90" i="33"/>
  <c r="DQ90" i="33"/>
  <c r="DV90" i="33"/>
  <c r="AT156" i="33"/>
  <c r="CS92" i="33"/>
  <c r="CF92" i="33"/>
  <c r="CM92" i="33"/>
  <c r="C115" i="33"/>
  <c r="D115" i="33" s="1"/>
  <c r="AZ90" i="33"/>
  <c r="AT159" i="33"/>
  <c r="CB88" i="33"/>
  <c r="BL90" i="33"/>
  <c r="AT85" i="33"/>
  <c r="CE88" i="33"/>
  <c r="CB90" i="33"/>
  <c r="CN90" i="33"/>
  <c r="CC95" i="33"/>
  <c r="CM90" i="33"/>
  <c r="CS90" i="33"/>
  <c r="BI90" i="33"/>
  <c r="AX90" i="33"/>
  <c r="CR90" i="33"/>
  <c r="CX90" i="33"/>
  <c r="CL90" i="33"/>
  <c r="BR90" i="33"/>
  <c r="BH90" i="33"/>
  <c r="AW90" i="33"/>
  <c r="BM90" i="33"/>
  <c r="CV90" i="33"/>
  <c r="CJ90" i="33"/>
  <c r="BQ90" i="33"/>
  <c r="BF90" i="33"/>
  <c r="AV90" i="33"/>
  <c r="CE90" i="33"/>
  <c r="CU90" i="33"/>
  <c r="CH90" i="33"/>
  <c r="BP90" i="33"/>
  <c r="BE90" i="33"/>
  <c r="BO90" i="33"/>
  <c r="CT90" i="33"/>
  <c r="CF90" i="33"/>
  <c r="BN90" i="33"/>
  <c r="BD90" i="33"/>
  <c r="BB90" i="33"/>
  <c r="AX89" i="33"/>
  <c r="CD90" i="33"/>
  <c r="CX89" i="33"/>
  <c r="AT67" i="33"/>
  <c r="AT78" i="33"/>
  <c r="AT154" i="33"/>
  <c r="AT79" i="33"/>
  <c r="AT155" i="33"/>
  <c r="BA90" i="33"/>
  <c r="CS89" i="33"/>
  <c r="BJ90" i="33"/>
  <c r="BR89" i="33"/>
  <c r="BH89" i="33"/>
  <c r="AW89" i="33"/>
  <c r="BL89" i="33"/>
  <c r="BQ89" i="33"/>
  <c r="BF89" i="33"/>
  <c r="AV89" i="33"/>
  <c r="CP89" i="33"/>
  <c r="BP89" i="33"/>
  <c r="BE89" i="33"/>
  <c r="BO89" i="33"/>
  <c r="BA89" i="33"/>
  <c r="BN89" i="33"/>
  <c r="BD89" i="33"/>
  <c r="BM89" i="33"/>
  <c r="BB89" i="33"/>
  <c r="CD89" i="33"/>
  <c r="CY87" i="33"/>
  <c r="CJ87" i="33"/>
  <c r="CX87" i="33"/>
  <c r="CI87" i="33"/>
  <c r="CU87" i="33"/>
  <c r="CH87" i="33"/>
  <c r="CT87" i="33"/>
  <c r="CE87" i="33"/>
  <c r="CR87" i="33"/>
  <c r="CD87" i="33"/>
  <c r="CR95" i="33"/>
  <c r="CB95" i="33"/>
  <c r="CP95" i="33"/>
  <c r="CY95" i="33"/>
  <c r="CN95" i="33"/>
  <c r="CK95" i="33"/>
  <c r="CJ95" i="33"/>
  <c r="CH95" i="33"/>
  <c r="EA93" i="33"/>
  <c r="DQ93" i="33"/>
  <c r="DH93" i="33"/>
  <c r="DZ93" i="33"/>
  <c r="DP93" i="33"/>
  <c r="DG93" i="33"/>
  <c r="DY93" i="33"/>
  <c r="DO93" i="33"/>
  <c r="DF93" i="33"/>
  <c r="DK93" i="33"/>
  <c r="DW93" i="33"/>
  <c r="DN93" i="33"/>
  <c r="DE93" i="33"/>
  <c r="DU93" i="33"/>
  <c r="DV93" i="33"/>
  <c r="DM93" i="33"/>
  <c r="EB93" i="33"/>
  <c r="C120" i="33"/>
  <c r="D120" i="33" s="1"/>
  <c r="CU88" i="33"/>
  <c r="CT88" i="33"/>
  <c r="CH88" i="33"/>
  <c r="CR88" i="33"/>
  <c r="CP88" i="33"/>
  <c r="CM88" i="33"/>
  <c r="CJ88" i="33"/>
  <c r="DG87" i="33"/>
  <c r="DR87" i="33"/>
  <c r="CE89" i="33"/>
  <c r="CR89" i="33"/>
  <c r="BO91" i="33"/>
  <c r="BE91" i="33"/>
  <c r="BP91" i="33"/>
  <c r="CH91" i="33"/>
  <c r="CU91" i="33"/>
  <c r="DG95" i="33"/>
  <c r="EA95" i="33"/>
  <c r="DI87" i="33"/>
  <c r="DS87" i="33"/>
  <c r="CF89" i="33"/>
  <c r="CT89" i="33"/>
  <c r="AV91" i="33"/>
  <c r="BF91" i="33"/>
  <c r="BQ91" i="33"/>
  <c r="CJ91" i="33"/>
  <c r="CV91" i="33"/>
  <c r="DI95" i="33"/>
  <c r="DJ87" i="33"/>
  <c r="DU87" i="33"/>
  <c r="CH89" i="33"/>
  <c r="CU89" i="33"/>
  <c r="AW91" i="33"/>
  <c r="BH91" i="33"/>
  <c r="BR91" i="33"/>
  <c r="CL91" i="33"/>
  <c r="CX91" i="33"/>
  <c r="DK95" i="33"/>
  <c r="DK87" i="33"/>
  <c r="DV87" i="33"/>
  <c r="CJ89" i="33"/>
  <c r="CV89" i="33"/>
  <c r="AX91" i="33"/>
  <c r="BI91" i="33"/>
  <c r="CS91" i="33"/>
  <c r="CM91" i="33"/>
  <c r="DO95" i="33"/>
  <c r="DM87" i="33"/>
  <c r="CL89" i="33"/>
  <c r="AZ91" i="33"/>
  <c r="BJ91" i="33"/>
  <c r="CB91" i="33"/>
  <c r="CD160" i="33"/>
  <c r="CD161" i="33" s="1"/>
  <c r="CD162" i="33" s="1"/>
  <c r="CL160" i="33"/>
  <c r="CL161" i="33" s="1"/>
  <c r="CL162" i="33" s="1"/>
  <c r="CT160" i="33"/>
  <c r="CT161" i="33" s="1"/>
  <c r="CT162" i="33" s="1"/>
  <c r="DE160" i="33"/>
  <c r="DE161" i="33" s="1"/>
  <c r="DE162" i="33" s="1"/>
  <c r="DM160" i="33"/>
  <c r="DM161" i="33" s="1"/>
  <c r="DM162" i="33" s="1"/>
  <c r="DU160" i="33"/>
  <c r="DU161" i="33" s="1"/>
  <c r="DU162" i="33" s="1"/>
  <c r="DI160" i="33"/>
  <c r="DI161" i="33" s="1"/>
  <c r="DI162" i="33" s="1"/>
  <c r="DQ160" i="33"/>
  <c r="DQ161" i="33" s="1"/>
  <c r="DQ162" i="33" s="1"/>
  <c r="DY160" i="33"/>
  <c r="DY161" i="33" s="1"/>
  <c r="DY162" i="33" s="1"/>
  <c r="CG160" i="33"/>
  <c r="CG161" i="33" s="1"/>
  <c r="CG162" i="33" s="1"/>
  <c r="CO160" i="33"/>
  <c r="CO161" i="33" s="1"/>
  <c r="CO162" i="33" s="1"/>
  <c r="CW160" i="33"/>
  <c r="CW161" i="33" s="1"/>
  <c r="CW162" i="33" s="1"/>
  <c r="DJ160" i="33"/>
  <c r="DJ161" i="33" s="1"/>
  <c r="DJ162" i="33" s="1"/>
  <c r="DR160" i="33"/>
  <c r="DR161" i="33" s="1"/>
  <c r="DR162" i="33" s="1"/>
  <c r="DZ160" i="33"/>
  <c r="DZ161" i="33" s="1"/>
  <c r="DZ162" i="33" s="1"/>
  <c r="CH160" i="33"/>
  <c r="CH161" i="33" s="1"/>
  <c r="CH162" i="33" s="1"/>
  <c r="CP160" i="33"/>
  <c r="CP161" i="33" s="1"/>
  <c r="CP162" i="33" s="1"/>
  <c r="CX160" i="33"/>
  <c r="CX161" i="33" s="1"/>
  <c r="CX162" i="33" s="1"/>
  <c r="CC160" i="33"/>
  <c r="CC161" i="33" s="1"/>
  <c r="CC162" i="33" s="1"/>
  <c r="CK160" i="33"/>
  <c r="CK161" i="33" s="1"/>
  <c r="CK162" i="33" s="1"/>
  <c r="CS160" i="33"/>
  <c r="CS161" i="33" s="1"/>
  <c r="CS162" i="33" s="1"/>
  <c r="DF160" i="33"/>
  <c r="DF161" i="33" s="1"/>
  <c r="DF162" i="33" s="1"/>
  <c r="DN160" i="33"/>
  <c r="DN161" i="33" s="1"/>
  <c r="DN162" i="33" s="1"/>
  <c r="BZ99" i="33"/>
  <c r="BZ122" i="33"/>
  <c r="BZ76" i="33"/>
  <c r="BZ110" i="33" s="1"/>
  <c r="BZ88" i="33"/>
  <c r="BZ152" i="33" s="1"/>
  <c r="DC122" i="33"/>
  <c r="DC99" i="33"/>
  <c r="DC88" i="33"/>
  <c r="DC152" i="33" s="1"/>
  <c r="DC76" i="33"/>
  <c r="DC110" i="33" s="1"/>
  <c r="DC125" i="33"/>
  <c r="DC91" i="33"/>
  <c r="DC155" i="33" s="1"/>
  <c r="DC102" i="33"/>
  <c r="DC79" i="33"/>
  <c r="DC113" i="33" s="1"/>
  <c r="BZ121" i="33"/>
  <c r="BZ98" i="33"/>
  <c r="BZ75" i="33"/>
  <c r="BZ109" i="33" s="1"/>
  <c r="BZ87" i="33"/>
  <c r="BZ151" i="33" s="1"/>
  <c r="DC127" i="33"/>
  <c r="DC104" i="33"/>
  <c r="DC93" i="33"/>
  <c r="BZ101" i="33"/>
  <c r="BZ124" i="33"/>
  <c r="BZ90" i="33"/>
  <c r="BZ154" i="33" s="1"/>
  <c r="DC129" i="33"/>
  <c r="DC106" i="33"/>
  <c r="DC84" i="33"/>
  <c r="DC117" i="33" s="1"/>
  <c r="DC95" i="33"/>
  <c r="DC158" i="33" s="1"/>
  <c r="DC121" i="33"/>
  <c r="DC98" i="33"/>
  <c r="DC87" i="33"/>
  <c r="DC151" i="33" s="1"/>
  <c r="BZ100" i="33"/>
  <c r="BZ123" i="33"/>
  <c r="BZ89" i="33"/>
  <c r="BZ153" i="33" s="1"/>
  <c r="BZ77" i="33"/>
  <c r="BZ111" i="33" s="1"/>
  <c r="DC75" i="33"/>
  <c r="DC109" i="33" s="1"/>
  <c r="DC124" i="33"/>
  <c r="DC101" i="33"/>
  <c r="DC78" i="33"/>
  <c r="DC112" i="33" s="1"/>
  <c r="DC90" i="33"/>
  <c r="DC154" i="33" s="1"/>
  <c r="DC123" i="33"/>
  <c r="DC100" i="33"/>
  <c r="DC89" i="33"/>
  <c r="DC153" i="33" s="1"/>
  <c r="BZ126" i="33"/>
  <c r="BZ103" i="33"/>
  <c r="BZ80" i="33"/>
  <c r="BZ114" i="33" s="1"/>
  <c r="BZ92" i="33"/>
  <c r="BZ156" i="33" s="1"/>
  <c r="BZ128" i="33"/>
  <c r="BZ94" i="33"/>
  <c r="BZ157" i="33" s="1"/>
  <c r="BZ105" i="33"/>
  <c r="BZ82" i="33"/>
  <c r="BZ116" i="33" s="1"/>
  <c r="BZ78" i="33"/>
  <c r="BZ112" i="33" s="1"/>
  <c r="BZ130" i="33"/>
  <c r="BZ107" i="33"/>
  <c r="BZ96" i="33"/>
  <c r="BZ159" i="33" s="1"/>
  <c r="BZ85" i="33"/>
  <c r="BZ118" i="33" s="1"/>
  <c r="DC77" i="33"/>
  <c r="DC111" i="33" s="1"/>
  <c r="BZ127" i="33"/>
  <c r="BZ104" i="33"/>
  <c r="DC130" i="33"/>
  <c r="DC107" i="33"/>
  <c r="DC96" i="33"/>
  <c r="DC159" i="33" s="1"/>
  <c r="CF87" i="33"/>
  <c r="CI88" i="33"/>
  <c r="AY94" i="33"/>
  <c r="CG94" i="33"/>
  <c r="DP94" i="33"/>
  <c r="DT94" i="33"/>
  <c r="BZ129" i="33"/>
  <c r="BZ95" i="33"/>
  <c r="BZ158" i="33" s="1"/>
  <c r="BZ106" i="33"/>
  <c r="AT76" i="33"/>
  <c r="BZ79" i="33"/>
  <c r="BZ113" i="33" s="1"/>
  <c r="CS88" i="33"/>
  <c r="CK88" i="33"/>
  <c r="CC88" i="33"/>
  <c r="CW88" i="33"/>
  <c r="CO88" i="33"/>
  <c r="CG88" i="33"/>
  <c r="CL88" i="33"/>
  <c r="CV88" i="33"/>
  <c r="BG94" i="33"/>
  <c r="CO94" i="33"/>
  <c r="DX94" i="33"/>
  <c r="M138" i="33"/>
  <c r="M134" i="33"/>
  <c r="M129" i="33"/>
  <c r="U138" i="33"/>
  <c r="U134" i="33"/>
  <c r="U129" i="33"/>
  <c r="AC138" i="33"/>
  <c r="AC134" i="33"/>
  <c r="AC129" i="33"/>
  <c r="BK94" i="33"/>
  <c r="CS94" i="33"/>
  <c r="DC92" i="33"/>
  <c r="DC156" i="33" s="1"/>
  <c r="DC126" i="33"/>
  <c r="DC103" i="33"/>
  <c r="BZ81" i="33"/>
  <c r="BZ115" i="33" s="1"/>
  <c r="CS87" i="33"/>
  <c r="CK87" i="33"/>
  <c r="CC87" i="33"/>
  <c r="CW87" i="33"/>
  <c r="CO87" i="33"/>
  <c r="CG87" i="33"/>
  <c r="CL87" i="33"/>
  <c r="CV87" i="33"/>
  <c r="CD88" i="33"/>
  <c r="CN88" i="33"/>
  <c r="CY88" i="33"/>
  <c r="BO94" i="33"/>
  <c r="EA94" i="33"/>
  <c r="DS94" i="33"/>
  <c r="DK94" i="33"/>
  <c r="DZ94" i="33"/>
  <c r="DR94" i="33"/>
  <c r="DJ94" i="33"/>
  <c r="DY94" i="33"/>
  <c r="DQ94" i="33"/>
  <c r="DI94" i="33"/>
  <c r="DW94" i="33"/>
  <c r="DO94" i="33"/>
  <c r="DG94" i="33"/>
  <c r="DV94" i="33"/>
  <c r="DN94" i="33"/>
  <c r="DF94" i="33"/>
  <c r="DU94" i="33"/>
  <c r="DM94" i="33"/>
  <c r="DE94" i="33"/>
  <c r="CX96" i="33"/>
  <c r="CP96" i="33"/>
  <c r="CH96" i="33"/>
  <c r="CW96" i="33"/>
  <c r="CO96" i="33"/>
  <c r="CG96" i="33"/>
  <c r="CV96" i="33"/>
  <c r="CN96" i="33"/>
  <c r="CF96" i="33"/>
  <c r="CU96" i="33"/>
  <c r="CM96" i="33"/>
  <c r="CE96" i="33"/>
  <c r="CT96" i="33"/>
  <c r="CL96" i="33"/>
  <c r="CD96" i="33"/>
  <c r="CS96" i="33"/>
  <c r="CK96" i="33"/>
  <c r="CC96" i="33"/>
  <c r="CR96" i="33"/>
  <c r="CJ96" i="33"/>
  <c r="CB96" i="33"/>
  <c r="BZ125" i="33"/>
  <c r="BZ102" i="33"/>
  <c r="DC94" i="33"/>
  <c r="DC157" i="33" s="1"/>
  <c r="DC128" i="33"/>
  <c r="DC105" i="33"/>
  <c r="BZ84" i="33"/>
  <c r="BZ117" i="33" s="1"/>
  <c r="CF88" i="33"/>
  <c r="CQ88" i="33"/>
  <c r="BZ93" i="33"/>
  <c r="C122" i="33"/>
  <c r="D122" i="33" s="1"/>
  <c r="CR94" i="33"/>
  <c r="DH94" i="33"/>
  <c r="CI96" i="33"/>
  <c r="I134" i="33"/>
  <c r="I138" i="33"/>
  <c r="I129" i="33"/>
  <c r="Q134" i="33"/>
  <c r="Q138" i="33"/>
  <c r="Q129" i="33"/>
  <c r="Y134" i="33"/>
  <c r="Y138" i="33"/>
  <c r="Y129" i="33"/>
  <c r="BN94" i="33"/>
  <c r="BF94" i="33"/>
  <c r="AX94" i="33"/>
  <c r="BM94" i="33"/>
  <c r="BE94" i="33"/>
  <c r="AW94" i="33"/>
  <c r="BL94" i="33"/>
  <c r="BD94" i="33"/>
  <c r="AV94" i="33"/>
  <c r="BR94" i="33"/>
  <c r="BJ94" i="33"/>
  <c r="BB94" i="33"/>
  <c r="BQ94" i="33"/>
  <c r="BI94" i="33"/>
  <c r="BA94" i="33"/>
  <c r="BP94" i="33"/>
  <c r="BH94" i="33"/>
  <c r="AZ94" i="33"/>
  <c r="CC94" i="33"/>
  <c r="DL94" i="33"/>
  <c r="CQ96" i="33"/>
  <c r="N138" i="33"/>
  <c r="N134" i="33"/>
  <c r="V138" i="33"/>
  <c r="V134" i="33"/>
  <c r="V129" i="33"/>
  <c r="AD138" i="33"/>
  <c r="AD134" i="33"/>
  <c r="AD129" i="33"/>
  <c r="CD94" i="33"/>
  <c r="CL94" i="33"/>
  <c r="CT94" i="33"/>
  <c r="CS95" i="33"/>
  <c r="DL95" i="33"/>
  <c r="DT95" i="33"/>
  <c r="EB95" i="33"/>
  <c r="AX96" i="33"/>
  <c r="BF96" i="33"/>
  <c r="BN96" i="33"/>
  <c r="O139" i="33"/>
  <c r="O130" i="33"/>
  <c r="O135" i="33"/>
  <c r="W139" i="33"/>
  <c r="W130" i="33"/>
  <c r="W135" i="33"/>
  <c r="AE139" i="33"/>
  <c r="AE130" i="33"/>
  <c r="AE135" i="33"/>
  <c r="C110" i="33"/>
  <c r="C114" i="33"/>
  <c r="D114" i="33" s="1"/>
  <c r="J140" i="33"/>
  <c r="J131" i="33"/>
  <c r="J136" i="33"/>
  <c r="R140" i="33"/>
  <c r="R131" i="33"/>
  <c r="R136" i="33"/>
  <c r="Z140" i="33"/>
  <c r="Z131" i="33"/>
  <c r="Z136" i="33"/>
  <c r="O134" i="33"/>
  <c r="O129" i="33"/>
  <c r="O138" i="33"/>
  <c r="W138" i="33"/>
  <c r="W134" i="33"/>
  <c r="AE134" i="33"/>
  <c r="AE138" i="33"/>
  <c r="AE129" i="33"/>
  <c r="CE94" i="33"/>
  <c r="CM94" i="33"/>
  <c r="CU94" i="33"/>
  <c r="AZ95" i="33"/>
  <c r="BH95" i="33"/>
  <c r="BP95" i="33"/>
  <c r="CD95" i="33"/>
  <c r="CL95" i="33"/>
  <c r="CT95" i="33"/>
  <c r="DE95" i="33"/>
  <c r="DM95" i="33"/>
  <c r="DU95" i="33"/>
  <c r="AY96" i="33"/>
  <c r="BG96" i="33"/>
  <c r="BO96" i="33"/>
  <c r="DL96" i="33"/>
  <c r="DT96" i="33"/>
  <c r="EB96" i="33"/>
  <c r="CI160" i="33"/>
  <c r="CI161" i="33" s="1"/>
  <c r="CI162" i="33" s="1"/>
  <c r="CQ160" i="33"/>
  <c r="CQ161" i="33" s="1"/>
  <c r="CQ162" i="33" s="1"/>
  <c r="CY160" i="33"/>
  <c r="CY161" i="33" s="1"/>
  <c r="CY162" i="33" s="1"/>
  <c r="DK160" i="33"/>
  <c r="DK161" i="33" s="1"/>
  <c r="DK162" i="33" s="1"/>
  <c r="DS160" i="33"/>
  <c r="DS161" i="33" s="1"/>
  <c r="DS162" i="33" s="1"/>
  <c r="EA160" i="33"/>
  <c r="EA161" i="33" s="1"/>
  <c r="EA162" i="33" s="1"/>
  <c r="H139" i="33"/>
  <c r="H130" i="33"/>
  <c r="H135" i="33"/>
  <c r="C123" i="33"/>
  <c r="D123" i="33" s="1"/>
  <c r="P139" i="33"/>
  <c r="P135" i="33"/>
  <c r="P130" i="33"/>
  <c r="X139" i="33"/>
  <c r="X130" i="33"/>
  <c r="X135" i="33"/>
  <c r="K140" i="33"/>
  <c r="K131" i="33"/>
  <c r="K136" i="33"/>
  <c r="S140" i="33"/>
  <c r="S131" i="33"/>
  <c r="AA140" i="33"/>
  <c r="AA131" i="33"/>
  <c r="AA136" i="33"/>
  <c r="C117" i="33"/>
  <c r="D117" i="33" s="1"/>
  <c r="S136" i="33"/>
  <c r="BC87" i="33"/>
  <c r="BK87" i="33"/>
  <c r="BS87" i="33"/>
  <c r="DH87" i="33"/>
  <c r="DP87" i="33"/>
  <c r="DX87" i="33"/>
  <c r="BC88" i="33"/>
  <c r="BK88" i="33"/>
  <c r="BS88" i="33"/>
  <c r="DH88" i="33"/>
  <c r="DP88" i="33"/>
  <c r="DX88" i="33"/>
  <c r="BC89" i="33"/>
  <c r="BK89" i="33"/>
  <c r="BS89" i="33"/>
  <c r="CG89" i="33"/>
  <c r="CO89" i="33"/>
  <c r="CW89" i="33"/>
  <c r="DH89" i="33"/>
  <c r="DP89" i="33"/>
  <c r="DX89" i="33"/>
  <c r="BC90" i="33"/>
  <c r="BK90" i="33"/>
  <c r="BS90" i="33"/>
  <c r="CG90" i="33"/>
  <c r="CO90" i="33"/>
  <c r="CW90" i="33"/>
  <c r="DH90" i="33"/>
  <c r="DP90" i="33"/>
  <c r="DX90" i="33"/>
  <c r="BC91" i="33"/>
  <c r="BK91" i="33"/>
  <c r="BS91" i="33"/>
  <c r="CG91" i="33"/>
  <c r="CO91" i="33"/>
  <c r="CW91" i="33"/>
  <c r="DH91" i="33"/>
  <c r="DP91" i="33"/>
  <c r="DX91" i="33"/>
  <c r="BC92" i="33"/>
  <c r="BK92" i="33"/>
  <c r="BS92" i="33"/>
  <c r="CG92" i="33"/>
  <c r="CO92" i="33"/>
  <c r="CW92" i="33"/>
  <c r="DH92" i="33"/>
  <c r="DP92" i="33"/>
  <c r="DX92" i="33"/>
  <c r="BC93" i="33"/>
  <c r="BK93" i="33"/>
  <c r="BS93" i="33"/>
  <c r="CG93" i="33"/>
  <c r="CO93" i="33"/>
  <c r="CW93" i="33"/>
  <c r="DX93" i="33"/>
  <c r="H134" i="33"/>
  <c r="H129" i="33"/>
  <c r="H138" i="33"/>
  <c r="P138" i="33"/>
  <c r="P129" i="33"/>
  <c r="X134" i="33"/>
  <c r="X129" i="33"/>
  <c r="X138" i="33"/>
  <c r="CF94" i="33"/>
  <c r="CN94" i="33"/>
  <c r="CV94" i="33"/>
  <c r="BA95" i="33"/>
  <c r="BI95" i="33"/>
  <c r="BQ95" i="33"/>
  <c r="CE95" i="33"/>
  <c r="CM95" i="33"/>
  <c r="CU95" i="33"/>
  <c r="DF95" i="33"/>
  <c r="DN95" i="33"/>
  <c r="DV95" i="33"/>
  <c r="AZ96" i="33"/>
  <c r="BH96" i="33"/>
  <c r="BP96" i="33"/>
  <c r="DE96" i="33"/>
  <c r="DM96" i="33"/>
  <c r="DU96" i="33"/>
  <c r="CB160" i="33"/>
  <c r="CB161" i="33" s="1"/>
  <c r="CB162" i="33" s="1"/>
  <c r="CJ160" i="33"/>
  <c r="CJ161" i="33" s="1"/>
  <c r="CJ162" i="33" s="1"/>
  <c r="CR160" i="33"/>
  <c r="CR161" i="33" s="1"/>
  <c r="CR162" i="33" s="1"/>
  <c r="DL160" i="33"/>
  <c r="DL161" i="33" s="1"/>
  <c r="DL162" i="33" s="1"/>
  <c r="DT160" i="33"/>
  <c r="DT161" i="33" s="1"/>
  <c r="DT162" i="33" s="1"/>
  <c r="EB160" i="33"/>
  <c r="EB161" i="33" s="1"/>
  <c r="EB162" i="33" s="1"/>
  <c r="I139" i="33"/>
  <c r="I135" i="33"/>
  <c r="Q139" i="33"/>
  <c r="Q135" i="33"/>
  <c r="Q130" i="33"/>
  <c r="Y139" i="33"/>
  <c r="Y135" i="33"/>
  <c r="Y130" i="33"/>
  <c r="C113" i="33"/>
  <c r="D113" i="33" s="1"/>
  <c r="L140" i="33"/>
  <c r="L136" i="33"/>
  <c r="L131" i="33"/>
  <c r="T140" i="33"/>
  <c r="T136" i="33"/>
  <c r="T131" i="33"/>
  <c r="AB140" i="33"/>
  <c r="AB136" i="33"/>
  <c r="AB131" i="33"/>
  <c r="J130" i="33"/>
  <c r="J139" i="33"/>
  <c r="J135" i="33"/>
  <c r="R130" i="33"/>
  <c r="R139" i="33"/>
  <c r="Z135" i="33"/>
  <c r="Z130" i="33"/>
  <c r="Z139" i="33"/>
  <c r="C116" i="33"/>
  <c r="D116" i="33" s="1"/>
  <c r="M131" i="33"/>
  <c r="M140" i="33"/>
  <c r="M136" i="33"/>
  <c r="U131" i="33"/>
  <c r="U136" i="33"/>
  <c r="U140" i="33"/>
  <c r="AC131" i="33"/>
  <c r="AC136" i="33"/>
  <c r="AC140" i="33"/>
  <c r="C124" i="33"/>
  <c r="D124" i="33" s="1"/>
  <c r="I130" i="33"/>
  <c r="P134" i="33"/>
  <c r="CI89" i="33"/>
  <c r="CQ89" i="33"/>
  <c r="CY89" i="33"/>
  <c r="CI90" i="33"/>
  <c r="CQ90" i="33"/>
  <c r="CY90" i="33"/>
  <c r="CI91" i="33"/>
  <c r="CQ91" i="33"/>
  <c r="CY91" i="33"/>
  <c r="CI92" i="33"/>
  <c r="CQ92" i="33"/>
  <c r="CY92" i="33"/>
  <c r="CI93" i="33"/>
  <c r="CQ93" i="33"/>
  <c r="CY93" i="33"/>
  <c r="J134" i="33"/>
  <c r="J138" i="33"/>
  <c r="J129" i="33"/>
  <c r="R134" i="33"/>
  <c r="R138" i="33"/>
  <c r="Z134" i="33"/>
  <c r="Z138" i="33"/>
  <c r="Z129" i="33"/>
  <c r="CH94" i="33"/>
  <c r="CP94" i="33"/>
  <c r="CX94" i="33"/>
  <c r="BC95" i="33"/>
  <c r="BK95" i="33"/>
  <c r="BS95" i="33"/>
  <c r="CG95" i="33"/>
  <c r="CO95" i="33"/>
  <c r="CW95" i="33"/>
  <c r="DH95" i="33"/>
  <c r="DP95" i="33"/>
  <c r="DX95" i="33"/>
  <c r="BB96" i="33"/>
  <c r="BJ96" i="33"/>
  <c r="BR96" i="33"/>
  <c r="DG96" i="33"/>
  <c r="DO96" i="33"/>
  <c r="DW96" i="33"/>
  <c r="DV160" i="33"/>
  <c r="DV161" i="33" s="1"/>
  <c r="DV162" i="33" s="1"/>
  <c r="K139" i="33"/>
  <c r="K130" i="33"/>
  <c r="K135" i="33"/>
  <c r="S139" i="33"/>
  <c r="S130" i="33"/>
  <c r="S135" i="33"/>
  <c r="AA139" i="33"/>
  <c r="AA130" i="33"/>
  <c r="AA135" i="33"/>
  <c r="C112" i="33"/>
  <c r="N140" i="33"/>
  <c r="N131" i="33"/>
  <c r="N136" i="33"/>
  <c r="V140" i="33"/>
  <c r="V131" i="33"/>
  <c r="V136" i="33"/>
  <c r="AD140" i="33"/>
  <c r="AD131" i="33"/>
  <c r="AD136" i="33"/>
  <c r="K129" i="33"/>
  <c r="K134" i="33"/>
  <c r="S134" i="33"/>
  <c r="S138" i="33"/>
  <c r="S129" i="33"/>
  <c r="AA134" i="33"/>
  <c r="AA138" i="33"/>
  <c r="AA129" i="33"/>
  <c r="CI94" i="33"/>
  <c r="CQ94" i="33"/>
  <c r="CY94" i="33"/>
  <c r="BC96" i="33"/>
  <c r="BK96" i="33"/>
  <c r="BS96" i="33"/>
  <c r="CE160" i="33"/>
  <c r="CE161" i="33" s="1"/>
  <c r="CE162" i="33" s="1"/>
  <c r="CM160" i="33"/>
  <c r="CM161" i="33" s="1"/>
  <c r="CM162" i="33" s="1"/>
  <c r="CU160" i="33"/>
  <c r="CU161" i="33" s="1"/>
  <c r="CU162" i="33" s="1"/>
  <c r="DG160" i="33"/>
  <c r="DG161" i="33" s="1"/>
  <c r="DG162" i="33" s="1"/>
  <c r="DO160" i="33"/>
  <c r="DO161" i="33" s="1"/>
  <c r="DO162" i="33" s="1"/>
  <c r="DW160" i="33"/>
  <c r="DW161" i="33" s="1"/>
  <c r="DW162" i="33" s="1"/>
  <c r="L135" i="33"/>
  <c r="L139" i="33"/>
  <c r="L130" i="33"/>
  <c r="T135" i="33"/>
  <c r="T139" i="33"/>
  <c r="AB135" i="33"/>
  <c r="AB130" i="33"/>
  <c r="AB139" i="33"/>
  <c r="O136" i="33"/>
  <c r="O131" i="33"/>
  <c r="O140" i="33"/>
  <c r="W136" i="33"/>
  <c r="W140" i="33"/>
  <c r="W131" i="33"/>
  <c r="AE136" i="33"/>
  <c r="AE131" i="33"/>
  <c r="AE140" i="33"/>
  <c r="C119" i="33"/>
  <c r="D119" i="33" s="1"/>
  <c r="AY87" i="33"/>
  <c r="BG87" i="33"/>
  <c r="DL87" i="33"/>
  <c r="DT87" i="33"/>
  <c r="AY88" i="33"/>
  <c r="BG88" i="33"/>
  <c r="DL88" i="33"/>
  <c r="DT88" i="33"/>
  <c r="AY89" i="33"/>
  <c r="BG89" i="33"/>
  <c r="CC89" i="33"/>
  <c r="CK89" i="33"/>
  <c r="DL89" i="33"/>
  <c r="DT89" i="33"/>
  <c r="AY90" i="33"/>
  <c r="BG90" i="33"/>
  <c r="CC90" i="33"/>
  <c r="CK90" i="33"/>
  <c r="DL90" i="33"/>
  <c r="DT90" i="33"/>
  <c r="AY91" i="33"/>
  <c r="BG91" i="33"/>
  <c r="CC91" i="33"/>
  <c r="CK91" i="33"/>
  <c r="DL91" i="33"/>
  <c r="DT91" i="33"/>
  <c r="AY92" i="33"/>
  <c r="BG92" i="33"/>
  <c r="CC92" i="33"/>
  <c r="CK92" i="33"/>
  <c r="DL92" i="33"/>
  <c r="DT92" i="33"/>
  <c r="AY93" i="33"/>
  <c r="BG93" i="33"/>
  <c r="CC93" i="33"/>
  <c r="CK93" i="33"/>
  <c r="DL93" i="33"/>
  <c r="DT93" i="33"/>
  <c r="L129" i="33"/>
  <c r="L134" i="33"/>
  <c r="L138" i="33"/>
  <c r="T129" i="33"/>
  <c r="T138" i="33"/>
  <c r="T134" i="33"/>
  <c r="AB134" i="33"/>
  <c r="AB129" i="33"/>
  <c r="AB138" i="33"/>
  <c r="CB94" i="33"/>
  <c r="CJ94" i="33"/>
  <c r="AW95" i="33"/>
  <c r="BE95" i="33"/>
  <c r="CI95" i="33"/>
  <c r="CQ95" i="33"/>
  <c r="DJ95" i="33"/>
  <c r="DR95" i="33"/>
  <c r="AV96" i="33"/>
  <c r="BD96" i="33"/>
  <c r="DI96" i="33"/>
  <c r="DQ96" i="33"/>
  <c r="CF160" i="33"/>
  <c r="CF161" i="33" s="1"/>
  <c r="CF162" i="33" s="1"/>
  <c r="CN160" i="33"/>
  <c r="CN161" i="33" s="1"/>
  <c r="CN162" i="33" s="1"/>
  <c r="CV160" i="33"/>
  <c r="CV161" i="33" s="1"/>
  <c r="CV162" i="33" s="1"/>
  <c r="DH160" i="33"/>
  <c r="DH161" i="33" s="1"/>
  <c r="DH162" i="33" s="1"/>
  <c r="DP160" i="33"/>
  <c r="DP161" i="33" s="1"/>
  <c r="DP162" i="33" s="1"/>
  <c r="DX160" i="33"/>
  <c r="DX161" i="33" s="1"/>
  <c r="DX162" i="33" s="1"/>
  <c r="M135" i="33"/>
  <c r="M139" i="33"/>
  <c r="M130" i="33"/>
  <c r="U135" i="33"/>
  <c r="U139" i="33"/>
  <c r="U130" i="33"/>
  <c r="AC135" i="33"/>
  <c r="AC139" i="33"/>
  <c r="AC130" i="33"/>
  <c r="C111" i="33"/>
  <c r="H136" i="33"/>
  <c r="H140" i="33"/>
  <c r="H131" i="33"/>
  <c r="P136" i="33"/>
  <c r="P140" i="33"/>
  <c r="X136" i="33"/>
  <c r="X140" i="33"/>
  <c r="X131" i="33"/>
  <c r="C121" i="33"/>
  <c r="D121" i="33" s="1"/>
  <c r="N129" i="33"/>
  <c r="R135" i="33"/>
  <c r="N139" i="33"/>
  <c r="N135" i="33"/>
  <c r="N130" i="33"/>
  <c r="V139" i="33"/>
  <c r="V135" i="33"/>
  <c r="V130" i="33"/>
  <c r="AD135" i="33"/>
  <c r="AD139" i="33"/>
  <c r="AD130" i="33"/>
  <c r="I136" i="33"/>
  <c r="I140" i="33"/>
  <c r="I131" i="33"/>
  <c r="Q131" i="33"/>
  <c r="Q140" i="33"/>
  <c r="Q136" i="33"/>
  <c r="Y131" i="33"/>
  <c r="Y136" i="33"/>
  <c r="Y140" i="33"/>
  <c r="C118" i="33"/>
  <c r="D118" i="33" s="1"/>
  <c r="R129" i="33"/>
  <c r="R132" i="33" s="1"/>
  <c r="DE49" i="30"/>
  <c r="DF49" i="30"/>
  <c r="DG49" i="30"/>
  <c r="DH49" i="30"/>
  <c r="DI49" i="30"/>
  <c r="DJ49" i="30"/>
  <c r="DK49" i="30"/>
  <c r="DL49" i="30"/>
  <c r="DM49" i="30"/>
  <c r="DN49" i="30"/>
  <c r="DO49" i="30"/>
  <c r="DP49" i="30"/>
  <c r="DQ49" i="30"/>
  <c r="DR49" i="30"/>
  <c r="DS49" i="30"/>
  <c r="DT49" i="30"/>
  <c r="DU49" i="30"/>
  <c r="DV49" i="30"/>
  <c r="DW49" i="30"/>
  <c r="DX49" i="30"/>
  <c r="DY49" i="30"/>
  <c r="DZ49" i="30"/>
  <c r="EA49" i="30"/>
  <c r="EB49" i="30"/>
  <c r="DE50" i="30"/>
  <c r="DF50" i="30"/>
  <c r="DG50" i="30"/>
  <c r="DH50" i="30"/>
  <c r="DI50" i="30"/>
  <c r="DJ50" i="30"/>
  <c r="DK50" i="30"/>
  <c r="DL50" i="30"/>
  <c r="DM50" i="30"/>
  <c r="DN50" i="30"/>
  <c r="DO50" i="30"/>
  <c r="DP50" i="30"/>
  <c r="DQ50" i="30"/>
  <c r="DR50" i="30"/>
  <c r="DS50" i="30"/>
  <c r="DT50" i="30"/>
  <c r="DU50" i="30"/>
  <c r="DV50" i="30"/>
  <c r="DW50" i="30"/>
  <c r="DX50" i="30"/>
  <c r="DY50" i="30"/>
  <c r="DZ50" i="30"/>
  <c r="EA50" i="30"/>
  <c r="EB50" i="30"/>
  <c r="DE51" i="30"/>
  <c r="DF51" i="30"/>
  <c r="DG51" i="30"/>
  <c r="DH51" i="30"/>
  <c r="DI51" i="30"/>
  <c r="DJ51" i="30"/>
  <c r="DK51" i="30"/>
  <c r="DL51" i="30"/>
  <c r="DM51" i="30"/>
  <c r="DN51" i="30"/>
  <c r="DO51" i="30"/>
  <c r="DP51" i="30"/>
  <c r="DQ51" i="30"/>
  <c r="DR51" i="30"/>
  <c r="DS51" i="30"/>
  <c r="DT51" i="30"/>
  <c r="DU51" i="30"/>
  <c r="DV51" i="30"/>
  <c r="DW51" i="30"/>
  <c r="DX51" i="30"/>
  <c r="DY51" i="30"/>
  <c r="DZ51" i="30"/>
  <c r="EA51" i="30"/>
  <c r="EB51" i="30"/>
  <c r="DE52" i="30"/>
  <c r="DF52" i="30"/>
  <c r="DG52" i="30"/>
  <c r="DH52" i="30"/>
  <c r="DI52" i="30"/>
  <c r="DJ52" i="30"/>
  <c r="DK52" i="30"/>
  <c r="DL52" i="30"/>
  <c r="DM52" i="30"/>
  <c r="DN52" i="30"/>
  <c r="DO52" i="30"/>
  <c r="DP52" i="30"/>
  <c r="DQ52" i="30"/>
  <c r="DR52" i="30"/>
  <c r="DS52" i="30"/>
  <c r="DT52" i="30"/>
  <c r="DU52" i="30"/>
  <c r="DV52" i="30"/>
  <c r="DW52" i="30"/>
  <c r="DX52" i="30"/>
  <c r="DY52" i="30"/>
  <c r="DZ52" i="30"/>
  <c r="EA52" i="30"/>
  <c r="EB52" i="30"/>
  <c r="DE53" i="30"/>
  <c r="DF53" i="30"/>
  <c r="DG53" i="30"/>
  <c r="DH53" i="30"/>
  <c r="DI53" i="30"/>
  <c r="DJ53" i="30"/>
  <c r="DK53" i="30"/>
  <c r="DL53" i="30"/>
  <c r="DM53" i="30"/>
  <c r="DN53" i="30"/>
  <c r="DO53" i="30"/>
  <c r="DP53" i="30"/>
  <c r="DQ53" i="30"/>
  <c r="DR53" i="30"/>
  <c r="DS53" i="30"/>
  <c r="DT53" i="30"/>
  <c r="DU53" i="30"/>
  <c r="DV53" i="30"/>
  <c r="DW53" i="30"/>
  <c r="DX53" i="30"/>
  <c r="DY53" i="30"/>
  <c r="DZ53" i="30"/>
  <c r="EA53" i="30"/>
  <c r="EB53" i="30"/>
  <c r="DE54" i="30"/>
  <c r="DF54" i="30"/>
  <c r="DG54" i="30"/>
  <c r="DH54" i="30"/>
  <c r="DI54" i="30"/>
  <c r="DJ54" i="30"/>
  <c r="DK54" i="30"/>
  <c r="DL54" i="30"/>
  <c r="DM54" i="30"/>
  <c r="DN54" i="30"/>
  <c r="DO54" i="30"/>
  <c r="DP54" i="30"/>
  <c r="DQ54" i="30"/>
  <c r="DR54" i="30"/>
  <c r="DS54" i="30"/>
  <c r="DT54" i="30"/>
  <c r="DU54" i="30"/>
  <c r="DV54" i="30"/>
  <c r="DW54" i="30"/>
  <c r="DX54" i="30"/>
  <c r="DY54" i="30"/>
  <c r="DZ54" i="30"/>
  <c r="EA54" i="30"/>
  <c r="EB54" i="30"/>
  <c r="DE55" i="30"/>
  <c r="DF55" i="30"/>
  <c r="DG55" i="30"/>
  <c r="DH55" i="30"/>
  <c r="DI55" i="30"/>
  <c r="DJ55" i="30"/>
  <c r="DK55" i="30"/>
  <c r="DL55" i="30"/>
  <c r="DM55" i="30"/>
  <c r="DN55" i="30"/>
  <c r="DO55" i="30"/>
  <c r="DP55" i="30"/>
  <c r="DQ55" i="30"/>
  <c r="DR55" i="30"/>
  <c r="DS55" i="30"/>
  <c r="DT55" i="30"/>
  <c r="DU55" i="30"/>
  <c r="DV55" i="30"/>
  <c r="DW55" i="30"/>
  <c r="DX55" i="30"/>
  <c r="DY55" i="30"/>
  <c r="DZ55" i="30"/>
  <c r="EA55" i="30"/>
  <c r="EB55" i="30"/>
  <c r="DE56" i="30"/>
  <c r="DF56" i="30"/>
  <c r="DG56" i="30"/>
  <c r="DH56" i="30"/>
  <c r="DI56" i="30"/>
  <c r="DJ56" i="30"/>
  <c r="DK56" i="30"/>
  <c r="DL56" i="30"/>
  <c r="DM56" i="30"/>
  <c r="DN56" i="30"/>
  <c r="DO56" i="30"/>
  <c r="DP56" i="30"/>
  <c r="DQ56" i="30"/>
  <c r="DR56" i="30"/>
  <c r="DS56" i="30"/>
  <c r="DT56" i="30"/>
  <c r="DU56" i="30"/>
  <c r="DV56" i="30"/>
  <c r="DW56" i="30"/>
  <c r="DX56" i="30"/>
  <c r="DY56" i="30"/>
  <c r="DZ56" i="30"/>
  <c r="EA56" i="30"/>
  <c r="EB56" i="30"/>
  <c r="DE57" i="30"/>
  <c r="DF57" i="30"/>
  <c r="DG57" i="30"/>
  <c r="DH57" i="30"/>
  <c r="DI57" i="30"/>
  <c r="DJ57" i="30"/>
  <c r="DK57" i="30"/>
  <c r="DL57" i="30"/>
  <c r="DM57" i="30"/>
  <c r="DN57" i="30"/>
  <c r="DO57" i="30"/>
  <c r="DP57" i="30"/>
  <c r="DQ57" i="30"/>
  <c r="DR57" i="30"/>
  <c r="DS57" i="30"/>
  <c r="DT57" i="30"/>
  <c r="DU57" i="30"/>
  <c r="DV57" i="30"/>
  <c r="DW57" i="30"/>
  <c r="DX57" i="30"/>
  <c r="DY57" i="30"/>
  <c r="DZ57" i="30"/>
  <c r="EA57" i="30"/>
  <c r="EB57" i="30"/>
  <c r="DF48" i="30"/>
  <c r="DG48" i="30"/>
  <c r="DH48" i="30"/>
  <c r="DI48" i="30"/>
  <c r="DJ48" i="30"/>
  <c r="DK48" i="30"/>
  <c r="DL48" i="30"/>
  <c r="DM48" i="30"/>
  <c r="DN48" i="30"/>
  <c r="DO48" i="30"/>
  <c r="DP48" i="30"/>
  <c r="DQ48" i="30"/>
  <c r="DR48" i="30"/>
  <c r="DS48" i="30"/>
  <c r="DT48" i="30"/>
  <c r="DU48" i="30"/>
  <c r="DV48" i="30"/>
  <c r="DW48" i="30"/>
  <c r="DX48" i="30"/>
  <c r="DY48" i="30"/>
  <c r="DZ48" i="30"/>
  <c r="EA48" i="30"/>
  <c r="EB48" i="30"/>
  <c r="DE48" i="30"/>
  <c r="CB49" i="30"/>
  <c r="CC49" i="30"/>
  <c r="CD49" i="30"/>
  <c r="CE49" i="30"/>
  <c r="CF49" i="30"/>
  <c r="CG49" i="30"/>
  <c r="CH49" i="30"/>
  <c r="CI49" i="30"/>
  <c r="CJ49" i="30"/>
  <c r="CK49" i="30"/>
  <c r="CL49" i="30"/>
  <c r="CM49" i="30"/>
  <c r="CN49" i="30"/>
  <c r="CO49" i="30"/>
  <c r="CP49" i="30"/>
  <c r="CQ49" i="30"/>
  <c r="CR49" i="30"/>
  <c r="CS49" i="30"/>
  <c r="CT49" i="30"/>
  <c r="CU49" i="30"/>
  <c r="CV49" i="30"/>
  <c r="CW49" i="30"/>
  <c r="CX49" i="30"/>
  <c r="CY49" i="30"/>
  <c r="CB50" i="30"/>
  <c r="CC50" i="30"/>
  <c r="CD50" i="30"/>
  <c r="CE50" i="30"/>
  <c r="CF50" i="30"/>
  <c r="CG50" i="30"/>
  <c r="CH50" i="30"/>
  <c r="CI50" i="30"/>
  <c r="CJ50" i="30"/>
  <c r="CK50" i="30"/>
  <c r="CL50" i="30"/>
  <c r="CM50" i="30"/>
  <c r="CN50" i="30"/>
  <c r="CO50" i="30"/>
  <c r="CP50" i="30"/>
  <c r="CQ50" i="30"/>
  <c r="CR50" i="30"/>
  <c r="CS50" i="30"/>
  <c r="CT50" i="30"/>
  <c r="CU50" i="30"/>
  <c r="CV50" i="30"/>
  <c r="CW50" i="30"/>
  <c r="CX50" i="30"/>
  <c r="CY50" i="30"/>
  <c r="CB51" i="30"/>
  <c r="CC51" i="30"/>
  <c r="CD51" i="30"/>
  <c r="CE51" i="30"/>
  <c r="CF51" i="30"/>
  <c r="CG51" i="30"/>
  <c r="CH51" i="30"/>
  <c r="CI51" i="30"/>
  <c r="CJ51" i="30"/>
  <c r="CK51" i="30"/>
  <c r="CL51" i="30"/>
  <c r="CM51" i="30"/>
  <c r="CN51" i="30"/>
  <c r="CO51" i="30"/>
  <c r="CP51" i="30"/>
  <c r="CQ51" i="30"/>
  <c r="CR51" i="30"/>
  <c r="CS51" i="30"/>
  <c r="CT51" i="30"/>
  <c r="CU51" i="30"/>
  <c r="CV51" i="30"/>
  <c r="CW51" i="30"/>
  <c r="CX51" i="30"/>
  <c r="CY51" i="30"/>
  <c r="CB52" i="30"/>
  <c r="CC52" i="30"/>
  <c r="CD52" i="30"/>
  <c r="CE52" i="30"/>
  <c r="CF52" i="30"/>
  <c r="CG52" i="30"/>
  <c r="CH52" i="30"/>
  <c r="CI52" i="30"/>
  <c r="CJ52" i="30"/>
  <c r="CK52" i="30"/>
  <c r="CL52" i="30"/>
  <c r="CM52" i="30"/>
  <c r="CN52" i="30"/>
  <c r="CO52" i="30"/>
  <c r="CP52" i="30"/>
  <c r="CQ52" i="30"/>
  <c r="CR52" i="30"/>
  <c r="CS52" i="30"/>
  <c r="CT52" i="30"/>
  <c r="CU52" i="30"/>
  <c r="CV52" i="30"/>
  <c r="CW52" i="30"/>
  <c r="CX52" i="30"/>
  <c r="CY52" i="30"/>
  <c r="CB53" i="30"/>
  <c r="CC53" i="30"/>
  <c r="CD53" i="30"/>
  <c r="CE53" i="30"/>
  <c r="CF53" i="30"/>
  <c r="CG53" i="30"/>
  <c r="CH53" i="30"/>
  <c r="CI53" i="30"/>
  <c r="CJ53" i="30"/>
  <c r="CK53" i="30"/>
  <c r="CL53" i="30"/>
  <c r="CM53" i="30"/>
  <c r="CN53" i="30"/>
  <c r="CO53" i="30"/>
  <c r="CP53" i="30"/>
  <c r="CQ53" i="30"/>
  <c r="CR53" i="30"/>
  <c r="CS53" i="30"/>
  <c r="CT53" i="30"/>
  <c r="CU53" i="30"/>
  <c r="CV53" i="30"/>
  <c r="CW53" i="30"/>
  <c r="CX53" i="30"/>
  <c r="CY53" i="30"/>
  <c r="CB54" i="30"/>
  <c r="CC54" i="30"/>
  <c r="CD54" i="30"/>
  <c r="CE54" i="30"/>
  <c r="CF54" i="30"/>
  <c r="CG54" i="30"/>
  <c r="CH54" i="30"/>
  <c r="CI54" i="30"/>
  <c r="CJ54" i="30"/>
  <c r="CK54" i="30"/>
  <c r="CL54" i="30"/>
  <c r="CM54" i="30"/>
  <c r="CN54" i="30"/>
  <c r="CO54" i="30"/>
  <c r="CP54" i="30"/>
  <c r="CQ54" i="30"/>
  <c r="CR54" i="30"/>
  <c r="CS54" i="30"/>
  <c r="CT54" i="30"/>
  <c r="CU54" i="30"/>
  <c r="CV54" i="30"/>
  <c r="CW54" i="30"/>
  <c r="CX54" i="30"/>
  <c r="CY54" i="30"/>
  <c r="CB55" i="30"/>
  <c r="CC55" i="30"/>
  <c r="CD55" i="30"/>
  <c r="CE55" i="30"/>
  <c r="CF55" i="30"/>
  <c r="CG55" i="30"/>
  <c r="CH55" i="30"/>
  <c r="CI55" i="30"/>
  <c r="CJ55" i="30"/>
  <c r="CK55" i="30"/>
  <c r="CL55" i="30"/>
  <c r="CM55" i="30"/>
  <c r="CN55" i="30"/>
  <c r="CO55" i="30"/>
  <c r="CP55" i="30"/>
  <c r="CQ55" i="30"/>
  <c r="CR55" i="30"/>
  <c r="CS55" i="30"/>
  <c r="CT55" i="30"/>
  <c r="CU55" i="30"/>
  <c r="CV55" i="30"/>
  <c r="CW55" i="30"/>
  <c r="CX55" i="30"/>
  <c r="CY55" i="30"/>
  <c r="CB56" i="30"/>
  <c r="CC56" i="30"/>
  <c r="CD56" i="30"/>
  <c r="CE56" i="30"/>
  <c r="CF56" i="30"/>
  <c r="CG56" i="30"/>
  <c r="CH56" i="30"/>
  <c r="CI56" i="30"/>
  <c r="CJ56" i="30"/>
  <c r="CK56" i="30"/>
  <c r="CL56" i="30"/>
  <c r="CM56" i="30"/>
  <c r="CN56" i="30"/>
  <c r="CO56" i="30"/>
  <c r="CP56" i="30"/>
  <c r="CQ56" i="30"/>
  <c r="CR56" i="30"/>
  <c r="CS56" i="30"/>
  <c r="CT56" i="30"/>
  <c r="CU56" i="30"/>
  <c r="CV56" i="30"/>
  <c r="CW56" i="30"/>
  <c r="CX56" i="30"/>
  <c r="CY56" i="30"/>
  <c r="CB57" i="30"/>
  <c r="CC57" i="30"/>
  <c r="CD57" i="30"/>
  <c r="CE57" i="30"/>
  <c r="CF57" i="30"/>
  <c r="CG57" i="30"/>
  <c r="CH57" i="30"/>
  <c r="CI57" i="30"/>
  <c r="CJ57" i="30"/>
  <c r="CK57" i="30"/>
  <c r="CL57" i="30"/>
  <c r="CM57" i="30"/>
  <c r="CN57" i="30"/>
  <c r="CO57" i="30"/>
  <c r="CP57" i="30"/>
  <c r="CQ57" i="30"/>
  <c r="CR57" i="30"/>
  <c r="CS57" i="30"/>
  <c r="CT57" i="30"/>
  <c r="CU57" i="30"/>
  <c r="CV57" i="30"/>
  <c r="CW57" i="30"/>
  <c r="CX57" i="30"/>
  <c r="CY57" i="30"/>
  <c r="CC48" i="30"/>
  <c r="CD48" i="30"/>
  <c r="CE48" i="30"/>
  <c r="CF48" i="30"/>
  <c r="CG48" i="30"/>
  <c r="CH48" i="30"/>
  <c r="CI48" i="30"/>
  <c r="CJ48" i="30"/>
  <c r="CK48" i="30"/>
  <c r="CL48" i="30"/>
  <c r="CM48" i="30"/>
  <c r="CN48" i="30"/>
  <c r="CO48" i="30"/>
  <c r="CP48" i="30"/>
  <c r="CQ48" i="30"/>
  <c r="CR48" i="30"/>
  <c r="CS48" i="30"/>
  <c r="CT48" i="30"/>
  <c r="CU48" i="30"/>
  <c r="CV48" i="30"/>
  <c r="CW48" i="30"/>
  <c r="CX48" i="30"/>
  <c r="CY48" i="30"/>
  <c r="CB48" i="30"/>
  <c r="AV49" i="30"/>
  <c r="AW49" i="30"/>
  <c r="AX49" i="30"/>
  <c r="AY49" i="30"/>
  <c r="AZ49" i="30"/>
  <c r="BA49" i="30"/>
  <c r="BB49" i="30"/>
  <c r="BC49" i="30"/>
  <c r="BD49" i="30"/>
  <c r="BE49" i="30"/>
  <c r="BF49" i="30"/>
  <c r="BG49" i="30"/>
  <c r="BH49" i="30"/>
  <c r="BI49" i="30"/>
  <c r="BJ49" i="30"/>
  <c r="BK49" i="30"/>
  <c r="BL49" i="30"/>
  <c r="BM49" i="30"/>
  <c r="BN49" i="30"/>
  <c r="BO49" i="30"/>
  <c r="BP49" i="30"/>
  <c r="BQ49" i="30"/>
  <c r="BR49" i="30"/>
  <c r="BS49" i="30"/>
  <c r="AV50" i="30"/>
  <c r="AW50" i="30"/>
  <c r="AX50" i="30"/>
  <c r="AY50" i="30"/>
  <c r="AZ50" i="30"/>
  <c r="BA50" i="30"/>
  <c r="BB50" i="30"/>
  <c r="BC50" i="30"/>
  <c r="BD50" i="30"/>
  <c r="BE50" i="30"/>
  <c r="BF50" i="30"/>
  <c r="BG50" i="30"/>
  <c r="BH50" i="30"/>
  <c r="BI50" i="30"/>
  <c r="BJ50" i="30"/>
  <c r="BK50" i="30"/>
  <c r="BL50" i="30"/>
  <c r="BM50" i="30"/>
  <c r="BN50" i="30"/>
  <c r="BO50" i="30"/>
  <c r="BP50" i="30"/>
  <c r="BQ50" i="30"/>
  <c r="BR50" i="30"/>
  <c r="BS50" i="30"/>
  <c r="AV51" i="30"/>
  <c r="AW51" i="30"/>
  <c r="AX51" i="30"/>
  <c r="AY51" i="30"/>
  <c r="AZ51" i="30"/>
  <c r="BA51" i="30"/>
  <c r="BB51" i="30"/>
  <c r="BC51" i="30"/>
  <c r="BD51" i="30"/>
  <c r="BE51" i="30"/>
  <c r="BF51" i="30"/>
  <c r="BG51" i="30"/>
  <c r="BH51" i="30"/>
  <c r="BI51" i="30"/>
  <c r="BJ51" i="30"/>
  <c r="BK51" i="30"/>
  <c r="BL51" i="30"/>
  <c r="BM51" i="30"/>
  <c r="BN51" i="30"/>
  <c r="BO51" i="30"/>
  <c r="BP51" i="30"/>
  <c r="BQ51" i="30"/>
  <c r="BR51" i="30"/>
  <c r="BS51" i="30"/>
  <c r="AV52" i="30"/>
  <c r="AW52" i="30"/>
  <c r="AX52" i="30"/>
  <c r="AY52" i="30"/>
  <c r="AZ52" i="30"/>
  <c r="BA52" i="30"/>
  <c r="BB52" i="30"/>
  <c r="BC52" i="30"/>
  <c r="BD52" i="30"/>
  <c r="BE52" i="30"/>
  <c r="BF52" i="30"/>
  <c r="BG52" i="30"/>
  <c r="BH52" i="30"/>
  <c r="BI52" i="30"/>
  <c r="BJ52" i="30"/>
  <c r="BK52" i="30"/>
  <c r="BL52" i="30"/>
  <c r="BM52" i="30"/>
  <c r="BN52" i="30"/>
  <c r="BO52" i="30"/>
  <c r="BP52" i="30"/>
  <c r="BQ52" i="30"/>
  <c r="BR52" i="30"/>
  <c r="BS52" i="30"/>
  <c r="AV53" i="30"/>
  <c r="AW53" i="30"/>
  <c r="AX53" i="30"/>
  <c r="AY53" i="30"/>
  <c r="AZ53" i="30"/>
  <c r="BA53" i="30"/>
  <c r="BB53" i="30"/>
  <c r="BC53" i="30"/>
  <c r="BD53" i="30"/>
  <c r="BE53" i="30"/>
  <c r="BF53" i="30"/>
  <c r="BG53" i="30"/>
  <c r="BH53" i="30"/>
  <c r="BI53" i="30"/>
  <c r="BJ53" i="30"/>
  <c r="BK53" i="30"/>
  <c r="BL53" i="30"/>
  <c r="BM53" i="30"/>
  <c r="BN53" i="30"/>
  <c r="BO53" i="30"/>
  <c r="BP53" i="30"/>
  <c r="BQ53" i="30"/>
  <c r="BR53" i="30"/>
  <c r="BS53" i="30"/>
  <c r="AV54" i="30"/>
  <c r="AW54" i="30"/>
  <c r="AX54" i="30"/>
  <c r="AY54" i="30"/>
  <c r="AZ54" i="30"/>
  <c r="BA54" i="30"/>
  <c r="BB54" i="30"/>
  <c r="BC54" i="30"/>
  <c r="BD54" i="30"/>
  <c r="BE54" i="30"/>
  <c r="BF54" i="30"/>
  <c r="BG54" i="30"/>
  <c r="BH54" i="30"/>
  <c r="BI54" i="30"/>
  <c r="BJ54" i="30"/>
  <c r="BK54" i="30"/>
  <c r="BL54" i="30"/>
  <c r="BM54" i="30"/>
  <c r="BN54" i="30"/>
  <c r="BO54" i="30"/>
  <c r="BP54" i="30"/>
  <c r="BQ54" i="30"/>
  <c r="BR54" i="30"/>
  <c r="BS54" i="30"/>
  <c r="AV55" i="30"/>
  <c r="AW55" i="30"/>
  <c r="AX55" i="30"/>
  <c r="AY55" i="30"/>
  <c r="AZ55" i="30"/>
  <c r="BA55" i="30"/>
  <c r="BB55" i="30"/>
  <c r="BC55" i="30"/>
  <c r="BD55" i="30"/>
  <c r="BE55" i="30"/>
  <c r="BF55" i="30"/>
  <c r="BG55" i="30"/>
  <c r="BH55" i="30"/>
  <c r="BI55" i="30"/>
  <c r="BJ55" i="30"/>
  <c r="BK55" i="30"/>
  <c r="BL55" i="30"/>
  <c r="BM55" i="30"/>
  <c r="BN55" i="30"/>
  <c r="BO55" i="30"/>
  <c r="BP55" i="30"/>
  <c r="BQ55" i="30"/>
  <c r="BR55" i="30"/>
  <c r="BS55" i="30"/>
  <c r="AV56" i="30"/>
  <c r="AW56" i="30"/>
  <c r="AX56" i="30"/>
  <c r="AY56" i="30"/>
  <c r="AZ56" i="30"/>
  <c r="BA56" i="30"/>
  <c r="BB56" i="30"/>
  <c r="BC56" i="30"/>
  <c r="BD56" i="30"/>
  <c r="BE56" i="30"/>
  <c r="BF56" i="30"/>
  <c r="BG56" i="30"/>
  <c r="BH56" i="30"/>
  <c r="BI56" i="30"/>
  <c r="BJ56" i="30"/>
  <c r="BK56" i="30"/>
  <c r="BL56" i="30"/>
  <c r="BM56" i="30"/>
  <c r="BN56" i="30"/>
  <c r="BO56" i="30"/>
  <c r="BP56" i="30"/>
  <c r="BQ56" i="30"/>
  <c r="BR56" i="30"/>
  <c r="BS56" i="30"/>
  <c r="AV57" i="30"/>
  <c r="AW57" i="30"/>
  <c r="AX57" i="30"/>
  <c r="AY57" i="30"/>
  <c r="AZ57" i="30"/>
  <c r="BA57" i="30"/>
  <c r="BB57" i="30"/>
  <c r="BC57" i="30"/>
  <c r="BD57" i="30"/>
  <c r="BE57" i="30"/>
  <c r="BF57" i="30"/>
  <c r="BG57" i="30"/>
  <c r="BH57" i="30"/>
  <c r="BI57" i="30"/>
  <c r="BJ57" i="30"/>
  <c r="BK57" i="30"/>
  <c r="BL57" i="30"/>
  <c r="BM57" i="30"/>
  <c r="BN57" i="30"/>
  <c r="BO57" i="30"/>
  <c r="BP57" i="30"/>
  <c r="BQ57" i="30"/>
  <c r="BR57" i="30"/>
  <c r="BS57" i="30"/>
  <c r="AW48" i="30"/>
  <c r="AX48" i="30"/>
  <c r="AY48" i="30"/>
  <c r="AZ48" i="30"/>
  <c r="BA48" i="30"/>
  <c r="BB48" i="30"/>
  <c r="BC48" i="30"/>
  <c r="BD48" i="30"/>
  <c r="BE48" i="30"/>
  <c r="BF48" i="30"/>
  <c r="BG48" i="30"/>
  <c r="BH48" i="30"/>
  <c r="BI48" i="30"/>
  <c r="BJ48" i="30"/>
  <c r="BK48" i="30"/>
  <c r="BL48" i="30"/>
  <c r="BM48" i="30"/>
  <c r="BN48" i="30"/>
  <c r="BO48" i="30"/>
  <c r="BP48" i="30"/>
  <c r="BQ48" i="30"/>
  <c r="BR48" i="30"/>
  <c r="BS48" i="30"/>
  <c r="AV48" i="30"/>
  <c r="T141" i="33" l="1"/>
  <c r="AB137" i="33"/>
  <c r="K141" i="33"/>
  <c r="T132" i="33"/>
  <c r="R141" i="33"/>
  <c r="AA137" i="33"/>
  <c r="L132" i="33"/>
  <c r="J132" i="33"/>
  <c r="V132" i="33"/>
  <c r="L141" i="33"/>
  <c r="Z141" i="33"/>
  <c r="P132" i="33"/>
  <c r="O141" i="33"/>
  <c r="I137" i="33"/>
  <c r="AA132" i="33"/>
  <c r="Z137" i="33"/>
  <c r="P141" i="33"/>
  <c r="O132" i="33"/>
  <c r="Y141" i="33"/>
  <c r="AB141" i="33"/>
  <c r="AB132" i="33"/>
  <c r="AA141" i="33"/>
  <c r="W132" i="33"/>
  <c r="S137" i="33"/>
  <c r="J141" i="33"/>
  <c r="X141" i="33"/>
  <c r="C126" i="33"/>
  <c r="D126" i="33" s="1"/>
  <c r="AE137" i="33"/>
  <c r="C133" i="33"/>
  <c r="D133" i="33" s="1"/>
  <c r="C136" i="33"/>
  <c r="D136" i="33" s="1"/>
  <c r="D110" i="33"/>
  <c r="V137" i="33"/>
  <c r="Q137" i="33"/>
  <c r="M132" i="33"/>
  <c r="DC176" i="33"/>
  <c r="DC141" i="33"/>
  <c r="BZ172" i="33"/>
  <c r="BZ137" i="33"/>
  <c r="DC175" i="33"/>
  <c r="DC140" i="33"/>
  <c r="H137" i="33"/>
  <c r="C125" i="33"/>
  <c r="D125" i="33" s="1"/>
  <c r="K137" i="33"/>
  <c r="J137" i="33"/>
  <c r="P137" i="33"/>
  <c r="X132" i="33"/>
  <c r="C103" i="33"/>
  <c r="D103" i="33" s="1"/>
  <c r="C99" i="33"/>
  <c r="D99" i="33" s="1"/>
  <c r="C107" i="33"/>
  <c r="D107" i="33" s="1"/>
  <c r="W137" i="33"/>
  <c r="V141" i="33"/>
  <c r="I132" i="33"/>
  <c r="DC174" i="33"/>
  <c r="DC139" i="33"/>
  <c r="M137" i="33"/>
  <c r="DC170" i="33"/>
  <c r="DC135" i="33"/>
  <c r="C134" i="33"/>
  <c r="D134" i="33" s="1"/>
  <c r="D111" i="33"/>
  <c r="S141" i="33"/>
  <c r="L137" i="33"/>
  <c r="K132" i="33"/>
  <c r="Z132" i="33"/>
  <c r="X137" i="33"/>
  <c r="C130" i="33"/>
  <c r="D130" i="33" s="1"/>
  <c r="W141" i="33"/>
  <c r="N137" i="33"/>
  <c r="I141" i="33"/>
  <c r="AC132" i="33"/>
  <c r="M141" i="33"/>
  <c r="BZ173" i="33"/>
  <c r="BZ138" i="33"/>
  <c r="DC167" i="33"/>
  <c r="DC132" i="33"/>
  <c r="BZ170" i="33"/>
  <c r="BZ135" i="33"/>
  <c r="N141" i="33"/>
  <c r="Y132" i="33"/>
  <c r="DC172" i="33"/>
  <c r="DC137" i="33"/>
  <c r="AC137" i="33"/>
  <c r="BZ167" i="33"/>
  <c r="BZ132" i="33"/>
  <c r="C104" i="33"/>
  <c r="D104" i="33" s="1"/>
  <c r="C100" i="33"/>
  <c r="D100" i="33" s="1"/>
  <c r="C108" i="33"/>
  <c r="D108" i="33" s="1"/>
  <c r="AD132" i="33"/>
  <c r="BZ171" i="33"/>
  <c r="BZ136" i="33"/>
  <c r="AC141" i="33"/>
  <c r="BZ174" i="33"/>
  <c r="BZ139" i="33"/>
  <c r="DC169" i="33"/>
  <c r="DC134" i="33"/>
  <c r="BZ168" i="33"/>
  <c r="BZ133" i="33"/>
  <c r="C131" i="33"/>
  <c r="D131" i="33" s="1"/>
  <c r="C135" i="33"/>
  <c r="D135" i="33" s="1"/>
  <c r="D112" i="33"/>
  <c r="H141" i="33"/>
  <c r="C129" i="33"/>
  <c r="D129" i="33" s="1"/>
  <c r="O137" i="33"/>
  <c r="AD137" i="33"/>
  <c r="Y137" i="33"/>
  <c r="U132" i="33"/>
  <c r="N132" i="33"/>
  <c r="C127" i="33"/>
  <c r="D127" i="33" s="1"/>
  <c r="T137" i="33"/>
  <c r="S132" i="33"/>
  <c r="R137" i="33"/>
  <c r="H132" i="33"/>
  <c r="C102" i="33"/>
  <c r="D102" i="33" s="1"/>
  <c r="C98" i="33"/>
  <c r="D98" i="33" s="1"/>
  <c r="C106" i="33"/>
  <c r="D106" i="33" s="1"/>
  <c r="AE132" i="33"/>
  <c r="AD141" i="33"/>
  <c r="Q132" i="33"/>
  <c r="U137" i="33"/>
  <c r="BZ175" i="33"/>
  <c r="BZ140" i="33"/>
  <c r="BZ169" i="33"/>
  <c r="BZ134" i="33"/>
  <c r="AE141" i="33"/>
  <c r="Q141" i="33"/>
  <c r="U141" i="33"/>
  <c r="BZ176" i="33"/>
  <c r="BZ141" i="33"/>
  <c r="DC173" i="33"/>
  <c r="DC138" i="33"/>
  <c r="DC171" i="33"/>
  <c r="DC136" i="33"/>
  <c r="DC168" i="33"/>
  <c r="DC133" i="33"/>
  <c r="B86" i="30"/>
  <c r="F86" i="30" s="1"/>
  <c r="T246" i="31"/>
  <c r="B166" i="31" s="1"/>
  <c r="C190" i="33" l="1"/>
  <c r="D190" i="33" s="1"/>
  <c r="AK190" i="33" s="1"/>
  <c r="AO190" i="33" s="1"/>
  <c r="C128" i="33"/>
  <c r="D128" i="33" s="1"/>
  <c r="C101" i="33"/>
  <c r="D101" i="33" s="1"/>
  <c r="C105" i="33"/>
  <c r="D105" i="33" s="1"/>
  <c r="C109" i="33"/>
  <c r="D109" i="33" s="1"/>
  <c r="C132" i="33"/>
  <c r="D132" i="33" s="1"/>
  <c r="B87" i="30"/>
  <c r="C280" i="33" l="1"/>
  <c r="D280" i="33" s="1"/>
  <c r="AA119" i="29"/>
  <c r="CI13" i="30"/>
  <c r="CI24" i="30" s="1"/>
  <c r="CI69" i="30" s="1"/>
  <c r="CQ13" i="30"/>
  <c r="CQ24" i="30" s="1"/>
  <c r="CQ69" i="30" s="1"/>
  <c r="CY13" i="30"/>
  <c r="CY24" i="30" s="1"/>
  <c r="CY69" i="30" s="1"/>
  <c r="EJ67" i="3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T67" i="31"/>
  <c r="DS67" i="31"/>
  <c r="DR67" i="31"/>
  <c r="DQ67" i="31"/>
  <c r="DP67" i="31"/>
  <c r="DO67" i="31"/>
  <c r="DN67" i="31"/>
  <c r="DM67" i="3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T66" i="31"/>
  <c r="DS66" i="31"/>
  <c r="DR66" i="31"/>
  <c r="DQ66" i="31"/>
  <c r="DP66" i="31"/>
  <c r="DO66" i="31"/>
  <c r="DN66" i="31"/>
  <c r="DM66" i="3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T65" i="31"/>
  <c r="DS65" i="31"/>
  <c r="DR65" i="31"/>
  <c r="DQ65" i="31"/>
  <c r="DP65" i="31"/>
  <c r="DO65" i="31"/>
  <c r="DN65" i="31"/>
  <c r="DM65" i="3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T64" i="31"/>
  <c r="DS64" i="31"/>
  <c r="DR64" i="31"/>
  <c r="DQ64" i="31"/>
  <c r="DP64" i="31"/>
  <c r="DO64" i="31"/>
  <c r="DN64" i="31"/>
  <c r="DM64" i="3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T63" i="31"/>
  <c r="DS63" i="31"/>
  <c r="DR63" i="31"/>
  <c r="DQ63" i="31"/>
  <c r="DP63" i="31"/>
  <c r="DO63" i="31"/>
  <c r="DN63" i="31"/>
  <c r="DM63" i="3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T62" i="31"/>
  <c r="DS62" i="31"/>
  <c r="DR62" i="31"/>
  <c r="DQ62" i="31"/>
  <c r="DP62" i="31"/>
  <c r="DO62" i="31"/>
  <c r="DN62" i="31"/>
  <c r="DM62" i="3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T61" i="31"/>
  <c r="DS61" i="31"/>
  <c r="DR61" i="31"/>
  <c r="DQ61" i="31"/>
  <c r="DP61" i="31"/>
  <c r="DO61" i="31"/>
  <c r="DN61" i="31"/>
  <c r="DM61" i="3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T60" i="31"/>
  <c r="DS60" i="31"/>
  <c r="DR60" i="31"/>
  <c r="DQ60" i="31"/>
  <c r="DP60" i="31"/>
  <c r="DO60" i="31"/>
  <c r="DN60" i="31"/>
  <c r="DM60" i="3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T59" i="31"/>
  <c r="DS59" i="31"/>
  <c r="DR59" i="31"/>
  <c r="DQ59" i="31"/>
  <c r="DP59" i="31"/>
  <c r="DO59" i="31"/>
  <c r="DN59" i="31"/>
  <c r="DM59" i="3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F73" i="30"/>
  <c r="B152" i="31"/>
  <c r="S52" i="31"/>
  <c r="I218" i="33" s="1"/>
  <c r="S51" i="31"/>
  <c r="I217" i="33" s="1"/>
  <c r="S50" i="31"/>
  <c r="I216" i="33" s="1"/>
  <c r="Z35" i="31"/>
  <c r="T25" i="31"/>
  <c r="W10" i="31"/>
  <c r="V10" i="31"/>
  <c r="U10" i="31"/>
  <c r="T10" i="31"/>
  <c r="T5" i="31"/>
  <c r="C279" i="33"/>
  <c r="DD35" i="30"/>
  <c r="EB35" i="30" s="1"/>
  <c r="DD34" i="30"/>
  <c r="DD33" i="30"/>
  <c r="DL33" i="30" s="1"/>
  <c r="DD32" i="30"/>
  <c r="DD31" i="30"/>
  <c r="DD30" i="30"/>
  <c r="DD29" i="30"/>
  <c r="DD28" i="30"/>
  <c r="DD27" i="30"/>
  <c r="DS27" i="30" s="1"/>
  <c r="DD26" i="30"/>
  <c r="CA35" i="30"/>
  <c r="CA34" i="30"/>
  <c r="CA33" i="30"/>
  <c r="CA32" i="30"/>
  <c r="CA31" i="30"/>
  <c r="CA30" i="30"/>
  <c r="CA29" i="30"/>
  <c r="CA28" i="30"/>
  <c r="CA27" i="30"/>
  <c r="CA26" i="30"/>
  <c r="AU35" i="30"/>
  <c r="AU34" i="30"/>
  <c r="AU33" i="30"/>
  <c r="AU32" i="30"/>
  <c r="AU31" i="30"/>
  <c r="BQ31" i="30" s="1"/>
  <c r="AU30" i="30"/>
  <c r="AU29" i="30"/>
  <c r="BB29" i="30" s="1"/>
  <c r="AU28" i="30"/>
  <c r="AU27" i="30"/>
  <c r="AU26" i="30"/>
  <c r="E22" i="30"/>
  <c r="E21" i="30"/>
  <c r="E20" i="30"/>
  <c r="E18" i="30"/>
  <c r="C18" i="30"/>
  <c r="B18" i="30"/>
  <c r="E17" i="30"/>
  <c r="C17" i="30"/>
  <c r="B17" i="30"/>
  <c r="E16" i="30"/>
  <c r="C16" i="30"/>
  <c r="B16" i="30"/>
  <c r="DH67" i="31"/>
  <c r="DG67" i="31"/>
  <c r="DF67" i="31"/>
  <c r="DE67" i="3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Q67" i="31"/>
  <c r="CP67" i="31"/>
  <c r="CO67" i="31"/>
  <c r="CN67" i="31"/>
  <c r="CM67" i="31"/>
  <c r="CL67" i="31"/>
  <c r="CK67" i="31"/>
  <c r="DH66" i="31"/>
  <c r="DG66" i="31"/>
  <c r="DF66" i="31"/>
  <c r="DE66" i="3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Q66" i="31"/>
  <c r="CP66" i="31"/>
  <c r="CO66" i="31"/>
  <c r="CN66" i="31"/>
  <c r="CM66" i="31"/>
  <c r="CL66" i="31"/>
  <c r="CK66" i="31"/>
  <c r="DH65" i="3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R65" i="31"/>
  <c r="CQ65" i="31"/>
  <c r="CP65" i="31"/>
  <c r="CO65" i="31"/>
  <c r="CN65" i="31"/>
  <c r="CM65" i="31"/>
  <c r="CL65" i="31"/>
  <c r="CK65" i="3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Q64" i="31"/>
  <c r="CP64" i="31"/>
  <c r="CO64" i="31"/>
  <c r="CN64" i="31"/>
  <c r="CM64" i="31"/>
  <c r="CL64" i="31"/>
  <c r="CK64" i="31"/>
  <c r="DH63" i="3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U63" i="31"/>
  <c r="CT63" i="31"/>
  <c r="CS63" i="31"/>
  <c r="CR63" i="31"/>
  <c r="CQ63" i="31"/>
  <c r="CP63" i="31"/>
  <c r="CO63" i="31"/>
  <c r="CN63" i="31"/>
  <c r="CM63" i="31"/>
  <c r="CL63" i="31"/>
  <c r="CK63" i="31"/>
  <c r="DH62" i="3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Q62" i="31"/>
  <c r="CP62" i="31"/>
  <c r="CO62" i="31"/>
  <c r="CN62" i="3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U61" i="31"/>
  <c r="CT61" i="31"/>
  <c r="CS61" i="31"/>
  <c r="CR61" i="31"/>
  <c r="CQ61" i="31"/>
  <c r="CP61" i="31"/>
  <c r="CO61" i="31"/>
  <c r="CN61" i="3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T60" i="31"/>
  <c r="CS60" i="31"/>
  <c r="CR60" i="31"/>
  <c r="CQ60" i="31"/>
  <c r="CP60" i="31"/>
  <c r="CO60" i="31"/>
  <c r="CN60" i="31"/>
  <c r="CM60" i="3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U59" i="31"/>
  <c r="CT59" i="31"/>
  <c r="CS59" i="31"/>
  <c r="CR59" i="31"/>
  <c r="CQ59" i="31"/>
  <c r="CP59" i="31"/>
  <c r="CO59" i="31"/>
  <c r="CN59" i="31"/>
  <c r="CM59" i="3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46" i="30"/>
  <c r="EB98" i="30" s="1"/>
  <c r="EA46" i="30"/>
  <c r="DZ46" i="30"/>
  <c r="DY46" i="30"/>
  <c r="DX46" i="30"/>
  <c r="DW46" i="30"/>
  <c r="DV46" i="30"/>
  <c r="DV98" i="30" s="1"/>
  <c r="DU46" i="30"/>
  <c r="DT46" i="30"/>
  <c r="DT98" i="30" s="1"/>
  <c r="DS46" i="30"/>
  <c r="DR46" i="30"/>
  <c r="DQ46" i="30"/>
  <c r="DP46" i="30"/>
  <c r="DO46" i="30"/>
  <c r="DN46" i="30"/>
  <c r="DN98" i="30" s="1"/>
  <c r="DM46" i="30"/>
  <c r="DL46" i="30"/>
  <c r="DL98" i="30" s="1"/>
  <c r="DK46" i="30"/>
  <c r="DJ46" i="30"/>
  <c r="DI46" i="30"/>
  <c r="DH46" i="30"/>
  <c r="DG46" i="30"/>
  <c r="DF46" i="30"/>
  <c r="DF98" i="30" s="1"/>
  <c r="DE46" i="30"/>
  <c r="EB45" i="30"/>
  <c r="EB97" i="30" s="1"/>
  <c r="EA45" i="30"/>
  <c r="DZ45" i="30"/>
  <c r="DY45" i="30"/>
  <c r="DX45" i="30"/>
  <c r="DW45" i="30"/>
  <c r="DV45" i="30"/>
  <c r="DV97" i="30" s="1"/>
  <c r="DU45" i="30"/>
  <c r="DT45" i="30"/>
  <c r="DT97" i="30" s="1"/>
  <c r="DS45" i="30"/>
  <c r="DR45" i="30"/>
  <c r="DQ45" i="30"/>
  <c r="DP45" i="30"/>
  <c r="DO45" i="30"/>
  <c r="DN45" i="30"/>
  <c r="DN97" i="30" s="1"/>
  <c r="DM45" i="30"/>
  <c r="DL45" i="30"/>
  <c r="DL97" i="30" s="1"/>
  <c r="DK45" i="30"/>
  <c r="DJ45" i="30"/>
  <c r="DI45" i="30"/>
  <c r="DH45" i="30"/>
  <c r="DG45" i="30"/>
  <c r="DF45" i="30"/>
  <c r="DF97" i="30" s="1"/>
  <c r="DE45" i="30"/>
  <c r="EB44" i="30"/>
  <c r="EB96" i="30" s="1"/>
  <c r="EA44" i="30"/>
  <c r="DZ44" i="30"/>
  <c r="DY44" i="30"/>
  <c r="DX44" i="30"/>
  <c r="DW44" i="30"/>
  <c r="DV44" i="30"/>
  <c r="DV96" i="30" s="1"/>
  <c r="DU44" i="30"/>
  <c r="DT44" i="30"/>
  <c r="DT96" i="30" s="1"/>
  <c r="DS44" i="30"/>
  <c r="DR44" i="30"/>
  <c r="DQ44" i="30"/>
  <c r="DP44" i="30"/>
  <c r="DO44" i="30"/>
  <c r="DN44" i="30"/>
  <c r="DN96" i="30" s="1"/>
  <c r="DM44" i="30"/>
  <c r="DL44" i="30"/>
  <c r="DL96" i="30" s="1"/>
  <c r="DK44" i="30"/>
  <c r="DJ44" i="30"/>
  <c r="DI44" i="30"/>
  <c r="DH44" i="30"/>
  <c r="DG44" i="30"/>
  <c r="DF44" i="30"/>
  <c r="DF96" i="30" s="1"/>
  <c r="DE44" i="30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B95" i="30" s="1"/>
  <c r="EA42" i="30"/>
  <c r="DZ42" i="30"/>
  <c r="DY42" i="30"/>
  <c r="DX42" i="30"/>
  <c r="DW42" i="30"/>
  <c r="DV42" i="30"/>
  <c r="DV95" i="30" s="1"/>
  <c r="DU42" i="30"/>
  <c r="DT42" i="30"/>
  <c r="DT95" i="30" s="1"/>
  <c r="DS42" i="30"/>
  <c r="DR42" i="30"/>
  <c r="DQ42" i="30"/>
  <c r="DP42" i="30"/>
  <c r="DO42" i="30"/>
  <c r="DN42" i="30"/>
  <c r="DN95" i="30" s="1"/>
  <c r="DM42" i="30"/>
  <c r="DL42" i="30"/>
  <c r="DL95" i="30" s="1"/>
  <c r="DK42" i="30"/>
  <c r="DJ42" i="30"/>
  <c r="DI42" i="30"/>
  <c r="DH42" i="30"/>
  <c r="DG42" i="30"/>
  <c r="DF42" i="30"/>
  <c r="DF95" i="30" s="1"/>
  <c r="DE42" i="30"/>
  <c r="EB41" i="30"/>
  <c r="EB94" i="30" s="1"/>
  <c r="EA41" i="30"/>
  <c r="DZ41" i="30"/>
  <c r="DY41" i="30"/>
  <c r="DX41" i="30"/>
  <c r="DW41" i="30"/>
  <c r="DV41" i="30"/>
  <c r="DV94" i="30" s="1"/>
  <c r="DU41" i="30"/>
  <c r="DT41" i="30"/>
  <c r="DT94" i="30" s="1"/>
  <c r="DS41" i="30"/>
  <c r="DR41" i="30"/>
  <c r="DQ41" i="30"/>
  <c r="DP41" i="30"/>
  <c r="DO41" i="30"/>
  <c r="DN41" i="30"/>
  <c r="DN94" i="30" s="1"/>
  <c r="DM41" i="30"/>
  <c r="DL41" i="30"/>
  <c r="DL94" i="30" s="1"/>
  <c r="DK41" i="30"/>
  <c r="DJ41" i="30"/>
  <c r="DI41" i="30"/>
  <c r="DH41" i="30"/>
  <c r="DG41" i="30"/>
  <c r="DF41" i="30"/>
  <c r="DF94" i="30" s="1"/>
  <c r="DE41" i="30"/>
  <c r="EB40" i="30"/>
  <c r="EB93" i="30" s="1"/>
  <c r="EA40" i="30"/>
  <c r="DZ40" i="30"/>
  <c r="DY40" i="30"/>
  <c r="DX40" i="30"/>
  <c r="DW40" i="30"/>
  <c r="DV40" i="30"/>
  <c r="DV93" i="30" s="1"/>
  <c r="DU40" i="30"/>
  <c r="DT40" i="30"/>
  <c r="DT93" i="30" s="1"/>
  <c r="DS40" i="30"/>
  <c r="DR40" i="30"/>
  <c r="DQ40" i="30"/>
  <c r="DP40" i="30"/>
  <c r="DO40" i="30"/>
  <c r="DN40" i="30"/>
  <c r="DN93" i="30" s="1"/>
  <c r="DM40" i="30"/>
  <c r="DL40" i="30"/>
  <c r="DK40" i="30"/>
  <c r="DJ40" i="30"/>
  <c r="DI40" i="30"/>
  <c r="DH40" i="30"/>
  <c r="DG40" i="30"/>
  <c r="DF40" i="30"/>
  <c r="DF93" i="30" s="1"/>
  <c r="DE40" i="30"/>
  <c r="EB39" i="30"/>
  <c r="EB92" i="30" s="1"/>
  <c r="EA39" i="30"/>
  <c r="DZ39" i="30"/>
  <c r="DY39" i="30"/>
  <c r="DX39" i="30"/>
  <c r="DW39" i="30"/>
  <c r="DV39" i="30"/>
  <c r="DV92" i="30" s="1"/>
  <c r="DU39" i="30"/>
  <c r="DT39" i="30"/>
  <c r="DS39" i="30"/>
  <c r="DR39" i="30"/>
  <c r="DQ39" i="30"/>
  <c r="DP39" i="30"/>
  <c r="DO39" i="30"/>
  <c r="DN39" i="30"/>
  <c r="DN92" i="30" s="1"/>
  <c r="DM39" i="30"/>
  <c r="DL39" i="30"/>
  <c r="DL92" i="30" s="1"/>
  <c r="DK39" i="30"/>
  <c r="DJ39" i="30"/>
  <c r="DI39" i="30"/>
  <c r="DH39" i="30"/>
  <c r="DG39" i="30"/>
  <c r="DF39" i="30"/>
  <c r="DF92" i="30" s="1"/>
  <c r="DE39" i="30"/>
  <c r="EB38" i="30"/>
  <c r="EB91" i="30" s="1"/>
  <c r="EA38" i="30"/>
  <c r="DZ38" i="30"/>
  <c r="DY38" i="30"/>
  <c r="DX38" i="30"/>
  <c r="DW38" i="30"/>
  <c r="DV38" i="30"/>
  <c r="DV91" i="30" s="1"/>
  <c r="DU38" i="30"/>
  <c r="DT38" i="30"/>
  <c r="DT91" i="30" s="1"/>
  <c r="DS38" i="30"/>
  <c r="DR38" i="30"/>
  <c r="DQ38" i="30"/>
  <c r="DP38" i="30"/>
  <c r="DO38" i="30"/>
  <c r="DN38" i="30"/>
  <c r="DN91" i="30" s="1"/>
  <c r="DM38" i="30"/>
  <c r="DL38" i="30"/>
  <c r="DL91" i="30" s="1"/>
  <c r="DK38" i="30"/>
  <c r="DJ38" i="30"/>
  <c r="DI38" i="30"/>
  <c r="DH38" i="30"/>
  <c r="DG38" i="30"/>
  <c r="DF38" i="30"/>
  <c r="DF91" i="30" s="1"/>
  <c r="DE38" i="30"/>
  <c r="EB37" i="30"/>
  <c r="EB90" i="30" s="1"/>
  <c r="EA37" i="30"/>
  <c r="DZ37" i="30"/>
  <c r="DY37" i="30"/>
  <c r="DX37" i="30"/>
  <c r="DW37" i="30"/>
  <c r="DV37" i="30"/>
  <c r="DV90" i="30" s="1"/>
  <c r="DU37" i="30"/>
  <c r="DT37" i="30"/>
  <c r="DS37" i="30"/>
  <c r="DR37" i="30"/>
  <c r="DQ37" i="30"/>
  <c r="DP37" i="30"/>
  <c r="DO37" i="30"/>
  <c r="DN37" i="30"/>
  <c r="DN90" i="30" s="1"/>
  <c r="DM37" i="30"/>
  <c r="DL37" i="30"/>
  <c r="DL90" i="30" s="1"/>
  <c r="DK37" i="30"/>
  <c r="DJ37" i="30"/>
  <c r="DI37" i="30"/>
  <c r="DH37" i="30"/>
  <c r="DG37" i="30"/>
  <c r="DF37" i="30"/>
  <c r="DF90" i="30" s="1"/>
  <c r="DE37" i="30"/>
  <c r="EB13" i="30"/>
  <c r="EA13" i="30"/>
  <c r="DZ13" i="30"/>
  <c r="DY13" i="30"/>
  <c r="DX13" i="30"/>
  <c r="DW13" i="30"/>
  <c r="DV13" i="30"/>
  <c r="DV24" i="30" s="1"/>
  <c r="DV69" i="30" s="1"/>
  <c r="DU13" i="30"/>
  <c r="DT13" i="30"/>
  <c r="DT24" i="30" s="1"/>
  <c r="DT69" i="30" s="1"/>
  <c r="DS13" i="30"/>
  <c r="DR13" i="30"/>
  <c r="DQ13" i="30"/>
  <c r="DP13" i="30"/>
  <c r="DO13" i="30"/>
  <c r="DN13" i="30"/>
  <c r="DN24" i="30" s="1"/>
  <c r="DN69" i="30" s="1"/>
  <c r="DM13" i="30"/>
  <c r="DL13" i="30"/>
  <c r="DL24" i="30" s="1"/>
  <c r="DL69" i="30" s="1"/>
  <c r="DK13" i="30"/>
  <c r="DJ13" i="30"/>
  <c r="DI13" i="30"/>
  <c r="DH13" i="30"/>
  <c r="DG13" i="30"/>
  <c r="DF13" i="30"/>
  <c r="DF24" i="30" s="1"/>
  <c r="DF69" i="30" s="1"/>
  <c r="DE13" i="30"/>
  <c r="DC13" i="30"/>
  <c r="DC24" i="30" s="1"/>
  <c r="DC57" i="30" s="1"/>
  <c r="EB12" i="30"/>
  <c r="EA12" i="30"/>
  <c r="DZ12" i="30"/>
  <c r="DY12" i="30"/>
  <c r="DX12" i="30"/>
  <c r="DW12" i="30"/>
  <c r="DW23" i="30" s="1"/>
  <c r="DW68" i="30" s="1"/>
  <c r="DV12" i="30"/>
  <c r="DU12" i="30"/>
  <c r="DU23" i="30" s="1"/>
  <c r="DU68" i="30" s="1"/>
  <c r="DT12" i="30"/>
  <c r="DS12" i="30"/>
  <c r="DR12" i="30"/>
  <c r="DQ12" i="30"/>
  <c r="DP12" i="30"/>
  <c r="DO12" i="30"/>
  <c r="DN12" i="30"/>
  <c r="DM12" i="30"/>
  <c r="DL12" i="30"/>
  <c r="DK12" i="30"/>
  <c r="DJ12" i="30"/>
  <c r="DI12" i="30"/>
  <c r="DH12" i="30"/>
  <c r="DG12" i="30"/>
  <c r="DG23" i="30" s="1"/>
  <c r="DG68" i="30" s="1"/>
  <c r="DF12" i="30"/>
  <c r="DE12" i="30"/>
  <c r="DE23" i="30" s="1"/>
  <c r="DE68" i="30" s="1"/>
  <c r="DC12" i="30"/>
  <c r="EB11" i="30"/>
  <c r="EA11" i="30"/>
  <c r="DZ11" i="30"/>
  <c r="DY11" i="30"/>
  <c r="DX11" i="30"/>
  <c r="DX22" i="30" s="1"/>
  <c r="DX67" i="30" s="1"/>
  <c r="DW11" i="30"/>
  <c r="DV11" i="30"/>
  <c r="DV22" i="30" s="1"/>
  <c r="DV67" i="30" s="1"/>
  <c r="DU11" i="30"/>
  <c r="DT11" i="30"/>
  <c r="DS11" i="30"/>
  <c r="DR11" i="30"/>
  <c r="DQ11" i="30"/>
  <c r="DP11" i="30"/>
  <c r="DP22" i="30" s="1"/>
  <c r="DP67" i="30" s="1"/>
  <c r="DO11" i="30"/>
  <c r="DN11" i="30"/>
  <c r="DM11" i="30"/>
  <c r="DL11" i="30"/>
  <c r="DK11" i="30"/>
  <c r="DJ11" i="30"/>
  <c r="DI11" i="30"/>
  <c r="DH11" i="30"/>
  <c r="DH22" i="30" s="1"/>
  <c r="DH67" i="30" s="1"/>
  <c r="DG11" i="30"/>
  <c r="DF11" i="30"/>
  <c r="DF22" i="30" s="1"/>
  <c r="DF67" i="30" s="1"/>
  <c r="DE11" i="30"/>
  <c r="DC11" i="30"/>
  <c r="EB10" i="30"/>
  <c r="EA10" i="30"/>
  <c r="DZ10" i="30"/>
  <c r="DY10" i="30"/>
  <c r="DY21" i="30" s="1"/>
  <c r="DY66" i="30" s="1"/>
  <c r="DX10" i="30"/>
  <c r="DW10" i="30"/>
  <c r="DW21" i="30" s="1"/>
  <c r="DV10" i="30"/>
  <c r="DU10" i="30"/>
  <c r="DT10" i="30"/>
  <c r="DS10" i="30"/>
  <c r="DR10" i="30"/>
  <c r="DQ10" i="30"/>
  <c r="DQ21" i="30" s="1"/>
  <c r="DQ66" i="30" s="1"/>
  <c r="DP10" i="30"/>
  <c r="DO10" i="30"/>
  <c r="DN10" i="30"/>
  <c r="DM10" i="30"/>
  <c r="DL10" i="30"/>
  <c r="DK10" i="30"/>
  <c r="DJ10" i="30"/>
  <c r="DI10" i="30"/>
  <c r="DI21" i="30" s="1"/>
  <c r="DI66" i="30" s="1"/>
  <c r="DH10" i="30"/>
  <c r="DG10" i="30"/>
  <c r="DG21" i="30" s="1"/>
  <c r="DG66" i="30" s="1"/>
  <c r="DF10" i="30"/>
  <c r="DE10" i="30"/>
  <c r="DC10" i="30"/>
  <c r="EB9" i="30"/>
  <c r="EA9" i="30"/>
  <c r="DZ9" i="30"/>
  <c r="DZ20" i="30" s="1"/>
  <c r="DZ65" i="30" s="1"/>
  <c r="DY9" i="30"/>
  <c r="DX9" i="30"/>
  <c r="DW9" i="30"/>
  <c r="DV9" i="30"/>
  <c r="DU9" i="30"/>
  <c r="DT9" i="30"/>
  <c r="DS9" i="30"/>
  <c r="DR9" i="30"/>
  <c r="DR20" i="30" s="1"/>
  <c r="DR65" i="30" s="1"/>
  <c r="DQ9" i="30"/>
  <c r="DP9" i="30"/>
  <c r="DP20" i="30" s="1"/>
  <c r="DP65" i="30" s="1"/>
  <c r="DO9" i="30"/>
  <c r="DN9" i="30"/>
  <c r="DM9" i="30"/>
  <c r="DL9" i="30"/>
  <c r="DK9" i="30"/>
  <c r="DJ9" i="30"/>
  <c r="DJ20" i="30" s="1"/>
  <c r="DJ65" i="30" s="1"/>
  <c r="DI9" i="30"/>
  <c r="DH9" i="30"/>
  <c r="DH20" i="30" s="1"/>
  <c r="DH65" i="30" s="1"/>
  <c r="DG9" i="30"/>
  <c r="DF9" i="30"/>
  <c r="DE9" i="30"/>
  <c r="DC9" i="30"/>
  <c r="EB8" i="30"/>
  <c r="EA8" i="30"/>
  <c r="EA19" i="30" s="1"/>
  <c r="EA64" i="30" s="1"/>
  <c r="DZ8" i="30"/>
  <c r="DY8" i="30"/>
  <c r="DY19" i="30" s="1"/>
  <c r="DY64" i="30" s="1"/>
  <c r="DX8" i="30"/>
  <c r="DW8" i="30"/>
  <c r="DV8" i="30"/>
  <c r="DU8" i="30"/>
  <c r="DT8" i="30"/>
  <c r="DS8" i="30"/>
  <c r="DS19" i="30" s="1"/>
  <c r="DS64" i="30" s="1"/>
  <c r="DR8" i="30"/>
  <c r="DQ8" i="30"/>
  <c r="DQ19" i="30" s="1"/>
  <c r="DQ64" i="30" s="1"/>
  <c r="DP8" i="30"/>
  <c r="DO8" i="30"/>
  <c r="DN8" i="30"/>
  <c r="DM8" i="30"/>
  <c r="DL8" i="30"/>
  <c r="DK8" i="30"/>
  <c r="DK19" i="30" s="1"/>
  <c r="DK64" i="30" s="1"/>
  <c r="DJ8" i="30"/>
  <c r="DI8" i="30"/>
  <c r="DI19" i="30" s="1"/>
  <c r="DI64" i="30" s="1"/>
  <c r="DH8" i="30"/>
  <c r="DG8" i="30"/>
  <c r="DF8" i="30"/>
  <c r="DE8" i="30"/>
  <c r="DC8" i="30"/>
  <c r="EB7" i="30"/>
  <c r="EB18" i="30" s="1"/>
  <c r="EB63" i="30" s="1"/>
  <c r="EA7" i="30"/>
  <c r="DZ7" i="30"/>
  <c r="DY7" i="30"/>
  <c r="DX7" i="30"/>
  <c r="DW7" i="30"/>
  <c r="DV7" i="30"/>
  <c r="DU7" i="30"/>
  <c r="DT7" i="30"/>
  <c r="DT18" i="30" s="1"/>
  <c r="DT63" i="30" s="1"/>
  <c r="DS7" i="30"/>
  <c r="DR7" i="30"/>
  <c r="DR18" i="30" s="1"/>
  <c r="DR63" i="30" s="1"/>
  <c r="DQ7" i="30"/>
  <c r="DP7" i="30"/>
  <c r="DO7" i="30"/>
  <c r="DN7" i="30"/>
  <c r="DM7" i="30"/>
  <c r="DL7" i="30"/>
  <c r="DK7" i="30"/>
  <c r="DJ7" i="30"/>
  <c r="DJ18" i="30" s="1"/>
  <c r="DJ63" i="30" s="1"/>
  <c r="DI7" i="30"/>
  <c r="DH7" i="30"/>
  <c r="DG7" i="30"/>
  <c r="DF7" i="30"/>
  <c r="DE7" i="30"/>
  <c r="DC7" i="30"/>
  <c r="EB6" i="30"/>
  <c r="EA6" i="30"/>
  <c r="DZ6" i="30"/>
  <c r="DY6" i="30"/>
  <c r="DX6" i="30"/>
  <c r="DW6" i="30"/>
  <c r="DV6" i="30"/>
  <c r="DU6" i="30"/>
  <c r="DT6" i="30"/>
  <c r="DS6" i="30"/>
  <c r="DS17" i="30" s="1"/>
  <c r="DS62" i="30" s="1"/>
  <c r="DR6" i="30"/>
  <c r="DQ6" i="30"/>
  <c r="DP6" i="30"/>
  <c r="DO6" i="30"/>
  <c r="DN6" i="30"/>
  <c r="DM6" i="30"/>
  <c r="DM17" i="30" s="1"/>
  <c r="DM62" i="30" s="1"/>
  <c r="DL6" i="30"/>
  <c r="DK6" i="30"/>
  <c r="DK17" i="30" s="1"/>
  <c r="DK62" i="30" s="1"/>
  <c r="DJ6" i="30"/>
  <c r="DI6" i="30"/>
  <c r="DH6" i="30"/>
  <c r="DG6" i="30"/>
  <c r="DF6" i="30"/>
  <c r="DE6" i="30"/>
  <c r="DE17" i="30" s="1"/>
  <c r="DE62" i="30" s="1"/>
  <c r="DC6" i="30"/>
  <c r="EB5" i="30"/>
  <c r="EB16" i="30" s="1"/>
  <c r="EB61" i="30" s="1"/>
  <c r="EA5" i="30"/>
  <c r="DZ5" i="30"/>
  <c r="DY5" i="30"/>
  <c r="DX5" i="30"/>
  <c r="DW5" i="30"/>
  <c r="DV5" i="30"/>
  <c r="DV16" i="30" s="1"/>
  <c r="DV61" i="30" s="1"/>
  <c r="DU5" i="30"/>
  <c r="DT5" i="30"/>
  <c r="DT16" i="30" s="1"/>
  <c r="DT61" i="30" s="1"/>
  <c r="DS5" i="30"/>
  <c r="DR5" i="30"/>
  <c r="DQ5" i="30"/>
  <c r="DP5" i="30"/>
  <c r="DO5" i="30"/>
  <c r="DN5" i="30"/>
  <c r="DN16" i="30" s="1"/>
  <c r="DN61" i="30" s="1"/>
  <c r="DM5" i="30"/>
  <c r="DL5" i="30"/>
  <c r="DK5" i="30"/>
  <c r="DJ5" i="30"/>
  <c r="DI5" i="30"/>
  <c r="DH5" i="30"/>
  <c r="DG5" i="30"/>
  <c r="DF5" i="30"/>
  <c r="DF16" i="30" s="1"/>
  <c r="DF61" i="30" s="1"/>
  <c r="DE5" i="30"/>
  <c r="DC5" i="30"/>
  <c r="DC27" i="30" s="1"/>
  <c r="DC91" i="30" s="1"/>
  <c r="EB4" i="30"/>
  <c r="EA4" i="30"/>
  <c r="DZ4" i="30"/>
  <c r="DY4" i="30"/>
  <c r="DX4" i="30"/>
  <c r="DW4" i="30"/>
  <c r="DW15" i="30" s="1"/>
  <c r="DW60" i="30" s="1"/>
  <c r="DV4" i="30"/>
  <c r="DU4" i="30"/>
  <c r="DU15" i="30" s="1"/>
  <c r="DU60" i="30" s="1"/>
  <c r="DT4" i="30"/>
  <c r="DS4" i="30"/>
  <c r="DR4" i="30"/>
  <c r="DQ4" i="30"/>
  <c r="DP4" i="30"/>
  <c r="DO4" i="30"/>
  <c r="DO15" i="30" s="1"/>
  <c r="DO60" i="30" s="1"/>
  <c r="DN4" i="30"/>
  <c r="DM4" i="30"/>
  <c r="DM15" i="30" s="1"/>
  <c r="DM60" i="30" s="1"/>
  <c r="DL4" i="30"/>
  <c r="DK4" i="30"/>
  <c r="DJ4" i="30"/>
  <c r="DI4" i="30"/>
  <c r="DH4" i="30"/>
  <c r="DG4" i="30"/>
  <c r="DF4" i="30"/>
  <c r="DE4" i="30"/>
  <c r="DE15" i="30" s="1"/>
  <c r="DE60" i="30" s="1"/>
  <c r="DC4" i="30"/>
  <c r="CF67" i="31"/>
  <c r="CE67" i="31"/>
  <c r="CD67" i="31"/>
  <c r="CC67" i="31"/>
  <c r="CB67" i="31"/>
  <c r="CA67" i="31"/>
  <c r="BZ67" i="31"/>
  <c r="BY67" i="31"/>
  <c r="BX67" i="31"/>
  <c r="BW67" i="31"/>
  <c r="BV67" i="31"/>
  <c r="BU67" i="31"/>
  <c r="BT67" i="31"/>
  <c r="BS67" i="31"/>
  <c r="BR67" i="31"/>
  <c r="BQ67" i="31"/>
  <c r="BP67" i="31"/>
  <c r="BO67" i="31"/>
  <c r="BN67" i="31"/>
  <c r="BM67" i="31"/>
  <c r="BL67" i="31"/>
  <c r="BK67" i="31"/>
  <c r="BJ67" i="31"/>
  <c r="BI67" i="31"/>
  <c r="CF66" i="31"/>
  <c r="CE66" i="31"/>
  <c r="CD66" i="3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O66" i="31"/>
  <c r="BN66" i="31"/>
  <c r="BM66" i="31"/>
  <c r="BL66" i="31"/>
  <c r="BK66" i="31"/>
  <c r="BJ66" i="31"/>
  <c r="BI66" i="31"/>
  <c r="CF65" i="31"/>
  <c r="CE65" i="3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R65" i="31"/>
  <c r="BQ65" i="31"/>
  <c r="BP65" i="31"/>
  <c r="BO65" i="31"/>
  <c r="BN65" i="31"/>
  <c r="BM65" i="31"/>
  <c r="BL65" i="31"/>
  <c r="BK65" i="31"/>
  <c r="BJ65" i="31"/>
  <c r="BI65" i="31"/>
  <c r="CF64" i="31"/>
  <c r="CE64" i="3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R64" i="31"/>
  <c r="BQ64" i="31"/>
  <c r="BP64" i="31"/>
  <c r="BO64" i="31"/>
  <c r="BN64" i="31"/>
  <c r="BM64" i="31"/>
  <c r="BL64" i="31"/>
  <c r="BK64" i="31"/>
  <c r="BJ64" i="31"/>
  <c r="BI64" i="31"/>
  <c r="CF63" i="31"/>
  <c r="CE63" i="31"/>
  <c r="CD63" i="31"/>
  <c r="CC63" i="31"/>
  <c r="CB63" i="31"/>
  <c r="CA63" i="31"/>
  <c r="BZ63" i="31"/>
  <c r="BY63" i="31"/>
  <c r="BX63" i="31"/>
  <c r="BW63" i="31"/>
  <c r="BV63" i="31"/>
  <c r="BU63" i="31"/>
  <c r="BT63" i="31"/>
  <c r="BS63" i="31"/>
  <c r="BR63" i="31"/>
  <c r="BQ63" i="31"/>
  <c r="BP63" i="31"/>
  <c r="BO63" i="31"/>
  <c r="BN63" i="31"/>
  <c r="BM63" i="31"/>
  <c r="BL63" i="31"/>
  <c r="BK63" i="31"/>
  <c r="BJ63" i="31"/>
  <c r="BI63" i="31"/>
  <c r="CF62" i="31"/>
  <c r="CE62" i="31"/>
  <c r="CD62" i="31"/>
  <c r="CC62" i="31"/>
  <c r="CB62" i="31"/>
  <c r="CA62" i="31"/>
  <c r="BZ62" i="31"/>
  <c r="BY62" i="31"/>
  <c r="BX62" i="31"/>
  <c r="BW62" i="31"/>
  <c r="BV62" i="31"/>
  <c r="BU62" i="31"/>
  <c r="BT62" i="31"/>
  <c r="BS62" i="31"/>
  <c r="BR62" i="31"/>
  <c r="BQ62" i="31"/>
  <c r="BP62" i="31"/>
  <c r="BO62" i="31"/>
  <c r="BN62" i="31"/>
  <c r="BM62" i="31"/>
  <c r="BL62" i="31"/>
  <c r="BK62" i="31"/>
  <c r="BJ62" i="31"/>
  <c r="BI62" i="31"/>
  <c r="CF61" i="31"/>
  <c r="CE61" i="31"/>
  <c r="CD61" i="3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P61" i="31"/>
  <c r="BO61" i="31"/>
  <c r="BN61" i="31"/>
  <c r="BM61" i="31"/>
  <c r="BL61" i="31"/>
  <c r="BK61" i="31"/>
  <c r="BJ61" i="31"/>
  <c r="BI61" i="31"/>
  <c r="CF60" i="31"/>
  <c r="CE60" i="31"/>
  <c r="CD60" i="31"/>
  <c r="CC60" i="31"/>
  <c r="CB60" i="31"/>
  <c r="CA60" i="31"/>
  <c r="BZ60" i="31"/>
  <c r="BY60" i="31"/>
  <c r="BX60" i="31"/>
  <c r="BW60" i="31"/>
  <c r="BV60" i="31"/>
  <c r="BU60" i="31"/>
  <c r="BT60" i="31"/>
  <c r="BS60" i="31"/>
  <c r="BR60" i="31"/>
  <c r="BQ60" i="31"/>
  <c r="BP60" i="31"/>
  <c r="BO60" i="31"/>
  <c r="BN60" i="31"/>
  <c r="BM60" i="31"/>
  <c r="BL60" i="31"/>
  <c r="BK60" i="31"/>
  <c r="BJ60" i="31"/>
  <c r="BI60" i="31"/>
  <c r="CF59" i="3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R59" i="31"/>
  <c r="BQ59" i="31"/>
  <c r="BP59" i="31"/>
  <c r="BO59" i="31"/>
  <c r="BN59" i="31"/>
  <c r="BM59" i="31"/>
  <c r="BL59" i="31"/>
  <c r="BK59" i="31"/>
  <c r="BJ59" i="31"/>
  <c r="BI59" i="3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46" i="30"/>
  <c r="CX46" i="30"/>
  <c r="CW46" i="30"/>
  <c r="CV46" i="30"/>
  <c r="CU46" i="30"/>
  <c r="CU98" i="30" s="1"/>
  <c r="CT46" i="30"/>
  <c r="CS46" i="30"/>
  <c r="CS98" i="30" s="1"/>
  <c r="CR46" i="30"/>
  <c r="CR98" i="30" s="1"/>
  <c r="CQ46" i="30"/>
  <c r="CP46" i="30"/>
  <c r="CO46" i="30"/>
  <c r="CN46" i="30"/>
  <c r="CM46" i="30"/>
  <c r="CM98" i="30" s="1"/>
  <c r="CL46" i="30"/>
  <c r="CK46" i="30"/>
  <c r="CJ46" i="30"/>
  <c r="CI46" i="30"/>
  <c r="CH46" i="30"/>
  <c r="CG46" i="30"/>
  <c r="CF46" i="30"/>
  <c r="CE46" i="30"/>
  <c r="CE98" i="30" s="1"/>
  <c r="CD46" i="30"/>
  <c r="CC46" i="30"/>
  <c r="CC98" i="30" s="1"/>
  <c r="CB46" i="30"/>
  <c r="CB98" i="30" s="1"/>
  <c r="CY45" i="30"/>
  <c r="CX45" i="30"/>
  <c r="CW45" i="30"/>
  <c r="CV45" i="30"/>
  <c r="CU45" i="30"/>
  <c r="CU97" i="30" s="1"/>
  <c r="CT45" i="30"/>
  <c r="CS45" i="30"/>
  <c r="CR45" i="30"/>
  <c r="CR97" i="30" s="1"/>
  <c r="CQ45" i="30"/>
  <c r="CP45" i="30"/>
  <c r="CO45" i="30"/>
  <c r="CN45" i="30"/>
  <c r="CM45" i="30"/>
  <c r="CM97" i="30" s="1"/>
  <c r="CL45" i="30"/>
  <c r="CK45" i="30"/>
  <c r="CK97" i="30" s="1"/>
  <c r="CJ45" i="30"/>
  <c r="CI45" i="30"/>
  <c r="CH45" i="30"/>
  <c r="CG45" i="30"/>
  <c r="CF45" i="30"/>
  <c r="CE45" i="30"/>
  <c r="CE97" i="30" s="1"/>
  <c r="CD45" i="30"/>
  <c r="CC45" i="30"/>
  <c r="CC97" i="30" s="1"/>
  <c r="CB45" i="30"/>
  <c r="CY44" i="30"/>
  <c r="CX44" i="30"/>
  <c r="CW44" i="30"/>
  <c r="CV44" i="30"/>
  <c r="CU44" i="30"/>
  <c r="CU96" i="30" s="1"/>
  <c r="CT44" i="30"/>
  <c r="CS44" i="30"/>
  <c r="CS96" i="30" s="1"/>
  <c r="CR44" i="30"/>
  <c r="CQ44" i="30"/>
  <c r="CP44" i="30"/>
  <c r="CO44" i="30"/>
  <c r="CN44" i="30"/>
  <c r="CM44" i="30"/>
  <c r="CM96" i="30" s="1"/>
  <c r="CL44" i="30"/>
  <c r="CK44" i="30"/>
  <c r="CK96" i="30" s="1"/>
  <c r="CJ44" i="30"/>
  <c r="CI44" i="30"/>
  <c r="CH44" i="30"/>
  <c r="CG44" i="30"/>
  <c r="CF44" i="30"/>
  <c r="CE44" i="30"/>
  <c r="CE96" i="30" s="1"/>
  <c r="CD44" i="30"/>
  <c r="CC44" i="30"/>
  <c r="CC96" i="30" s="1"/>
  <c r="CB44" i="30"/>
  <c r="CB96" i="30" s="1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X42" i="30"/>
  <c r="CW42" i="30"/>
  <c r="CV42" i="30"/>
  <c r="CU42" i="30"/>
  <c r="CU95" i="30" s="1"/>
  <c r="CT42" i="30"/>
  <c r="CS42" i="30"/>
  <c r="CS95" i="30" s="1"/>
  <c r="CR42" i="30"/>
  <c r="CQ42" i="30"/>
  <c r="CP42" i="30"/>
  <c r="CO42" i="30"/>
  <c r="CN42" i="30"/>
  <c r="CM42" i="30"/>
  <c r="CM95" i="30" s="1"/>
  <c r="CL42" i="30"/>
  <c r="CK42" i="30"/>
  <c r="CK95" i="30" s="1"/>
  <c r="CJ42" i="30"/>
  <c r="CJ95" i="30" s="1"/>
  <c r="CI42" i="30"/>
  <c r="CH42" i="30"/>
  <c r="CG42" i="30"/>
  <c r="CF42" i="30"/>
  <c r="CE42" i="30"/>
  <c r="CE95" i="30" s="1"/>
  <c r="CD42" i="30"/>
  <c r="CC42" i="30"/>
  <c r="CC95" i="30" s="1"/>
  <c r="CB42" i="30"/>
  <c r="CB95" i="30" s="1"/>
  <c r="CY41" i="30"/>
  <c r="CX41" i="30"/>
  <c r="CW41" i="30"/>
  <c r="CV41" i="30"/>
  <c r="CU41" i="30"/>
  <c r="CU94" i="30" s="1"/>
  <c r="CT41" i="30"/>
  <c r="CS41" i="30"/>
  <c r="CS94" i="30" s="1"/>
  <c r="CR41" i="30"/>
  <c r="CR94" i="30" s="1"/>
  <c r="CQ41" i="30"/>
  <c r="CP41" i="30"/>
  <c r="CO41" i="30"/>
  <c r="CN41" i="30"/>
  <c r="CM41" i="30"/>
  <c r="CM94" i="30" s="1"/>
  <c r="CL41" i="30"/>
  <c r="CK41" i="30"/>
  <c r="CK94" i="30" s="1"/>
  <c r="CJ41" i="30"/>
  <c r="CJ94" i="30" s="1"/>
  <c r="CI41" i="30"/>
  <c r="CH41" i="30"/>
  <c r="CG41" i="30"/>
  <c r="CF41" i="30"/>
  <c r="CE41" i="30"/>
  <c r="CE94" i="30" s="1"/>
  <c r="CD41" i="30"/>
  <c r="CC41" i="30"/>
  <c r="CC94" i="30" s="1"/>
  <c r="CB41" i="30"/>
  <c r="CY40" i="30"/>
  <c r="CX40" i="30"/>
  <c r="CW40" i="30"/>
  <c r="CV40" i="30"/>
  <c r="CU40" i="30"/>
  <c r="CU93" i="30" s="1"/>
  <c r="CT40" i="30"/>
  <c r="CS40" i="30"/>
  <c r="CS93" i="30" s="1"/>
  <c r="CR40" i="30"/>
  <c r="CR93" i="30" s="1"/>
  <c r="CQ40" i="30"/>
  <c r="CP40" i="30"/>
  <c r="CO40" i="30"/>
  <c r="CN40" i="30"/>
  <c r="CM40" i="30"/>
  <c r="CM93" i="30" s="1"/>
  <c r="CL40" i="30"/>
  <c r="CK40" i="30"/>
  <c r="CK93" i="30" s="1"/>
  <c r="CJ40" i="30"/>
  <c r="CI40" i="30"/>
  <c r="CH40" i="30"/>
  <c r="CG40" i="30"/>
  <c r="CF40" i="30"/>
  <c r="CE40" i="30"/>
  <c r="CE93" i="30" s="1"/>
  <c r="CD40" i="30"/>
  <c r="CC40" i="30"/>
  <c r="CC93" i="30" s="1"/>
  <c r="CB40" i="30"/>
  <c r="CB93" i="30" s="1"/>
  <c r="CY39" i="30"/>
  <c r="CX39" i="30"/>
  <c r="CW39" i="30"/>
  <c r="CV39" i="30"/>
  <c r="CU39" i="30"/>
  <c r="CU92" i="30" s="1"/>
  <c r="CT39" i="30"/>
  <c r="CS39" i="30"/>
  <c r="CS92" i="30" s="1"/>
  <c r="CR39" i="30"/>
  <c r="CR92" i="30" s="1"/>
  <c r="CQ39" i="30"/>
  <c r="CP39" i="30"/>
  <c r="CO39" i="30"/>
  <c r="CN39" i="30"/>
  <c r="CM39" i="30"/>
  <c r="CM92" i="30" s="1"/>
  <c r="CL39" i="30"/>
  <c r="CK39" i="30"/>
  <c r="CK92" i="30" s="1"/>
  <c r="CJ39" i="30"/>
  <c r="CI39" i="30"/>
  <c r="CH39" i="30"/>
  <c r="CG39" i="30"/>
  <c r="CF39" i="30"/>
  <c r="CE39" i="30"/>
  <c r="CD39" i="30"/>
  <c r="CC39" i="30"/>
  <c r="CB39" i="30"/>
  <c r="CY38" i="30"/>
  <c r="CX38" i="30"/>
  <c r="CW38" i="30"/>
  <c r="CV38" i="30"/>
  <c r="CU38" i="30"/>
  <c r="CU91" i="30" s="1"/>
  <c r="CT38" i="30"/>
  <c r="CS38" i="30"/>
  <c r="CS91" i="30" s="1"/>
  <c r="CR38" i="30"/>
  <c r="CR91" i="30" s="1"/>
  <c r="CQ38" i="30"/>
  <c r="CP38" i="30"/>
  <c r="CO38" i="30"/>
  <c r="CN38" i="30"/>
  <c r="CM38" i="30"/>
  <c r="CM91" i="30" s="1"/>
  <c r="CL38" i="30"/>
  <c r="CK38" i="30"/>
  <c r="CJ38" i="30"/>
  <c r="CI38" i="30"/>
  <c r="CH38" i="30"/>
  <c r="CG38" i="30"/>
  <c r="CF38" i="30"/>
  <c r="CE38" i="30"/>
  <c r="CD38" i="30"/>
  <c r="CC38" i="30"/>
  <c r="CB38" i="30"/>
  <c r="CY37" i="30"/>
  <c r="CX37" i="30"/>
  <c r="CW37" i="30"/>
  <c r="CV37" i="30"/>
  <c r="CU37" i="30"/>
  <c r="CT37" i="30"/>
  <c r="CS37" i="30"/>
  <c r="CS90" i="30" s="1"/>
  <c r="CR37" i="30"/>
  <c r="CQ37" i="30"/>
  <c r="CP37" i="30"/>
  <c r="CO37" i="30"/>
  <c r="CN37" i="30"/>
  <c r="CM37" i="30"/>
  <c r="CM90" i="30" s="1"/>
  <c r="CL37" i="30"/>
  <c r="CK37" i="30"/>
  <c r="CJ37" i="30"/>
  <c r="CI37" i="30"/>
  <c r="CH37" i="30"/>
  <c r="CG37" i="30"/>
  <c r="CF37" i="30"/>
  <c r="CE37" i="30"/>
  <c r="CD37" i="30"/>
  <c r="CC37" i="30"/>
  <c r="CB37" i="30"/>
  <c r="CX13" i="30"/>
  <c r="CX24" i="30" s="1"/>
  <c r="CX69" i="30" s="1"/>
  <c r="CW13" i="30"/>
  <c r="CV13" i="30"/>
  <c r="CU13" i="30"/>
  <c r="CU24" i="30" s="1"/>
  <c r="CU69" i="30" s="1"/>
  <c r="CT13" i="30"/>
  <c r="CT24" i="30" s="1"/>
  <c r="CT69" i="30" s="1"/>
  <c r="CS13" i="30"/>
  <c r="CR13" i="30"/>
  <c r="CR24" i="30" s="1"/>
  <c r="CR69" i="30" s="1"/>
  <c r="CP13" i="30"/>
  <c r="CP24" i="30" s="1"/>
  <c r="CP69" i="30" s="1"/>
  <c r="CO13" i="30"/>
  <c r="CN13" i="30"/>
  <c r="CM13" i="30"/>
  <c r="CL13" i="30"/>
  <c r="CL24" i="30" s="1"/>
  <c r="CL69" i="30" s="1"/>
  <c r="CK13" i="30"/>
  <c r="CK24" i="30" s="1"/>
  <c r="CK69" i="30" s="1"/>
  <c r="CJ13" i="30"/>
  <c r="CH13" i="30"/>
  <c r="CH24" i="30" s="1"/>
  <c r="CH69" i="30" s="1"/>
  <c r="CG13" i="30"/>
  <c r="CF13" i="30"/>
  <c r="CE13" i="30"/>
  <c r="CD13" i="30"/>
  <c r="CC13" i="30"/>
  <c r="CC24" i="30" s="1"/>
  <c r="CC69" i="30" s="1"/>
  <c r="CB13" i="30"/>
  <c r="CB24" i="30" s="1"/>
  <c r="CB69" i="30" s="1"/>
  <c r="BZ13" i="30"/>
  <c r="CY12" i="30"/>
  <c r="CY23" i="30" s="1"/>
  <c r="CY68" i="30" s="1"/>
  <c r="CX12" i="30"/>
  <c r="CW12" i="30"/>
  <c r="CV12" i="30"/>
  <c r="CU12" i="30"/>
  <c r="CT12" i="30"/>
  <c r="CS12" i="30"/>
  <c r="CS23" i="30" s="1"/>
  <c r="CS68" i="30" s="1"/>
  <c r="CR12" i="30"/>
  <c r="CQ12" i="30"/>
  <c r="CQ23" i="30" s="1"/>
  <c r="CQ68" i="30" s="1"/>
  <c r="CP12" i="30"/>
  <c r="CO12" i="30"/>
  <c r="CN12" i="30"/>
  <c r="CM12" i="30"/>
  <c r="CL12" i="30"/>
  <c r="CK12" i="30"/>
  <c r="CK23" i="30" s="1"/>
  <c r="CK68" i="30" s="1"/>
  <c r="CJ12" i="30"/>
  <c r="CI12" i="30"/>
  <c r="CI23" i="30" s="1"/>
  <c r="CI68" i="30" s="1"/>
  <c r="CH12" i="30"/>
  <c r="CG12" i="30"/>
  <c r="CF12" i="30"/>
  <c r="CE12" i="30"/>
  <c r="CD12" i="30"/>
  <c r="CC12" i="30"/>
  <c r="CC23" i="30" s="1"/>
  <c r="CC68" i="30" s="1"/>
  <c r="CB12" i="30"/>
  <c r="BZ12" i="30"/>
  <c r="BZ23" i="30" s="1"/>
  <c r="BZ56" i="30" s="1"/>
  <c r="CY11" i="30"/>
  <c r="CX11" i="30"/>
  <c r="CW11" i="30"/>
  <c r="CV11" i="30"/>
  <c r="CU11" i="30"/>
  <c r="CT11" i="30"/>
  <c r="CT22" i="30" s="1"/>
  <c r="CT67" i="30" s="1"/>
  <c r="CS11" i="30"/>
  <c r="CR11" i="30"/>
  <c r="CR22" i="30" s="1"/>
  <c r="CR67" i="30" s="1"/>
  <c r="CQ11" i="30"/>
  <c r="CP11" i="30"/>
  <c r="CO11" i="30"/>
  <c r="CN11" i="30"/>
  <c r="CM11" i="30"/>
  <c r="CL11" i="30"/>
  <c r="CL22" i="30" s="1"/>
  <c r="CL67" i="30" s="1"/>
  <c r="CK11" i="30"/>
  <c r="CJ11" i="30"/>
  <c r="CI11" i="30"/>
  <c r="CH11" i="30"/>
  <c r="CG11" i="30"/>
  <c r="CF11" i="30"/>
  <c r="CE11" i="30"/>
  <c r="CD11" i="30"/>
  <c r="CD22" i="30" s="1"/>
  <c r="CD67" i="30" s="1"/>
  <c r="CC11" i="30"/>
  <c r="CB11" i="30"/>
  <c r="CB22" i="30" s="1"/>
  <c r="CB67" i="30" s="1"/>
  <c r="BZ11" i="30"/>
  <c r="CY10" i="30"/>
  <c r="CX10" i="30"/>
  <c r="CW10" i="30"/>
  <c r="CV10" i="30"/>
  <c r="CU10" i="30"/>
  <c r="CU21" i="30" s="1"/>
  <c r="CU66" i="30" s="1"/>
  <c r="CT10" i="30"/>
  <c r="CS10" i="30"/>
  <c r="CS21" i="30" s="1"/>
  <c r="CS66" i="30" s="1"/>
  <c r="CR10" i="30"/>
  <c r="CQ10" i="30"/>
  <c r="CP10" i="30"/>
  <c r="CO10" i="30"/>
  <c r="CN10" i="30"/>
  <c r="CM10" i="30"/>
  <c r="CM21" i="30" s="1"/>
  <c r="CM66" i="30" s="1"/>
  <c r="CL10" i="30"/>
  <c r="CK10" i="30"/>
  <c r="CK21" i="30" s="1"/>
  <c r="CK66" i="30" s="1"/>
  <c r="CJ10" i="30"/>
  <c r="CI10" i="30"/>
  <c r="CH10" i="30"/>
  <c r="CG10" i="30"/>
  <c r="CF10" i="30"/>
  <c r="CE10" i="30"/>
  <c r="CE21" i="30" s="1"/>
  <c r="CE66" i="30" s="1"/>
  <c r="CD10" i="30"/>
  <c r="CC10" i="30"/>
  <c r="CC21" i="30" s="1"/>
  <c r="CC66" i="30" s="1"/>
  <c r="CB10" i="30"/>
  <c r="BZ10" i="30"/>
  <c r="CY9" i="30"/>
  <c r="CX9" i="30"/>
  <c r="CW9" i="30"/>
  <c r="CV9" i="30"/>
  <c r="CV20" i="30" s="1"/>
  <c r="CV65" i="30" s="1"/>
  <c r="CU9" i="30"/>
  <c r="CT9" i="30"/>
  <c r="CT20" i="30" s="1"/>
  <c r="CT65" i="30" s="1"/>
  <c r="CS9" i="30"/>
  <c r="CR9" i="30"/>
  <c r="CQ9" i="30"/>
  <c r="CP9" i="30"/>
  <c r="CO9" i="30"/>
  <c r="CN9" i="30"/>
  <c r="CN20" i="30" s="1"/>
  <c r="CN65" i="30" s="1"/>
  <c r="CM9" i="30"/>
  <c r="CL9" i="30"/>
  <c r="CL20" i="30" s="1"/>
  <c r="CL65" i="30" s="1"/>
  <c r="CK9" i="30"/>
  <c r="CJ9" i="30"/>
  <c r="CI9" i="30"/>
  <c r="CH9" i="30"/>
  <c r="CG9" i="30"/>
  <c r="CF9" i="30"/>
  <c r="CF20" i="30" s="1"/>
  <c r="CF65" i="30" s="1"/>
  <c r="CE9" i="30"/>
  <c r="CD9" i="30"/>
  <c r="CD20" i="30" s="1"/>
  <c r="CD65" i="30" s="1"/>
  <c r="CC9" i="30"/>
  <c r="CB9" i="30"/>
  <c r="BZ9" i="30"/>
  <c r="CY8" i="30"/>
  <c r="CX8" i="30"/>
  <c r="CW8" i="30"/>
  <c r="CW19" i="30" s="1"/>
  <c r="CW64" i="30" s="1"/>
  <c r="CV8" i="30"/>
  <c r="CU8" i="30"/>
  <c r="CU19" i="30" s="1"/>
  <c r="CU64" i="30" s="1"/>
  <c r="CT8" i="30"/>
  <c r="CS8" i="30"/>
  <c r="CR8" i="30"/>
  <c r="CQ8" i="30"/>
  <c r="CP8" i="30"/>
  <c r="CO8" i="30"/>
  <c r="CO19" i="30" s="1"/>
  <c r="CO64" i="30" s="1"/>
  <c r="CN8" i="30"/>
  <c r="CM8" i="30"/>
  <c r="CM19" i="30" s="1"/>
  <c r="CM64" i="30" s="1"/>
  <c r="CL8" i="30"/>
  <c r="CK8" i="30"/>
  <c r="CJ8" i="30"/>
  <c r="CI8" i="30"/>
  <c r="CH8" i="30"/>
  <c r="CG8" i="30"/>
  <c r="CG19" i="30" s="1"/>
  <c r="CG64" i="30" s="1"/>
  <c r="CF8" i="30"/>
  <c r="CE8" i="30"/>
  <c r="CE19" i="30" s="1"/>
  <c r="CE64" i="30" s="1"/>
  <c r="CD8" i="30"/>
  <c r="CC8" i="30"/>
  <c r="CB8" i="30"/>
  <c r="BZ8" i="30"/>
  <c r="CY7" i="30"/>
  <c r="CX7" i="30"/>
  <c r="CX18" i="30" s="1"/>
  <c r="CX63" i="30" s="1"/>
  <c r="CW7" i="30"/>
  <c r="CV7" i="30"/>
  <c r="CV18" i="30" s="1"/>
  <c r="CV63" i="30" s="1"/>
  <c r="CU7" i="30"/>
  <c r="CT7" i="30"/>
  <c r="CS7" i="30"/>
  <c r="CR7" i="30"/>
  <c r="CQ7" i="30"/>
  <c r="CP7" i="30"/>
  <c r="CP18" i="30" s="1"/>
  <c r="CP63" i="30" s="1"/>
  <c r="CO7" i="30"/>
  <c r="CN7" i="30"/>
  <c r="CN18" i="30" s="1"/>
  <c r="CN63" i="30" s="1"/>
  <c r="CM7" i="30"/>
  <c r="CL7" i="30"/>
  <c r="CK7" i="30"/>
  <c r="CJ7" i="30"/>
  <c r="CI7" i="30"/>
  <c r="CH7" i="30"/>
  <c r="CH18" i="30" s="1"/>
  <c r="CH63" i="30" s="1"/>
  <c r="CG7" i="30"/>
  <c r="CF7" i="30"/>
  <c r="CF18" i="30" s="1"/>
  <c r="CF63" i="30" s="1"/>
  <c r="CE7" i="30"/>
  <c r="CD7" i="30"/>
  <c r="CC7" i="30"/>
  <c r="CB7" i="30"/>
  <c r="BZ7" i="30"/>
  <c r="CY6" i="30"/>
  <c r="CY17" i="30" s="1"/>
  <c r="CY62" i="30" s="1"/>
  <c r="CX6" i="30"/>
  <c r="CX17" i="30" s="1"/>
  <c r="CX62" i="30" s="1"/>
  <c r="CW6" i="30"/>
  <c r="CW17" i="30" s="1"/>
  <c r="CV6" i="30"/>
  <c r="CU6" i="30"/>
  <c r="CT6" i="30"/>
  <c r="CS6" i="30"/>
  <c r="CR6" i="30"/>
  <c r="CQ6" i="30"/>
  <c r="CQ17" i="30" s="1"/>
  <c r="CP6" i="30"/>
  <c r="CP17" i="30" s="1"/>
  <c r="CO6" i="30"/>
  <c r="CO17" i="30" s="1"/>
  <c r="CN6" i="30"/>
  <c r="CM6" i="30"/>
  <c r="CL6" i="30"/>
  <c r="CK6" i="30"/>
  <c r="CJ6" i="30"/>
  <c r="CI6" i="30"/>
  <c r="CI17" i="30" s="1"/>
  <c r="CH6" i="30"/>
  <c r="CH17" i="30" s="1"/>
  <c r="CG6" i="30"/>
  <c r="CG92" i="30" s="1"/>
  <c r="CF6" i="30"/>
  <c r="CF92" i="30" s="1"/>
  <c r="CE6" i="30"/>
  <c r="CD6" i="30"/>
  <c r="CC6" i="30"/>
  <c r="CB6" i="30"/>
  <c r="BZ6" i="30"/>
  <c r="BZ62" i="30" s="1"/>
  <c r="CY5" i="30"/>
  <c r="CY16" i="30" s="1"/>
  <c r="CY61" i="30" s="1"/>
  <c r="CY107" i="30" s="1"/>
  <c r="CX5" i="30"/>
  <c r="CW5" i="30"/>
  <c r="CV5" i="30"/>
  <c r="CU5" i="30"/>
  <c r="CT5" i="30"/>
  <c r="CS5" i="30"/>
  <c r="CR5" i="30"/>
  <c r="CR16" i="30" s="1"/>
  <c r="CQ5" i="30"/>
  <c r="CQ16" i="30" s="1"/>
  <c r="CP5" i="30"/>
  <c r="CP16" i="30" s="1"/>
  <c r="CO5" i="30"/>
  <c r="CN5" i="30"/>
  <c r="CM5" i="30"/>
  <c r="CL5" i="30"/>
  <c r="CK5" i="30"/>
  <c r="CJ5" i="30"/>
  <c r="CI5" i="30"/>
  <c r="CI16" i="30" s="1"/>
  <c r="CH5" i="30"/>
  <c r="CH16" i="30" s="1"/>
  <c r="CG5" i="30"/>
  <c r="CG91" i="30" s="1"/>
  <c r="CF5" i="30"/>
  <c r="CE5" i="30"/>
  <c r="CD5" i="30"/>
  <c r="CC5" i="30"/>
  <c r="CB5" i="30"/>
  <c r="CB16" i="30" s="1"/>
  <c r="CB61" i="30" s="1"/>
  <c r="CB107" i="30" s="1"/>
  <c r="BZ5" i="30"/>
  <c r="CY4" i="30"/>
  <c r="CY15" i="30" s="1"/>
  <c r="CY60" i="30" s="1"/>
  <c r="CX4" i="30"/>
  <c r="CX90" i="30" s="1"/>
  <c r="CW4" i="30"/>
  <c r="CW15" i="30" s="1"/>
  <c r="CV4" i="30"/>
  <c r="CU4" i="30"/>
  <c r="CT4" i="30"/>
  <c r="CS4" i="30"/>
  <c r="CS15" i="30" s="1"/>
  <c r="CR4" i="30"/>
  <c r="CR15" i="30" s="1"/>
  <c r="CQ4" i="30"/>
  <c r="CQ15" i="30" s="1"/>
  <c r="CP4" i="30"/>
  <c r="CO4" i="30"/>
  <c r="CO15" i="30" s="1"/>
  <c r="CN4" i="30"/>
  <c r="CM4" i="30"/>
  <c r="CL4" i="30"/>
  <c r="CK4" i="30"/>
  <c r="CK15" i="30" s="1"/>
  <c r="CJ4" i="30"/>
  <c r="CJ15" i="30" s="1"/>
  <c r="CI4" i="30"/>
  <c r="CI90" i="30" s="1"/>
  <c r="CH4" i="30"/>
  <c r="CH90" i="30" s="1"/>
  <c r="CG4" i="30"/>
  <c r="CG90" i="30" s="1"/>
  <c r="CF4" i="30"/>
  <c r="CE4" i="30"/>
  <c r="CD4" i="30"/>
  <c r="CC4" i="30"/>
  <c r="CB4" i="30"/>
  <c r="BZ4" i="30"/>
  <c r="BZ15" i="30" s="1"/>
  <c r="BZ48" i="30" s="1"/>
  <c r="BE67" i="31"/>
  <c r="BD67" i="31"/>
  <c r="BC67" i="31"/>
  <c r="BB67" i="31"/>
  <c r="BA67" i="3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A66" i="3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A65" i="3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A64" i="31"/>
  <c r="AZ64" i="3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A63" i="31"/>
  <c r="AZ63" i="3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A62" i="31"/>
  <c r="AZ62" i="31"/>
  <c r="AY62" i="31"/>
  <c r="AX62" i="3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A61" i="31"/>
  <c r="AZ61" i="31"/>
  <c r="AY61" i="31"/>
  <c r="AX61" i="3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A60" i="3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A59" i="31"/>
  <c r="AZ59" i="31"/>
  <c r="AY59" i="3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46" i="30"/>
  <c r="BR46" i="30"/>
  <c r="BQ46" i="30"/>
  <c r="BP46" i="30"/>
  <c r="BO46" i="30"/>
  <c r="BN46" i="30"/>
  <c r="BN98" i="30" s="1"/>
  <c r="BM46" i="30"/>
  <c r="BL46" i="30"/>
  <c r="BL98" i="30" s="1"/>
  <c r="BK46" i="30"/>
  <c r="BJ46" i="30"/>
  <c r="BI46" i="30"/>
  <c r="BH46" i="30"/>
  <c r="BG46" i="30"/>
  <c r="BF46" i="30"/>
  <c r="BF98" i="30" s="1"/>
  <c r="BE46" i="30"/>
  <c r="BD46" i="30"/>
  <c r="BD98" i="30" s="1"/>
  <c r="BC46" i="30"/>
  <c r="BC98" i="30" s="1"/>
  <c r="BB46" i="30"/>
  <c r="BA46" i="30"/>
  <c r="AZ46" i="30"/>
  <c r="AY46" i="30"/>
  <c r="AX46" i="30"/>
  <c r="AX98" i="30" s="1"/>
  <c r="AW46" i="30"/>
  <c r="AV46" i="30"/>
  <c r="AV98" i="30" s="1"/>
  <c r="BS45" i="30"/>
  <c r="BS97" i="30" s="1"/>
  <c r="BR45" i="30"/>
  <c r="BQ45" i="30"/>
  <c r="BP45" i="30"/>
  <c r="BO45" i="30"/>
  <c r="BN45" i="30"/>
  <c r="BN97" i="30" s="1"/>
  <c r="BM45" i="30"/>
  <c r="BL45" i="30"/>
  <c r="BL97" i="30" s="1"/>
  <c r="BK45" i="30"/>
  <c r="BK97" i="30" s="1"/>
  <c r="BJ45" i="30"/>
  <c r="BI45" i="30"/>
  <c r="BH45" i="30"/>
  <c r="BG45" i="30"/>
  <c r="BF45" i="30"/>
  <c r="BF97" i="30" s="1"/>
  <c r="BE45" i="30"/>
  <c r="BD45" i="30"/>
  <c r="BD97" i="30" s="1"/>
  <c r="BC45" i="30"/>
  <c r="BC97" i="30" s="1"/>
  <c r="BB45" i="30"/>
  <c r="BA45" i="30"/>
  <c r="AZ45" i="30"/>
  <c r="AY45" i="30"/>
  <c r="AX45" i="30"/>
  <c r="AX97" i="30" s="1"/>
  <c r="AW45" i="30"/>
  <c r="AV45" i="30"/>
  <c r="AV97" i="30" s="1"/>
  <c r="BS44" i="30"/>
  <c r="BS96" i="30" s="1"/>
  <c r="BR44" i="30"/>
  <c r="BQ44" i="30"/>
  <c r="BP44" i="30"/>
  <c r="BO44" i="30"/>
  <c r="BN44" i="30"/>
  <c r="BN96" i="30" s="1"/>
  <c r="BM44" i="30"/>
  <c r="BL44" i="30"/>
  <c r="BL96" i="30" s="1"/>
  <c r="BK44" i="30"/>
  <c r="BK96" i="30" s="1"/>
  <c r="BJ44" i="30"/>
  <c r="BI44" i="30"/>
  <c r="BH44" i="30"/>
  <c r="BG44" i="30"/>
  <c r="BF44" i="30"/>
  <c r="BF96" i="30" s="1"/>
  <c r="BE44" i="30"/>
  <c r="BD44" i="30"/>
  <c r="BD96" i="30" s="1"/>
  <c r="BC44" i="30"/>
  <c r="BB44" i="30"/>
  <c r="BA44" i="30"/>
  <c r="AZ44" i="30"/>
  <c r="AY44" i="30"/>
  <c r="AX44" i="30"/>
  <c r="AX96" i="30" s="1"/>
  <c r="AW44" i="30"/>
  <c r="AV44" i="30"/>
  <c r="AV96" i="30" s="1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S95" i="30" s="1"/>
  <c r="BR42" i="30"/>
  <c r="BQ42" i="30"/>
  <c r="BP42" i="30"/>
  <c r="BO42" i="30"/>
  <c r="BN42" i="30"/>
  <c r="BN95" i="30" s="1"/>
  <c r="BM42" i="30"/>
  <c r="BL42" i="30"/>
  <c r="BL95" i="30" s="1"/>
  <c r="BK42" i="30"/>
  <c r="BJ42" i="30"/>
  <c r="BI42" i="30"/>
  <c r="BH42" i="30"/>
  <c r="BG42" i="30"/>
  <c r="BF42" i="30"/>
  <c r="BF95" i="30" s="1"/>
  <c r="BE42" i="30"/>
  <c r="BD42" i="30"/>
  <c r="BD95" i="30" s="1"/>
  <c r="BC42" i="30"/>
  <c r="BC95" i="30" s="1"/>
  <c r="BB42" i="30"/>
  <c r="BA42" i="30"/>
  <c r="AZ42" i="30"/>
  <c r="AY42" i="30"/>
  <c r="AX42" i="30"/>
  <c r="AX95" i="30" s="1"/>
  <c r="AW42" i="30"/>
  <c r="AV42" i="30"/>
  <c r="AV95" i="30" s="1"/>
  <c r="BS41" i="30"/>
  <c r="BR41" i="30"/>
  <c r="BQ41" i="30"/>
  <c r="BP41" i="30"/>
  <c r="BO41" i="30"/>
  <c r="BN41" i="30"/>
  <c r="BN94" i="30" s="1"/>
  <c r="BM41" i="30"/>
  <c r="BL41" i="30"/>
  <c r="BL94" i="30" s="1"/>
  <c r="BK41" i="30"/>
  <c r="BK94" i="30" s="1"/>
  <c r="BJ41" i="30"/>
  <c r="BI41" i="30"/>
  <c r="BH41" i="30"/>
  <c r="BG41" i="30"/>
  <c r="BF41" i="30"/>
  <c r="BF94" i="30" s="1"/>
  <c r="BE41" i="30"/>
  <c r="BD41" i="30"/>
  <c r="BD94" i="30" s="1"/>
  <c r="BC41" i="30"/>
  <c r="BC94" i="30" s="1"/>
  <c r="BB41" i="30"/>
  <c r="BA41" i="30"/>
  <c r="AZ41" i="30"/>
  <c r="AY41" i="30"/>
  <c r="AX41" i="30"/>
  <c r="AX94" i="30" s="1"/>
  <c r="AW41" i="30"/>
  <c r="AV41" i="30"/>
  <c r="AV94" i="30" s="1"/>
  <c r="BS40" i="30"/>
  <c r="BR40" i="30"/>
  <c r="BQ40" i="30"/>
  <c r="BQ93" i="30" s="1"/>
  <c r="BP40" i="30"/>
  <c r="BO40" i="30"/>
  <c r="BN40" i="30"/>
  <c r="BN93" i="30" s="1"/>
  <c r="BM40" i="30"/>
  <c r="BL40" i="30"/>
  <c r="BL93" i="30" s="1"/>
  <c r="BK40" i="30"/>
  <c r="BJ40" i="30"/>
  <c r="BJ93" i="30" s="1"/>
  <c r="BI40" i="30"/>
  <c r="BI93" i="30" s="1"/>
  <c r="BH40" i="30"/>
  <c r="BG40" i="30"/>
  <c r="BF40" i="30"/>
  <c r="BF93" i="30" s="1"/>
  <c r="BE40" i="30"/>
  <c r="BD40" i="30"/>
  <c r="BD93" i="30" s="1"/>
  <c r="BC40" i="30"/>
  <c r="BC93" i="30" s="1"/>
  <c r="BB40" i="30"/>
  <c r="BB93" i="30" s="1"/>
  <c r="BA40" i="30"/>
  <c r="BA93" i="30" s="1"/>
  <c r="AZ40" i="30"/>
  <c r="AY40" i="30"/>
  <c r="AX40" i="30"/>
  <c r="AX93" i="30" s="1"/>
  <c r="AW40" i="30"/>
  <c r="AV40" i="30"/>
  <c r="AV93" i="30" s="1"/>
  <c r="BS39" i="30"/>
  <c r="BR39" i="30"/>
  <c r="BQ39" i="30"/>
  <c r="BP39" i="30"/>
  <c r="BO39" i="30"/>
  <c r="BN39" i="30"/>
  <c r="BM39" i="30"/>
  <c r="BL39" i="30"/>
  <c r="BK39" i="30"/>
  <c r="BJ39" i="30"/>
  <c r="BI39" i="30"/>
  <c r="BH39" i="30"/>
  <c r="BG39" i="30"/>
  <c r="BF39" i="30"/>
  <c r="BE39" i="30"/>
  <c r="BD39" i="30"/>
  <c r="BC39" i="30"/>
  <c r="BB39" i="30"/>
  <c r="BA39" i="30"/>
  <c r="AZ39" i="30"/>
  <c r="AY39" i="30"/>
  <c r="AX39" i="30"/>
  <c r="AW39" i="30"/>
  <c r="AV39" i="30"/>
  <c r="BS38" i="30"/>
  <c r="BS91" i="30" s="1"/>
  <c r="BR38" i="30"/>
  <c r="BQ38" i="30"/>
  <c r="BQ91" i="30" s="1"/>
  <c r="BP38" i="30"/>
  <c r="BO38" i="30"/>
  <c r="BN38" i="30"/>
  <c r="BN91" i="30" s="1"/>
  <c r="BM38" i="30"/>
  <c r="BL38" i="30"/>
  <c r="BL91" i="30" s="1"/>
  <c r="BK38" i="30"/>
  <c r="BK91" i="30" s="1"/>
  <c r="BJ38" i="30"/>
  <c r="BJ91" i="30" s="1"/>
  <c r="BI38" i="30"/>
  <c r="BI91" i="30" s="1"/>
  <c r="BH38" i="30"/>
  <c r="BG38" i="30"/>
  <c r="BF38" i="30"/>
  <c r="BF91" i="30" s="1"/>
  <c r="BE38" i="30"/>
  <c r="BE91" i="30" s="1"/>
  <c r="BD38" i="30"/>
  <c r="BD91" i="30" s="1"/>
  <c r="BC38" i="30"/>
  <c r="BC91" i="30" s="1"/>
  <c r="BB38" i="30"/>
  <c r="BA38" i="30"/>
  <c r="AZ38" i="30"/>
  <c r="AY38" i="30"/>
  <c r="AX38" i="30"/>
  <c r="AX91" i="30" s="1"/>
  <c r="AW38" i="30"/>
  <c r="AV38" i="30"/>
  <c r="BS37" i="30"/>
  <c r="BR37" i="30"/>
  <c r="BQ37" i="30"/>
  <c r="BP37" i="30"/>
  <c r="BO37" i="30"/>
  <c r="BN37" i="30"/>
  <c r="BN90" i="30" s="1"/>
  <c r="BM37" i="30"/>
  <c r="BL37" i="30"/>
  <c r="BL90" i="30" s="1"/>
  <c r="BK37" i="30"/>
  <c r="BJ37" i="30"/>
  <c r="BI37" i="30"/>
  <c r="BH37" i="30"/>
  <c r="BG37" i="30"/>
  <c r="BF37" i="30"/>
  <c r="BF90" i="30" s="1"/>
  <c r="BE37" i="30"/>
  <c r="BD37" i="30"/>
  <c r="BD90" i="30" s="1"/>
  <c r="BC37" i="30"/>
  <c r="BB37" i="30"/>
  <c r="BA37" i="30"/>
  <c r="AZ37" i="30"/>
  <c r="AY37" i="30"/>
  <c r="AX37" i="30"/>
  <c r="AW37" i="30"/>
  <c r="AV37" i="30"/>
  <c r="AT35" i="30"/>
  <c r="AT13" i="30" s="1"/>
  <c r="AT34" i="30"/>
  <c r="AT33" i="30"/>
  <c r="AT32" i="30"/>
  <c r="AT31" i="30"/>
  <c r="AT30" i="30"/>
  <c r="AT94" i="30" s="1"/>
  <c r="AT29" i="30"/>
  <c r="AT28" i="30"/>
  <c r="AT92" i="30" s="1"/>
  <c r="AT27" i="30"/>
  <c r="AT16" i="30" s="1"/>
  <c r="AT26" i="30"/>
  <c r="BS13" i="30"/>
  <c r="BR13" i="30"/>
  <c r="BQ13" i="30"/>
  <c r="BP13" i="30"/>
  <c r="BP24" i="30" s="1"/>
  <c r="BO13" i="30"/>
  <c r="BN13" i="30"/>
  <c r="BN24" i="30" s="1"/>
  <c r="BM13" i="30"/>
  <c r="BM24" i="30" s="1"/>
  <c r="BL13" i="30"/>
  <c r="BL24" i="30" s="1"/>
  <c r="BK13" i="30"/>
  <c r="BJ13" i="30"/>
  <c r="BI13" i="30"/>
  <c r="BH13" i="30"/>
  <c r="BH24" i="30" s="1"/>
  <c r="BG13" i="30"/>
  <c r="BF13" i="30"/>
  <c r="BE13" i="30"/>
  <c r="BE24" i="30" s="1"/>
  <c r="BD13" i="30"/>
  <c r="BD24" i="30" s="1"/>
  <c r="BC13" i="30"/>
  <c r="BB13" i="30"/>
  <c r="BA13" i="30"/>
  <c r="AZ13" i="30"/>
  <c r="AZ24" i="30" s="1"/>
  <c r="AY13" i="30"/>
  <c r="AX13" i="30"/>
  <c r="AX24" i="30" s="1"/>
  <c r="AW13" i="30"/>
  <c r="AV13" i="30"/>
  <c r="AV24" i="30" s="1"/>
  <c r="BS12" i="30"/>
  <c r="BR12" i="30"/>
  <c r="BQ12" i="30"/>
  <c r="BP12" i="30"/>
  <c r="BP23" i="30" s="1"/>
  <c r="BO12" i="30"/>
  <c r="BN12" i="30"/>
  <c r="BN23" i="30" s="1"/>
  <c r="BM12" i="30"/>
  <c r="BM23" i="30" s="1"/>
  <c r="BL12" i="30"/>
  <c r="BK12" i="30"/>
  <c r="BJ12" i="30"/>
  <c r="BI12" i="30"/>
  <c r="BH12" i="30"/>
  <c r="BH23" i="30" s="1"/>
  <c r="BG12" i="30"/>
  <c r="BF12" i="30"/>
  <c r="BF23" i="30" s="1"/>
  <c r="BE12" i="30"/>
  <c r="BD12" i="30"/>
  <c r="BC12" i="30"/>
  <c r="BB12" i="30"/>
  <c r="BA12" i="30"/>
  <c r="AZ12" i="30"/>
  <c r="AZ23" i="30" s="1"/>
  <c r="AY12" i="30"/>
  <c r="AX12" i="30"/>
  <c r="AX23" i="30" s="1"/>
  <c r="AW12" i="30"/>
  <c r="AW23" i="30" s="1"/>
  <c r="AV12" i="30"/>
  <c r="BS11" i="30"/>
  <c r="BR11" i="30"/>
  <c r="BQ11" i="30"/>
  <c r="BP11" i="30"/>
  <c r="BP22" i="30" s="1"/>
  <c r="BO11" i="30"/>
  <c r="BN11" i="30"/>
  <c r="BN22" i="30" s="1"/>
  <c r="BM11" i="30"/>
  <c r="BM22" i="30" s="1"/>
  <c r="BL11" i="30"/>
  <c r="BK11" i="30"/>
  <c r="BJ11" i="30"/>
  <c r="BI11" i="30"/>
  <c r="BH11" i="30"/>
  <c r="BH22" i="30" s="1"/>
  <c r="BG11" i="30"/>
  <c r="BF11" i="30"/>
  <c r="BF22" i="30" s="1"/>
  <c r="BE11" i="30"/>
  <c r="BD11" i="30"/>
  <c r="BC11" i="30"/>
  <c r="BB11" i="30"/>
  <c r="BA11" i="30"/>
  <c r="AZ11" i="30"/>
  <c r="AZ22" i="30" s="1"/>
  <c r="AY11" i="30"/>
  <c r="AX11" i="30"/>
  <c r="AX22" i="30" s="1"/>
  <c r="AX78" i="30" s="1"/>
  <c r="AW11" i="30"/>
  <c r="AV11" i="30"/>
  <c r="BS10" i="30"/>
  <c r="BR10" i="30"/>
  <c r="BQ10" i="30"/>
  <c r="BP10" i="30"/>
  <c r="BP21" i="30" s="1"/>
  <c r="BO10" i="30"/>
  <c r="BN10" i="30"/>
  <c r="BN21" i="30" s="1"/>
  <c r="BM10" i="30"/>
  <c r="BL10" i="30"/>
  <c r="BK10" i="30"/>
  <c r="BJ10" i="30"/>
  <c r="BI10" i="30"/>
  <c r="BH10" i="30"/>
  <c r="BH21" i="30" s="1"/>
  <c r="BG10" i="30"/>
  <c r="BF10" i="30"/>
  <c r="BF21" i="30" s="1"/>
  <c r="BE10" i="30"/>
  <c r="BE21" i="30" s="1"/>
  <c r="BD10" i="30"/>
  <c r="BC10" i="30"/>
  <c r="BB10" i="30"/>
  <c r="BA10" i="30"/>
  <c r="AZ10" i="30"/>
  <c r="AZ21" i="30" s="1"/>
  <c r="AZ77" i="30" s="1"/>
  <c r="AY10" i="30"/>
  <c r="AX10" i="30"/>
  <c r="AX21" i="30" s="1"/>
  <c r="AW10" i="30"/>
  <c r="AV10" i="30"/>
  <c r="BS9" i="30"/>
  <c r="BR9" i="30"/>
  <c r="BQ9" i="30"/>
  <c r="BP9" i="30"/>
  <c r="BP20" i="30" s="1"/>
  <c r="BO9" i="30"/>
  <c r="BN9" i="30"/>
  <c r="BM9" i="30"/>
  <c r="BL9" i="30"/>
  <c r="BK9" i="30"/>
  <c r="BJ9" i="30"/>
  <c r="BI9" i="30"/>
  <c r="BH9" i="30"/>
  <c r="BH20" i="30" s="1"/>
  <c r="BG9" i="30"/>
  <c r="BF9" i="30"/>
  <c r="BF20" i="30" s="1"/>
  <c r="BE9" i="30"/>
  <c r="BD9" i="30"/>
  <c r="BC9" i="30"/>
  <c r="BB9" i="30"/>
  <c r="BA9" i="30"/>
  <c r="AZ9" i="30"/>
  <c r="AZ20" i="30" s="1"/>
  <c r="AY9" i="30"/>
  <c r="AX9" i="30"/>
  <c r="AX20" i="30" s="1"/>
  <c r="AW9" i="30"/>
  <c r="AV9" i="30"/>
  <c r="BS8" i="30"/>
  <c r="BR8" i="30"/>
  <c r="BQ8" i="30"/>
  <c r="BP8" i="30"/>
  <c r="BP19" i="30" s="1"/>
  <c r="BO8" i="30"/>
  <c r="BN8" i="30"/>
  <c r="BN19" i="30" s="1"/>
  <c r="BN75" i="30" s="1"/>
  <c r="BM8" i="30"/>
  <c r="BL8" i="30"/>
  <c r="BK8" i="30"/>
  <c r="BJ8" i="30"/>
  <c r="BI8" i="30"/>
  <c r="BH8" i="30"/>
  <c r="BH19" i="30" s="1"/>
  <c r="BG8" i="30"/>
  <c r="BF8" i="30"/>
  <c r="BF19" i="30" s="1"/>
  <c r="BF75" i="30" s="1"/>
  <c r="BE8" i="30"/>
  <c r="BD8" i="30"/>
  <c r="BC8" i="30"/>
  <c r="BB8" i="30"/>
  <c r="BA8" i="30"/>
  <c r="AZ8" i="30"/>
  <c r="AZ19" i="30" s="1"/>
  <c r="AY8" i="30"/>
  <c r="AX8" i="30"/>
  <c r="AX19" i="30" s="1"/>
  <c r="AX75" i="30" s="1"/>
  <c r="AW8" i="30"/>
  <c r="AV8" i="30"/>
  <c r="BS7" i="30"/>
  <c r="BR7" i="30"/>
  <c r="BQ7" i="30"/>
  <c r="BP7" i="30"/>
  <c r="BP18" i="30" s="1"/>
  <c r="BO7" i="30"/>
  <c r="BN7" i="30"/>
  <c r="BN18" i="30" s="1"/>
  <c r="BM7" i="30"/>
  <c r="BL7" i="30"/>
  <c r="BK7" i="30"/>
  <c r="BJ7" i="30"/>
  <c r="BI7" i="30"/>
  <c r="BH7" i="30"/>
  <c r="BH18" i="30" s="1"/>
  <c r="BG7" i="30"/>
  <c r="BF7" i="30"/>
  <c r="BF18" i="30" s="1"/>
  <c r="BE7" i="30"/>
  <c r="BD7" i="30"/>
  <c r="BC7" i="30"/>
  <c r="BB7" i="30"/>
  <c r="BA7" i="30"/>
  <c r="AZ7" i="30"/>
  <c r="AZ18" i="30" s="1"/>
  <c r="AY7" i="30"/>
  <c r="AX7" i="30"/>
  <c r="AX18" i="30" s="1"/>
  <c r="AW7" i="30"/>
  <c r="AV7" i="30"/>
  <c r="BS6" i="30"/>
  <c r="BR6" i="30"/>
  <c r="BQ6" i="30"/>
  <c r="BP6" i="30"/>
  <c r="BP17" i="30" s="1"/>
  <c r="BO6" i="30"/>
  <c r="BN6" i="30"/>
  <c r="BN17" i="30" s="1"/>
  <c r="BM6" i="30"/>
  <c r="BM92" i="30" s="1"/>
  <c r="BL6" i="30"/>
  <c r="BK6" i="30"/>
  <c r="BJ6" i="30"/>
  <c r="BI6" i="30"/>
  <c r="BH6" i="30"/>
  <c r="BH17" i="30" s="1"/>
  <c r="BG6" i="30"/>
  <c r="BF6" i="30"/>
  <c r="BF17" i="30" s="1"/>
  <c r="BE6" i="30"/>
  <c r="BD6" i="30"/>
  <c r="BC6" i="30"/>
  <c r="BB6" i="30"/>
  <c r="BA6" i="30"/>
  <c r="AZ6" i="30"/>
  <c r="AZ17" i="30" s="1"/>
  <c r="AY6" i="30"/>
  <c r="AX6" i="30"/>
  <c r="AX17" i="30" s="1"/>
  <c r="AW6" i="30"/>
  <c r="AW92" i="30" s="1"/>
  <c r="AV6" i="30"/>
  <c r="BS5" i="30"/>
  <c r="BR5" i="30"/>
  <c r="BQ5" i="30"/>
  <c r="BN5" i="30"/>
  <c r="BN16" i="30" s="1"/>
  <c r="BM5" i="30"/>
  <c r="BL5" i="30"/>
  <c r="BL16" i="30" s="1"/>
  <c r="BK5" i="30"/>
  <c r="BJ5" i="30"/>
  <c r="BI5" i="30"/>
  <c r="BH5" i="30"/>
  <c r="BG5" i="30"/>
  <c r="BF5" i="30"/>
  <c r="BF16" i="30" s="1"/>
  <c r="BE5" i="30"/>
  <c r="BD5" i="30"/>
  <c r="BD16" i="30" s="1"/>
  <c r="BC5" i="30"/>
  <c r="BC16" i="30" s="1"/>
  <c r="BB5" i="30"/>
  <c r="BA5" i="30"/>
  <c r="AZ5" i="30"/>
  <c r="AY5" i="30"/>
  <c r="AX5" i="30"/>
  <c r="AX16" i="30" s="1"/>
  <c r="AW5" i="30"/>
  <c r="AV5" i="30"/>
  <c r="AV16" i="30" s="1"/>
  <c r="BP4" i="30"/>
  <c r="BP90" i="30" s="1"/>
  <c r="BN4" i="30"/>
  <c r="BM4" i="30"/>
  <c r="BL4" i="30"/>
  <c r="BK4" i="30"/>
  <c r="BJ4" i="30"/>
  <c r="BJ15" i="30" s="1"/>
  <c r="BI4" i="30"/>
  <c r="BH4" i="30"/>
  <c r="BG4" i="30"/>
  <c r="BG15" i="30" s="1"/>
  <c r="BF4" i="30"/>
  <c r="BE4" i="30"/>
  <c r="BD4" i="30"/>
  <c r="BC4" i="30"/>
  <c r="BB4" i="30"/>
  <c r="BB90" i="30" s="1"/>
  <c r="BA4" i="30"/>
  <c r="AZ4" i="30"/>
  <c r="AZ15" i="30" s="1"/>
  <c r="AY4" i="30"/>
  <c r="AY15" i="30" s="1"/>
  <c r="AX4" i="30"/>
  <c r="AW4" i="30"/>
  <c r="AV4" i="30"/>
  <c r="Z254" i="31"/>
  <c r="C239" i="33"/>
  <c r="J153" i="31"/>
  <c r="C226" i="33" s="1"/>
  <c r="J152" i="31"/>
  <c r="C225" i="33" s="1"/>
  <c r="J151" i="31"/>
  <c r="C224" i="33" s="1"/>
  <c r="J150" i="31"/>
  <c r="C223" i="33" s="1"/>
  <c r="AI125" i="31"/>
  <c r="AH125" i="31"/>
  <c r="AG125" i="31"/>
  <c r="AF125" i="31"/>
  <c r="W127" i="31"/>
  <c r="V127" i="31"/>
  <c r="X136" i="31" s="1"/>
  <c r="Y136" i="31" s="1"/>
  <c r="U127" i="31"/>
  <c r="V136" i="31" s="1"/>
  <c r="T127" i="31"/>
  <c r="W124" i="31"/>
  <c r="V124" i="31"/>
  <c r="U124" i="31"/>
  <c r="T124" i="31"/>
  <c r="W123" i="31"/>
  <c r="V123" i="31"/>
  <c r="U123" i="31"/>
  <c r="T123" i="31"/>
  <c r="S112" i="31"/>
  <c r="S111" i="31"/>
  <c r="S110" i="31"/>
  <c r="M109" i="31"/>
  <c r="L109" i="31"/>
  <c r="K109" i="31"/>
  <c r="X105" i="31"/>
  <c r="BG105" i="31" s="1"/>
  <c r="X104" i="31"/>
  <c r="X103" i="31"/>
  <c r="BH103" i="31" s="1"/>
  <c r="X99" i="31"/>
  <c r="X98" i="31"/>
  <c r="BO98" i="31" s="1"/>
  <c r="X97" i="31"/>
  <c r="BU97" i="31" s="1"/>
  <c r="X96" i="31"/>
  <c r="BN96" i="31" s="1"/>
  <c r="X93" i="31"/>
  <c r="X92" i="31"/>
  <c r="AE92" i="31" s="1"/>
  <c r="X91" i="31"/>
  <c r="AO91" i="31" s="1"/>
  <c r="X90" i="31"/>
  <c r="BR90" i="31" s="1"/>
  <c r="X89" i="31"/>
  <c r="AV89" i="31" s="1"/>
  <c r="M81" i="31"/>
  <c r="L81" i="31"/>
  <c r="K81" i="31"/>
  <c r="F81" i="31"/>
  <c r="E81" i="31"/>
  <c r="D81" i="31"/>
  <c r="R52" i="31"/>
  <c r="R51" i="31"/>
  <c r="R50" i="31"/>
  <c r="AB51" i="31"/>
  <c r="AA51" i="31"/>
  <c r="Z51" i="31"/>
  <c r="Y51" i="31"/>
  <c r="AB50" i="31"/>
  <c r="AA50" i="31"/>
  <c r="Z50" i="31"/>
  <c r="Y50" i="31"/>
  <c r="AB49" i="31"/>
  <c r="AA49" i="31"/>
  <c r="Z49" i="31"/>
  <c r="AB48" i="31"/>
  <c r="AA48" i="31"/>
  <c r="Z48" i="31"/>
  <c r="Y48" i="31"/>
  <c r="AB47" i="31"/>
  <c r="AA47" i="31"/>
  <c r="Y47" i="31"/>
  <c r="U32" i="31"/>
  <c r="T32" i="31"/>
  <c r="S32" i="31"/>
  <c r="R32" i="31"/>
  <c r="U31" i="31"/>
  <c r="T31" i="31"/>
  <c r="S31" i="31"/>
  <c r="R31" i="31"/>
  <c r="U30" i="31"/>
  <c r="T30" i="31"/>
  <c r="S30" i="31"/>
  <c r="R30" i="31"/>
  <c r="U29" i="31"/>
  <c r="T29" i="31"/>
  <c r="S29" i="31"/>
  <c r="R29" i="31"/>
  <c r="U28" i="31"/>
  <c r="T28" i="31"/>
  <c r="S28" i="31"/>
  <c r="R28" i="31"/>
  <c r="M4" i="31"/>
  <c r="L4" i="31"/>
  <c r="K4" i="31"/>
  <c r="D4" i="31"/>
  <c r="C4" i="31"/>
  <c r="B4" i="31"/>
  <c r="DC2" i="30"/>
  <c r="BZ2" i="30"/>
  <c r="AT2" i="30"/>
  <c r="AU2" i="30" s="1"/>
  <c r="AU120" i="33" s="1"/>
  <c r="AO171" i="31"/>
  <c r="C80" i="33" s="1"/>
  <c r="S207" i="31"/>
  <c r="R207" i="31"/>
  <c r="S206" i="31"/>
  <c r="R206" i="31"/>
  <c r="S205" i="31"/>
  <c r="R205" i="31"/>
  <c r="S204" i="31"/>
  <c r="R204" i="31"/>
  <c r="S203" i="31"/>
  <c r="R203" i="31"/>
  <c r="S202" i="31"/>
  <c r="R202" i="31"/>
  <c r="S201" i="31"/>
  <c r="R201" i="31"/>
  <c r="S200" i="31"/>
  <c r="R200" i="31"/>
  <c r="S199" i="31"/>
  <c r="R199" i="31"/>
  <c r="S198" i="31"/>
  <c r="R198" i="31"/>
  <c r="S197" i="31"/>
  <c r="R197" i="31"/>
  <c r="S196" i="31"/>
  <c r="R196" i="31"/>
  <c r="S195" i="31"/>
  <c r="R195" i="31"/>
  <c r="S194" i="31"/>
  <c r="R194" i="31"/>
  <c r="S193" i="31"/>
  <c r="R193" i="31"/>
  <c r="S192" i="31"/>
  <c r="R192" i="31"/>
  <c r="S191" i="31"/>
  <c r="R191" i="31"/>
  <c r="S190" i="31"/>
  <c r="R190" i="31"/>
  <c r="S189" i="31"/>
  <c r="R189" i="31"/>
  <c r="S188" i="31"/>
  <c r="R188" i="31"/>
  <c r="S187" i="31"/>
  <c r="R187" i="31"/>
  <c r="S186" i="31"/>
  <c r="R186" i="31"/>
  <c r="S185" i="31"/>
  <c r="R185" i="31"/>
  <c r="S184" i="31"/>
  <c r="R184" i="31"/>
  <c r="S183" i="31"/>
  <c r="R183" i="31"/>
  <c r="S182" i="31"/>
  <c r="R182" i="31"/>
  <c r="S181" i="31"/>
  <c r="R181" i="31"/>
  <c r="S180" i="31"/>
  <c r="R180" i="31"/>
  <c r="S179" i="31"/>
  <c r="R179" i="31"/>
  <c r="S178" i="31"/>
  <c r="R178" i="31"/>
  <c r="S177" i="31"/>
  <c r="R177" i="31"/>
  <c r="S176" i="31"/>
  <c r="R176" i="31"/>
  <c r="S175" i="31"/>
  <c r="R175" i="31"/>
  <c r="S174" i="31"/>
  <c r="R174" i="31"/>
  <c r="S173" i="31"/>
  <c r="R173" i="3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R165" i="31"/>
  <c r="S164" i="31"/>
  <c r="R164" i="31"/>
  <c r="R163" i="31"/>
  <c r="R162" i="31"/>
  <c r="C131" i="31"/>
  <c r="B131" i="31"/>
  <c r="C130" i="31"/>
  <c r="B130" i="31"/>
  <c r="C129" i="31"/>
  <c r="B129" i="31"/>
  <c r="C128" i="31"/>
  <c r="B128" i="31"/>
  <c r="C127" i="31"/>
  <c r="B127" i="31"/>
  <c r="C126" i="31"/>
  <c r="B126" i="31"/>
  <c r="C125" i="31"/>
  <c r="B125" i="31"/>
  <c r="C124" i="31"/>
  <c r="B124" i="31"/>
  <c r="C123" i="31"/>
  <c r="B123" i="31"/>
  <c r="C122" i="31"/>
  <c r="B122" i="31"/>
  <c r="T41" i="31"/>
  <c r="V41" i="31" s="1"/>
  <c r="T40" i="31"/>
  <c r="V40" i="31" s="1"/>
  <c r="T39" i="31"/>
  <c r="V39" i="31" s="1"/>
  <c r="T38" i="31"/>
  <c r="V38" i="31" s="1"/>
  <c r="AB15" i="31"/>
  <c r="AB14" i="31"/>
  <c r="AB13" i="31"/>
  <c r="AB12" i="31"/>
  <c r="AB11" i="31"/>
  <c r="AB10" i="31"/>
  <c r="AB9" i="31"/>
  <c r="AB8" i="31"/>
  <c r="AB7" i="31"/>
  <c r="AB6" i="31"/>
  <c r="AM219" i="33"/>
  <c r="W272" i="31"/>
  <c r="AM216" i="33" s="1"/>
  <c r="W271" i="31"/>
  <c r="AM215" i="33" s="1"/>
  <c r="AI144" i="31"/>
  <c r="AI141" i="31"/>
  <c r="AI138" i="31"/>
  <c r="T136" i="31"/>
  <c r="AI135" i="31"/>
  <c r="M112" i="31"/>
  <c r="L112" i="31"/>
  <c r="V133" i="31"/>
  <c r="T133" i="31"/>
  <c r="AI132" i="31"/>
  <c r="T132" i="31"/>
  <c r="AI129" i="31"/>
  <c r="V132" i="31"/>
  <c r="W132" i="31" s="1"/>
  <c r="T135" i="31"/>
  <c r="AI126" i="31"/>
  <c r="X107" i="31"/>
  <c r="BI107" i="31" s="1"/>
  <c r="X106" i="31"/>
  <c r="BH106" i="31" s="1"/>
  <c r="X100" i="31"/>
  <c r="BO100" i="31" s="1"/>
  <c r="D5" i="31"/>
  <c r="C5" i="31"/>
  <c r="C6" i="31" s="1"/>
  <c r="B105" i="30"/>
  <c r="D105" i="30" s="1"/>
  <c r="B104" i="30"/>
  <c r="D104" i="30" s="1"/>
  <c r="C273" i="33"/>
  <c r="D273" i="33" s="1"/>
  <c r="C272" i="33"/>
  <c r="EA98" i="30"/>
  <c r="DZ98" i="30"/>
  <c r="DY98" i="30"/>
  <c r="DX98" i="30"/>
  <c r="DW98" i="30"/>
  <c r="DU98" i="30"/>
  <c r="DS98" i="30"/>
  <c r="DR98" i="30"/>
  <c r="DQ98" i="30"/>
  <c r="DP98" i="30"/>
  <c r="DO98" i="30"/>
  <c r="DM98" i="30"/>
  <c r="DK98" i="30"/>
  <c r="DJ98" i="30"/>
  <c r="DI98" i="30"/>
  <c r="DH98" i="30"/>
  <c r="DG98" i="30"/>
  <c r="DE98" i="30"/>
  <c r="CY98" i="30"/>
  <c r="CX98" i="30"/>
  <c r="CW98" i="30"/>
  <c r="CV98" i="30"/>
  <c r="CT98" i="30"/>
  <c r="CQ98" i="30"/>
  <c r="CP98" i="30"/>
  <c r="CO98" i="30"/>
  <c r="CN98" i="30"/>
  <c r="CL98" i="30"/>
  <c r="CK98" i="30"/>
  <c r="CJ98" i="30"/>
  <c r="CI98" i="30"/>
  <c r="CH98" i="30"/>
  <c r="CG98" i="30"/>
  <c r="CF98" i="30"/>
  <c r="CD98" i="30"/>
  <c r="BS98" i="30"/>
  <c r="BR98" i="30"/>
  <c r="BQ98" i="30"/>
  <c r="BP98" i="30"/>
  <c r="BO98" i="30"/>
  <c r="BM98" i="30"/>
  <c r="BK98" i="30"/>
  <c r="BJ98" i="30"/>
  <c r="BI98" i="30"/>
  <c r="BH98" i="30"/>
  <c r="BG98" i="30"/>
  <c r="BE98" i="30"/>
  <c r="BB98" i="30"/>
  <c r="BA98" i="30"/>
  <c r="AZ98" i="30"/>
  <c r="AY98" i="30"/>
  <c r="AW98" i="30"/>
  <c r="EA97" i="30"/>
  <c r="DZ97" i="30"/>
  <c r="DY97" i="30"/>
  <c r="DX97" i="30"/>
  <c r="DW97" i="30"/>
  <c r="DU97" i="30"/>
  <c r="DS97" i="30"/>
  <c r="DR97" i="30"/>
  <c r="DQ97" i="30"/>
  <c r="DP97" i="30"/>
  <c r="DO97" i="30"/>
  <c r="DM97" i="30"/>
  <c r="DK97" i="30"/>
  <c r="DJ97" i="30"/>
  <c r="DI97" i="30"/>
  <c r="DH97" i="30"/>
  <c r="DG97" i="30"/>
  <c r="DE97" i="30"/>
  <c r="CY97" i="30"/>
  <c r="CX97" i="30"/>
  <c r="CW97" i="30"/>
  <c r="CV97" i="30"/>
  <c r="CT97" i="30"/>
  <c r="CS97" i="30"/>
  <c r="CQ97" i="30"/>
  <c r="CP97" i="30"/>
  <c r="CO97" i="30"/>
  <c r="CN97" i="30"/>
  <c r="CL97" i="30"/>
  <c r="CJ97" i="30"/>
  <c r="CI97" i="30"/>
  <c r="CH97" i="30"/>
  <c r="CG97" i="30"/>
  <c r="CF97" i="30"/>
  <c r="CD97" i="30"/>
  <c r="CB97" i="30"/>
  <c r="BR97" i="30"/>
  <c r="BQ97" i="30"/>
  <c r="BP97" i="30"/>
  <c r="BO97" i="30"/>
  <c r="BM97" i="30"/>
  <c r="BJ97" i="30"/>
  <c r="BI97" i="30"/>
  <c r="BH97" i="30"/>
  <c r="BG97" i="30"/>
  <c r="BE97" i="30"/>
  <c r="BB97" i="30"/>
  <c r="BA97" i="30"/>
  <c r="AZ97" i="30"/>
  <c r="AY97" i="30"/>
  <c r="AW97" i="30"/>
  <c r="EA96" i="30"/>
  <c r="DZ96" i="30"/>
  <c r="DY96" i="30"/>
  <c r="DX96" i="30"/>
  <c r="DW96" i="30"/>
  <c r="DU96" i="30"/>
  <c r="DS96" i="30"/>
  <c r="DR96" i="30"/>
  <c r="DQ96" i="30"/>
  <c r="DP96" i="30"/>
  <c r="DO96" i="30"/>
  <c r="DM96" i="30"/>
  <c r="DK96" i="30"/>
  <c r="DJ96" i="30"/>
  <c r="DI96" i="30"/>
  <c r="DH96" i="30"/>
  <c r="DG96" i="30"/>
  <c r="DE96" i="30"/>
  <c r="CY96" i="30"/>
  <c r="CX96" i="30"/>
  <c r="CW96" i="30"/>
  <c r="CV96" i="30"/>
  <c r="CT96" i="30"/>
  <c r="CR96" i="30"/>
  <c r="CQ96" i="30"/>
  <c r="CP96" i="30"/>
  <c r="CO96" i="30"/>
  <c r="CN96" i="30"/>
  <c r="CL96" i="30"/>
  <c r="CJ96" i="30"/>
  <c r="CI96" i="30"/>
  <c r="CH96" i="30"/>
  <c r="CG96" i="30"/>
  <c r="CF96" i="30"/>
  <c r="CD96" i="30"/>
  <c r="BR96" i="30"/>
  <c r="BQ96" i="30"/>
  <c r="BP96" i="30"/>
  <c r="BO96" i="30"/>
  <c r="BM96" i="30"/>
  <c r="BJ96" i="30"/>
  <c r="BI96" i="30"/>
  <c r="BH96" i="30"/>
  <c r="BG96" i="30"/>
  <c r="BE96" i="30"/>
  <c r="BC96" i="30"/>
  <c r="BB96" i="30"/>
  <c r="BA96" i="30"/>
  <c r="AZ96" i="30"/>
  <c r="AY96" i="30"/>
  <c r="AW96" i="30"/>
  <c r="EA95" i="30"/>
  <c r="DZ95" i="30"/>
  <c r="DY95" i="30"/>
  <c r="DX95" i="30"/>
  <c r="DW95" i="30"/>
  <c r="DU95" i="30"/>
  <c r="DS95" i="30"/>
  <c r="DR95" i="30"/>
  <c r="DQ95" i="30"/>
  <c r="DP95" i="30"/>
  <c r="DO95" i="30"/>
  <c r="DM95" i="30"/>
  <c r="DK95" i="30"/>
  <c r="DJ95" i="30"/>
  <c r="DI95" i="30"/>
  <c r="DH95" i="30"/>
  <c r="DG95" i="30"/>
  <c r="DE95" i="30"/>
  <c r="CY95" i="30"/>
  <c r="CX95" i="30"/>
  <c r="CW95" i="30"/>
  <c r="CV95" i="30"/>
  <c r="CT95" i="30"/>
  <c r="CR95" i="30"/>
  <c r="CQ95" i="30"/>
  <c r="CP95" i="30"/>
  <c r="CO95" i="30"/>
  <c r="CN95" i="30"/>
  <c r="CL95" i="30"/>
  <c r="CI95" i="30"/>
  <c r="CH95" i="30"/>
  <c r="CG95" i="30"/>
  <c r="CF95" i="30"/>
  <c r="CD95" i="30"/>
  <c r="BR95" i="30"/>
  <c r="BQ95" i="30"/>
  <c r="BP95" i="30"/>
  <c r="BO95" i="30"/>
  <c r="BM95" i="30"/>
  <c r="BK95" i="30"/>
  <c r="BJ95" i="30"/>
  <c r="BI95" i="30"/>
  <c r="BH95" i="30"/>
  <c r="BG95" i="30"/>
  <c r="BE95" i="30"/>
  <c r="BB95" i="30"/>
  <c r="BA95" i="30"/>
  <c r="AZ95" i="30"/>
  <c r="AY95" i="30"/>
  <c r="AW95" i="30"/>
  <c r="EA94" i="30"/>
  <c r="DZ94" i="30"/>
  <c r="DY94" i="30"/>
  <c r="DX94" i="30"/>
  <c r="DW94" i="30"/>
  <c r="DU94" i="30"/>
  <c r="DS94" i="30"/>
  <c r="DR94" i="30"/>
  <c r="DQ94" i="30"/>
  <c r="DP94" i="30"/>
  <c r="DO94" i="30"/>
  <c r="DM94" i="30"/>
  <c r="DK94" i="30"/>
  <c r="DJ94" i="30"/>
  <c r="DI94" i="30"/>
  <c r="DH94" i="30"/>
  <c r="DG94" i="30"/>
  <c r="DE94" i="30"/>
  <c r="CY94" i="30"/>
  <c r="CX94" i="30"/>
  <c r="CW94" i="30"/>
  <c r="CV94" i="30"/>
  <c r="CT94" i="30"/>
  <c r="CQ94" i="30"/>
  <c r="CP94" i="30"/>
  <c r="CO94" i="30"/>
  <c r="CN94" i="30"/>
  <c r="CL94" i="30"/>
  <c r="CI94" i="30"/>
  <c r="CH94" i="30"/>
  <c r="CG94" i="30"/>
  <c r="CF94" i="30"/>
  <c r="CD94" i="30"/>
  <c r="CB94" i="30"/>
  <c r="BS94" i="30"/>
  <c r="BR94" i="30"/>
  <c r="BQ94" i="30"/>
  <c r="BP94" i="30"/>
  <c r="BO94" i="30"/>
  <c r="BM94" i="30"/>
  <c r="BJ94" i="30"/>
  <c r="BI94" i="30"/>
  <c r="BH94" i="30"/>
  <c r="BG94" i="30"/>
  <c r="BE94" i="30"/>
  <c r="BB94" i="30"/>
  <c r="BA94" i="30"/>
  <c r="AZ94" i="30"/>
  <c r="AY94" i="30"/>
  <c r="AW94" i="30"/>
  <c r="EA93" i="30"/>
  <c r="DZ93" i="30"/>
  <c r="DY93" i="30"/>
  <c r="DX93" i="30"/>
  <c r="DW93" i="30"/>
  <c r="DU93" i="30"/>
  <c r="DS93" i="30"/>
  <c r="DR93" i="30"/>
  <c r="DQ93" i="30"/>
  <c r="DP93" i="30"/>
  <c r="DO93" i="30"/>
  <c r="DM93" i="30"/>
  <c r="DL93" i="30"/>
  <c r="DK93" i="30"/>
  <c r="DJ93" i="30"/>
  <c r="DI93" i="30"/>
  <c r="DH93" i="30"/>
  <c r="DG93" i="30"/>
  <c r="DE93" i="30"/>
  <c r="CY93" i="30"/>
  <c r="CX93" i="30"/>
  <c r="CW93" i="30"/>
  <c r="CV93" i="30"/>
  <c r="CT93" i="30"/>
  <c r="CQ93" i="30"/>
  <c r="CP93" i="30"/>
  <c r="CO93" i="30"/>
  <c r="CN93" i="30"/>
  <c r="CL93" i="30"/>
  <c r="CJ93" i="30"/>
  <c r="CI93" i="30"/>
  <c r="CH93" i="30"/>
  <c r="CG93" i="30"/>
  <c r="CF93" i="30"/>
  <c r="CD93" i="30"/>
  <c r="BS93" i="30"/>
  <c r="BR93" i="30"/>
  <c r="BP93" i="30"/>
  <c r="BO93" i="30"/>
  <c r="BM93" i="30"/>
  <c r="BK93" i="30"/>
  <c r="BH93" i="30"/>
  <c r="BG93" i="30"/>
  <c r="BE93" i="30"/>
  <c r="AZ93" i="30"/>
  <c r="AY93" i="30"/>
  <c r="AW93" i="30"/>
  <c r="EA92" i="30"/>
  <c r="DZ92" i="30"/>
  <c r="DY92" i="30"/>
  <c r="DX92" i="30"/>
  <c r="DW92" i="30"/>
  <c r="DU92" i="30"/>
  <c r="DT92" i="30"/>
  <c r="DS92" i="30"/>
  <c r="DR92" i="30"/>
  <c r="DQ92" i="30"/>
  <c r="DP92" i="30"/>
  <c r="DO92" i="30"/>
  <c r="DM92" i="30"/>
  <c r="DK92" i="30"/>
  <c r="DJ92" i="30"/>
  <c r="DI92" i="30"/>
  <c r="DH92" i="30"/>
  <c r="DG92" i="30"/>
  <c r="DE92" i="30"/>
  <c r="CW92" i="30"/>
  <c r="CV92" i="30"/>
  <c r="CT92" i="30"/>
  <c r="CQ92" i="30"/>
  <c r="CP92" i="30"/>
  <c r="CO92" i="30"/>
  <c r="CN92" i="30"/>
  <c r="CL92" i="30"/>
  <c r="CJ92" i="30"/>
  <c r="CI92" i="30"/>
  <c r="CH92" i="30"/>
  <c r="CD92" i="30"/>
  <c r="CC92" i="30"/>
  <c r="CB92" i="30"/>
  <c r="BR92" i="30"/>
  <c r="BQ92" i="30"/>
  <c r="BO92" i="30"/>
  <c r="BJ92" i="30"/>
  <c r="BI92" i="30"/>
  <c r="BG92" i="30"/>
  <c r="BE92" i="30"/>
  <c r="BC92" i="30"/>
  <c r="BB92" i="30"/>
  <c r="BA92" i="30"/>
  <c r="AY92" i="30"/>
  <c r="EA91" i="30"/>
  <c r="DZ91" i="30"/>
  <c r="DY91" i="30"/>
  <c r="DX91" i="30"/>
  <c r="DW91" i="30"/>
  <c r="DU91" i="30"/>
  <c r="DS91" i="30"/>
  <c r="DR91" i="30"/>
  <c r="DQ91" i="30"/>
  <c r="DP91" i="30"/>
  <c r="DO91" i="30"/>
  <c r="DM91" i="30"/>
  <c r="DK91" i="30"/>
  <c r="DJ91" i="30"/>
  <c r="DI91" i="30"/>
  <c r="DH91" i="30"/>
  <c r="DG91" i="30"/>
  <c r="DE91" i="30"/>
  <c r="CY91" i="30"/>
  <c r="CW91" i="30"/>
  <c r="CV91" i="30"/>
  <c r="CT91" i="30"/>
  <c r="CQ91" i="30"/>
  <c r="CP91" i="30"/>
  <c r="CO91" i="30"/>
  <c r="CN91" i="30"/>
  <c r="CL91" i="30"/>
  <c r="CI91" i="30"/>
  <c r="CF91" i="30"/>
  <c r="CD91" i="30"/>
  <c r="BR91" i="30"/>
  <c r="BP91" i="30"/>
  <c r="BO91" i="30"/>
  <c r="BM91" i="30"/>
  <c r="BH91" i="30"/>
  <c r="BG91" i="30"/>
  <c r="BB91" i="30"/>
  <c r="BA91" i="30"/>
  <c r="AZ91" i="30"/>
  <c r="AY91" i="30"/>
  <c r="AW91" i="30"/>
  <c r="AV91" i="30"/>
  <c r="EA90" i="30"/>
  <c r="DZ90" i="30"/>
  <c r="DY90" i="30"/>
  <c r="DX90" i="30"/>
  <c r="DW90" i="30"/>
  <c r="DU90" i="30"/>
  <c r="DT90" i="30"/>
  <c r="DS90" i="30"/>
  <c r="DR90" i="30"/>
  <c r="DQ90" i="30"/>
  <c r="DP90" i="30"/>
  <c r="DO90" i="30"/>
  <c r="DM90" i="30"/>
  <c r="DK90" i="30"/>
  <c r="DJ90" i="30"/>
  <c r="DI90" i="30"/>
  <c r="DH90" i="30"/>
  <c r="DG90" i="30"/>
  <c r="DE90" i="30"/>
  <c r="CV90" i="30"/>
  <c r="CT90" i="30"/>
  <c r="CR90" i="30"/>
  <c r="CQ90" i="30"/>
  <c r="CP90" i="30"/>
  <c r="CO90" i="30"/>
  <c r="CN90" i="30"/>
  <c r="CL90" i="30"/>
  <c r="CJ90" i="30"/>
  <c r="CF90" i="30"/>
  <c r="CD90" i="30"/>
  <c r="BM90" i="30"/>
  <c r="BK90" i="30"/>
  <c r="BJ90" i="30"/>
  <c r="BI90" i="30"/>
  <c r="BH90" i="30"/>
  <c r="BG90" i="30"/>
  <c r="BE90" i="30"/>
  <c r="BA90" i="30"/>
  <c r="AY90" i="30"/>
  <c r="AW90" i="30"/>
  <c r="AV90" i="30"/>
  <c r="BR35" i="30"/>
  <c r="BP35" i="30"/>
  <c r="BO35" i="30"/>
  <c r="BJ35" i="30"/>
  <c r="BH35" i="30"/>
  <c r="BG35" i="30"/>
  <c r="BE35" i="30"/>
  <c r="BB35" i="30"/>
  <c r="AZ35" i="30"/>
  <c r="AY35" i="30"/>
  <c r="AW35" i="30"/>
  <c r="BN35" i="30"/>
  <c r="DY34" i="30"/>
  <c r="DW34" i="30"/>
  <c r="DV34" i="30"/>
  <c r="DQ34" i="30"/>
  <c r="DO34" i="30"/>
  <c r="DN34" i="30"/>
  <c r="DI34" i="30"/>
  <c r="DG34" i="30"/>
  <c r="DF34" i="30"/>
  <c r="DU34" i="30"/>
  <c r="BR34" i="30"/>
  <c r="BQ34" i="30"/>
  <c r="BO34" i="30"/>
  <c r="BL34" i="30"/>
  <c r="BJ34" i="30"/>
  <c r="BI34" i="30"/>
  <c r="BH34" i="30"/>
  <c r="BG34" i="30"/>
  <c r="BE34" i="30"/>
  <c r="BD34" i="30"/>
  <c r="BB34" i="30"/>
  <c r="BA34" i="30"/>
  <c r="AZ34" i="30"/>
  <c r="AY34" i="30"/>
  <c r="AW34" i="30"/>
  <c r="AV34" i="30"/>
  <c r="BP34" i="30"/>
  <c r="AT97" i="30"/>
  <c r="DM33" i="30"/>
  <c r="BS33" i="30"/>
  <c r="BO33" i="30"/>
  <c r="BN33" i="30"/>
  <c r="BK33" i="30"/>
  <c r="BJ33" i="30"/>
  <c r="BH33" i="30"/>
  <c r="BE33" i="30"/>
  <c r="BC33" i="30"/>
  <c r="AZ33" i="30"/>
  <c r="AY33" i="30"/>
  <c r="AX33" i="30"/>
  <c r="BM33" i="30"/>
  <c r="AT96" i="30"/>
  <c r="EB32" i="30"/>
  <c r="EA32" i="30"/>
  <c r="DY32" i="30"/>
  <c r="DV32" i="30"/>
  <c r="DU32" i="30"/>
  <c r="DT32" i="30"/>
  <c r="DS32" i="30"/>
  <c r="DQ32" i="30"/>
  <c r="DP32" i="30"/>
  <c r="DN32" i="30"/>
  <c r="DL32" i="30"/>
  <c r="DK32" i="30"/>
  <c r="DI32" i="30"/>
  <c r="DH32" i="30"/>
  <c r="DG32" i="30"/>
  <c r="DF32" i="30"/>
  <c r="DE32" i="30"/>
  <c r="BR32" i="30"/>
  <c r="BP32" i="30"/>
  <c r="BJ32" i="30"/>
  <c r="BH32" i="30"/>
  <c r="BB32" i="30"/>
  <c r="AZ32" i="30"/>
  <c r="AT10" i="30"/>
  <c r="DY31" i="30"/>
  <c r="DX31" i="30"/>
  <c r="DV31" i="30"/>
  <c r="DU31" i="30"/>
  <c r="DQ31" i="30"/>
  <c r="DP31" i="30"/>
  <c r="DN31" i="30"/>
  <c r="DM31" i="30"/>
  <c r="DI31" i="30"/>
  <c r="DH31" i="30"/>
  <c r="DF31" i="30"/>
  <c r="DE31" i="30"/>
  <c r="EB31" i="30"/>
  <c r="BA31" i="30"/>
  <c r="AT95" i="30"/>
  <c r="EA30" i="30"/>
  <c r="DZ30" i="30"/>
  <c r="DY30" i="30"/>
  <c r="DX30" i="30"/>
  <c r="DW30" i="30"/>
  <c r="DV30" i="30"/>
  <c r="DU30" i="30"/>
  <c r="DS30" i="30"/>
  <c r="DR30" i="30"/>
  <c r="DQ30" i="30"/>
  <c r="DP30" i="30"/>
  <c r="DO30" i="30"/>
  <c r="DN30" i="30"/>
  <c r="DM30" i="30"/>
  <c r="DK30" i="30"/>
  <c r="DJ30" i="30"/>
  <c r="DI30" i="30"/>
  <c r="DH30" i="30"/>
  <c r="DG30" i="30"/>
  <c r="DF30" i="30"/>
  <c r="DE30" i="30"/>
  <c r="EB30" i="30"/>
  <c r="BZ30" i="30"/>
  <c r="BZ94" i="30" s="1"/>
  <c r="BR30" i="30"/>
  <c r="BQ30" i="30"/>
  <c r="BP30" i="30"/>
  <c r="BN30" i="30"/>
  <c r="BM30" i="30"/>
  <c r="BL30" i="30"/>
  <c r="BJ30" i="30"/>
  <c r="BI30" i="30"/>
  <c r="BH30" i="30"/>
  <c r="BF30" i="30"/>
  <c r="BE30" i="30"/>
  <c r="BD30" i="30"/>
  <c r="BB30" i="30"/>
  <c r="BA30" i="30"/>
  <c r="AZ30" i="30"/>
  <c r="AX30" i="30"/>
  <c r="AW30" i="30"/>
  <c r="AV30" i="30"/>
  <c r="BO30" i="30"/>
  <c r="DX29" i="30"/>
  <c r="DW29" i="30"/>
  <c r="DU29" i="30"/>
  <c r="DP29" i="30"/>
  <c r="DO29" i="30"/>
  <c r="DM29" i="30"/>
  <c r="DH29" i="30"/>
  <c r="DG29" i="30"/>
  <c r="DE29" i="30"/>
  <c r="EB29" i="30"/>
  <c r="BH29" i="30"/>
  <c r="AT93" i="30"/>
  <c r="EA28" i="30"/>
  <c r="DZ28" i="30"/>
  <c r="DY28" i="30"/>
  <c r="DW28" i="30"/>
  <c r="DV28" i="30"/>
  <c r="DU28" i="30"/>
  <c r="DS28" i="30"/>
  <c r="DR28" i="30"/>
  <c r="DQ28" i="30"/>
  <c r="DO28" i="30"/>
  <c r="DN28" i="30"/>
  <c r="DM28" i="30"/>
  <c r="DK28" i="30"/>
  <c r="DJ28" i="30"/>
  <c r="DI28" i="30"/>
  <c r="DG28" i="30"/>
  <c r="DF28" i="30"/>
  <c r="DE28" i="30"/>
  <c r="DX28" i="30"/>
  <c r="BR28" i="30"/>
  <c r="BQ28" i="30"/>
  <c r="BP28" i="30"/>
  <c r="BO28" i="30"/>
  <c r="BN28" i="30"/>
  <c r="BM28" i="30"/>
  <c r="BL28" i="30"/>
  <c r="BJ28" i="30"/>
  <c r="BI28" i="30"/>
  <c r="BH28" i="30"/>
  <c r="BG28" i="30"/>
  <c r="BF28" i="30"/>
  <c r="BE28" i="30"/>
  <c r="BD28" i="30"/>
  <c r="BB28" i="30"/>
  <c r="BA28" i="30"/>
  <c r="AZ28" i="30"/>
  <c r="AY28" i="30"/>
  <c r="AX28" i="30"/>
  <c r="AW28" i="30"/>
  <c r="AV28" i="30"/>
  <c r="BS28" i="30"/>
  <c r="EA27" i="30"/>
  <c r="BO27" i="30"/>
  <c r="BN27" i="30"/>
  <c r="BL27" i="30"/>
  <c r="BG27" i="30"/>
  <c r="BF27" i="30"/>
  <c r="BD27" i="30"/>
  <c r="AY27" i="30"/>
  <c r="AX27" i="30"/>
  <c r="AV27" i="30"/>
  <c r="AT91" i="30"/>
  <c r="EA26" i="30"/>
  <c r="DZ26" i="30"/>
  <c r="DY26" i="30"/>
  <c r="DW26" i="30"/>
  <c r="DV26" i="30"/>
  <c r="DU26" i="30"/>
  <c r="DS26" i="30"/>
  <c r="DR26" i="30"/>
  <c r="DQ26" i="30"/>
  <c r="DO26" i="30"/>
  <c r="DN26" i="30"/>
  <c r="DM26" i="30"/>
  <c r="DK26" i="30"/>
  <c r="DJ26" i="30"/>
  <c r="DI26" i="30"/>
  <c r="DG26" i="30"/>
  <c r="DF26" i="30"/>
  <c r="DE26" i="30"/>
  <c r="EB26" i="30"/>
  <c r="BR26" i="30"/>
  <c r="BQ26" i="30"/>
  <c r="BP26" i="30"/>
  <c r="BN26" i="30"/>
  <c r="BM26" i="30"/>
  <c r="BL26" i="30"/>
  <c r="BJ26" i="30"/>
  <c r="BI26" i="30"/>
  <c r="BH26" i="30"/>
  <c r="BF26" i="30"/>
  <c r="BE26" i="30"/>
  <c r="BD26" i="30"/>
  <c r="BB26" i="30"/>
  <c r="BA26" i="30"/>
  <c r="AZ26" i="30"/>
  <c r="AX26" i="30"/>
  <c r="AW26" i="30"/>
  <c r="AV26" i="30"/>
  <c r="BO26" i="30"/>
  <c r="AT90" i="30"/>
  <c r="EB24" i="30"/>
  <c r="EB69" i="30" s="1"/>
  <c r="DX24" i="30"/>
  <c r="DX69" i="30" s="1"/>
  <c r="DW24" i="30"/>
  <c r="DW69" i="30" s="1"/>
  <c r="DP24" i="30"/>
  <c r="DO24" i="30"/>
  <c r="DO69" i="30" s="1"/>
  <c r="DH24" i="30"/>
  <c r="DH69" i="30" s="1"/>
  <c r="DG24" i="30"/>
  <c r="CV24" i="30"/>
  <c r="CV69" i="30" s="1"/>
  <c r="CN24" i="30"/>
  <c r="CN69" i="30" s="1"/>
  <c r="CM24" i="30"/>
  <c r="CM69" i="30" s="1"/>
  <c r="CJ24" i="30"/>
  <c r="CJ69" i="30" s="1"/>
  <c r="CF24" i="30"/>
  <c r="CF69" i="30" s="1"/>
  <c r="CE24" i="30"/>
  <c r="CE69" i="30" s="1"/>
  <c r="BQ24" i="30"/>
  <c r="BI24" i="30"/>
  <c r="BA24" i="30"/>
  <c r="AW24" i="30"/>
  <c r="DZ23" i="30"/>
  <c r="DZ68" i="30" s="1"/>
  <c r="DX23" i="30"/>
  <c r="DX68" i="30" s="1"/>
  <c r="DR23" i="30"/>
  <c r="DR68" i="30" s="1"/>
  <c r="DP23" i="30"/>
  <c r="DP68" i="30" s="1"/>
  <c r="DJ23" i="30"/>
  <c r="DH23" i="30"/>
  <c r="DH68" i="30" s="1"/>
  <c r="CX23" i="30"/>
  <c r="CX68" i="30" s="1"/>
  <c r="CV23" i="30"/>
  <c r="CV68" i="30" s="1"/>
  <c r="CP23" i="30"/>
  <c r="CP68" i="30" s="1"/>
  <c r="CN23" i="30"/>
  <c r="CH23" i="30"/>
  <c r="CH68" i="30" s="1"/>
  <c r="CF23" i="30"/>
  <c r="CF68" i="30" s="1"/>
  <c r="BS23" i="30"/>
  <c r="BQ23" i="30"/>
  <c r="BK23" i="30"/>
  <c r="BI23" i="30"/>
  <c r="BC23" i="30"/>
  <c r="BA23" i="30"/>
  <c r="AT23" i="30"/>
  <c r="EA22" i="30"/>
  <c r="EA67" i="30" s="1"/>
  <c r="DU22" i="30"/>
  <c r="DS22" i="30"/>
  <c r="DS67" i="30" s="1"/>
  <c r="DM22" i="30"/>
  <c r="DM67" i="30" s="1"/>
  <c r="DK22" i="30"/>
  <c r="DK67" i="30" s="1"/>
  <c r="DE22" i="30"/>
  <c r="DE67" i="30" s="1"/>
  <c r="CY22" i="30"/>
  <c r="CS22" i="30"/>
  <c r="CS67" i="30" s="1"/>
  <c r="CQ22" i="30"/>
  <c r="CQ67" i="30" s="1"/>
  <c r="CK22" i="30"/>
  <c r="CK67" i="30" s="1"/>
  <c r="CI22" i="30"/>
  <c r="CI67" i="30" s="1"/>
  <c r="CC22" i="30"/>
  <c r="CC67" i="30" s="1"/>
  <c r="BZ22" i="30"/>
  <c r="BZ55" i="30" s="1"/>
  <c r="BL22" i="30"/>
  <c r="BD22" i="30"/>
  <c r="AV22" i="30"/>
  <c r="AT22" i="30"/>
  <c r="F22" i="30"/>
  <c r="C256" i="33" s="1"/>
  <c r="EA21" i="30"/>
  <c r="EA66" i="30" s="1"/>
  <c r="DS21" i="30"/>
  <c r="DS66" i="30" s="1"/>
  <c r="DO21" i="30"/>
  <c r="DO66" i="30" s="1"/>
  <c r="DK21" i="30"/>
  <c r="DK66" i="30" s="1"/>
  <c r="CY21" i="30"/>
  <c r="CY66" i="30" s="1"/>
  <c r="CW21" i="30"/>
  <c r="CW66" i="30" s="1"/>
  <c r="CQ21" i="30"/>
  <c r="CO21" i="30"/>
  <c r="CO66" i="30" s="1"/>
  <c r="CI21" i="30"/>
  <c r="CI66" i="30" s="1"/>
  <c r="CG21" i="30"/>
  <c r="CG66" i="30" s="1"/>
  <c r="BZ21" i="30"/>
  <c r="BZ54" i="30" s="1"/>
  <c r="BR21" i="30"/>
  <c r="BR77" i="30" s="1"/>
  <c r="BL21" i="30"/>
  <c r="BJ21" i="30"/>
  <c r="BD21" i="30"/>
  <c r="BB21" i="30"/>
  <c r="AV21" i="30"/>
  <c r="F21" i="30"/>
  <c r="C255" i="33" s="1"/>
  <c r="DY20" i="30"/>
  <c r="DW20" i="30"/>
  <c r="DW65" i="30" s="1"/>
  <c r="DQ20" i="30"/>
  <c r="DQ65" i="30" s="1"/>
  <c r="DO20" i="30"/>
  <c r="DI20" i="30"/>
  <c r="DI65" i="30" s="1"/>
  <c r="DG20" i="30"/>
  <c r="DG65" i="30" s="1"/>
  <c r="CW20" i="30"/>
  <c r="CW65" i="30" s="1"/>
  <c r="CU20" i="30"/>
  <c r="CU65" i="30" s="1"/>
  <c r="CO20" i="30"/>
  <c r="CO65" i="30" s="1"/>
  <c r="CM20" i="30"/>
  <c r="CM65" i="30" s="1"/>
  <c r="CG20" i="30"/>
  <c r="CG65" i="30" s="1"/>
  <c r="CE20" i="30"/>
  <c r="CE65" i="30" s="1"/>
  <c r="BR20" i="30"/>
  <c r="BJ20" i="30"/>
  <c r="BB20" i="30"/>
  <c r="BB76" i="30" s="1"/>
  <c r="AT20" i="30"/>
  <c r="F20" i="30"/>
  <c r="C254" i="33" s="1"/>
  <c r="DW19" i="30"/>
  <c r="DW64" i="30" s="1"/>
  <c r="DU19" i="30"/>
  <c r="DO19" i="30"/>
  <c r="DO64" i="30" s="1"/>
  <c r="DM19" i="30"/>
  <c r="DG19" i="30"/>
  <c r="DG64" i="30" s="1"/>
  <c r="DE19" i="30"/>
  <c r="CY19" i="30"/>
  <c r="CY64" i="30" s="1"/>
  <c r="CS19" i="30"/>
  <c r="CQ19" i="30"/>
  <c r="CQ64" i="30" s="1"/>
  <c r="CK19" i="30"/>
  <c r="CI19" i="30"/>
  <c r="CI64" i="30" s="1"/>
  <c r="CC19" i="30"/>
  <c r="BZ19" i="30"/>
  <c r="BZ52" i="30" s="1"/>
  <c r="BL19" i="30"/>
  <c r="BD19" i="30"/>
  <c r="AV19" i="30"/>
  <c r="DZ18" i="30"/>
  <c r="DZ63" i="30" s="1"/>
  <c r="DX18" i="30"/>
  <c r="DX63" i="30" s="1"/>
  <c r="DV18" i="30"/>
  <c r="DV63" i="30" s="1"/>
  <c r="DP18" i="30"/>
  <c r="DP63" i="30" s="1"/>
  <c r="DN18" i="30"/>
  <c r="DN63" i="30" s="1"/>
  <c r="DH18" i="30"/>
  <c r="DH63" i="30" s="1"/>
  <c r="DF18" i="30"/>
  <c r="DF63" i="30" s="1"/>
  <c r="CT18" i="30"/>
  <c r="CT63" i="30" s="1"/>
  <c r="CL18" i="30"/>
  <c r="CL63" i="30" s="1"/>
  <c r="CD18" i="30"/>
  <c r="CD63" i="30" s="1"/>
  <c r="BS18" i="30"/>
  <c r="BQ18" i="30"/>
  <c r="BO18" i="30"/>
  <c r="BK18" i="30"/>
  <c r="BI18" i="30"/>
  <c r="BG18" i="30"/>
  <c r="BC18" i="30"/>
  <c r="BA18" i="30"/>
  <c r="AY18" i="30"/>
  <c r="AT18" i="30"/>
  <c r="F18" i="30"/>
  <c r="C253" i="33" s="1"/>
  <c r="D253" i="33" s="1"/>
  <c r="DZ17" i="30"/>
  <c r="DZ62" i="30" s="1"/>
  <c r="DX17" i="30"/>
  <c r="DX62" i="30" s="1"/>
  <c r="DV17" i="30"/>
  <c r="DV62" i="30" s="1"/>
  <c r="DR17" i="30"/>
  <c r="DR62" i="30" s="1"/>
  <c r="DP17" i="30"/>
  <c r="DP62" i="30" s="1"/>
  <c r="DN17" i="30"/>
  <c r="DN62" i="30" s="1"/>
  <c r="DJ17" i="30"/>
  <c r="DJ62" i="30" s="1"/>
  <c r="DH17" i="30"/>
  <c r="DH62" i="30" s="1"/>
  <c r="DF17" i="30"/>
  <c r="DF62" i="30" s="1"/>
  <c r="CV17" i="30"/>
  <c r="CT17" i="30"/>
  <c r="CN17" i="30"/>
  <c r="CL17" i="30"/>
  <c r="CF17" i="30"/>
  <c r="CD17" i="30"/>
  <c r="CD62" i="30" s="1"/>
  <c r="BS17" i="30"/>
  <c r="BQ17" i="30"/>
  <c r="BO17" i="30"/>
  <c r="BK17" i="30"/>
  <c r="BI17" i="30"/>
  <c r="BG17" i="30"/>
  <c r="BC17" i="30"/>
  <c r="BA17" i="30"/>
  <c r="AY17" i="30"/>
  <c r="F17" i="30"/>
  <c r="C252" i="33" s="1"/>
  <c r="D252" i="33" s="1"/>
  <c r="DZ16" i="30"/>
  <c r="DZ61" i="30" s="1"/>
  <c r="DX16" i="30"/>
  <c r="DX61" i="30" s="1"/>
  <c r="DR16" i="30"/>
  <c r="DR61" i="30" s="1"/>
  <c r="DP16" i="30"/>
  <c r="DP61" i="30" s="1"/>
  <c r="DJ16" i="30"/>
  <c r="DJ61" i="30" s="1"/>
  <c r="DH16" i="30"/>
  <c r="DH61" i="30" s="1"/>
  <c r="CV16" i="30"/>
  <c r="CT16" i="30"/>
  <c r="CN16" i="30"/>
  <c r="CL16" i="30"/>
  <c r="CF16" i="30"/>
  <c r="CF61" i="30" s="1"/>
  <c r="CF107" i="30" s="1"/>
  <c r="CD16" i="30"/>
  <c r="CD61" i="30" s="1"/>
  <c r="CD107" i="30" s="1"/>
  <c r="BS16" i="30"/>
  <c r="BQ16" i="30"/>
  <c r="BK16" i="30"/>
  <c r="BI16" i="30"/>
  <c r="BG16" i="30"/>
  <c r="BA16" i="30"/>
  <c r="AY16" i="30"/>
  <c r="DZ15" i="30"/>
  <c r="DZ60" i="30" s="1"/>
  <c r="DX15" i="30"/>
  <c r="DX60" i="30" s="1"/>
  <c r="DV15" i="30"/>
  <c r="DV60" i="30" s="1"/>
  <c r="DR15" i="30"/>
  <c r="DR60" i="30" s="1"/>
  <c r="DP15" i="30"/>
  <c r="DP60" i="30" s="1"/>
  <c r="DN15" i="30"/>
  <c r="DN60" i="30" s="1"/>
  <c r="DJ15" i="30"/>
  <c r="DJ60" i="30" s="1"/>
  <c r="DH15" i="30"/>
  <c r="DH60" i="30" s="1"/>
  <c r="DF15" i="30"/>
  <c r="DF60" i="30" s="1"/>
  <c r="CX15" i="30"/>
  <c r="CX60" i="30" s="1"/>
  <c r="CV15" i="30"/>
  <c r="CT15" i="30"/>
  <c r="CP15" i="30"/>
  <c r="CN15" i="30"/>
  <c r="CL15" i="30"/>
  <c r="CH15" i="30"/>
  <c r="CF15" i="30"/>
  <c r="CF60" i="30" s="1"/>
  <c r="CD15" i="30"/>
  <c r="CD60" i="30" s="1"/>
  <c r="BK15" i="30"/>
  <c r="BI15" i="30"/>
  <c r="BC15" i="30"/>
  <c r="BA15" i="30"/>
  <c r="AT15" i="30"/>
  <c r="EA24" i="30"/>
  <c r="EA69" i="30" s="1"/>
  <c r="DZ24" i="30"/>
  <c r="DZ69" i="30" s="1"/>
  <c r="DY24" i="30"/>
  <c r="DY69" i="30" s="1"/>
  <c r="DU24" i="30"/>
  <c r="DU69" i="30" s="1"/>
  <c r="DS24" i="30"/>
  <c r="DS69" i="30" s="1"/>
  <c r="DR24" i="30"/>
  <c r="DR69" i="30" s="1"/>
  <c r="DQ24" i="30"/>
  <c r="DQ69" i="30" s="1"/>
  <c r="DM24" i="30"/>
  <c r="DM69" i="30" s="1"/>
  <c r="DK24" i="30"/>
  <c r="DK69" i="30" s="1"/>
  <c r="DJ24" i="30"/>
  <c r="DJ69" i="30" s="1"/>
  <c r="DI24" i="30"/>
  <c r="DI69" i="30" s="1"/>
  <c r="DE24" i="30"/>
  <c r="DE69" i="30" s="1"/>
  <c r="CW24" i="30"/>
  <c r="CW69" i="30" s="1"/>
  <c r="CS24" i="30"/>
  <c r="CS69" i="30" s="1"/>
  <c r="CO24" i="30"/>
  <c r="CO69" i="30" s="1"/>
  <c r="CG24" i="30"/>
  <c r="CG69" i="30" s="1"/>
  <c r="CD24" i="30"/>
  <c r="CD69" i="30" s="1"/>
  <c r="BS24" i="30"/>
  <c r="BR24" i="30"/>
  <c r="BO24" i="30"/>
  <c r="BK24" i="30"/>
  <c r="BJ24" i="30"/>
  <c r="BG24" i="30"/>
  <c r="BF24" i="30"/>
  <c r="BC24" i="30"/>
  <c r="BB24" i="30"/>
  <c r="AY24" i="30"/>
  <c r="EB23" i="30"/>
  <c r="EB68" i="30" s="1"/>
  <c r="EA23" i="30"/>
  <c r="EA68" i="30" s="1"/>
  <c r="DY23" i="30"/>
  <c r="DY68" i="30" s="1"/>
  <c r="DV23" i="30"/>
  <c r="DV68" i="30" s="1"/>
  <c r="DT23" i="30"/>
  <c r="DT68" i="30" s="1"/>
  <c r="DS23" i="30"/>
  <c r="DS68" i="30" s="1"/>
  <c r="DQ23" i="30"/>
  <c r="DQ68" i="30" s="1"/>
  <c r="DO23" i="30"/>
  <c r="DO68" i="30" s="1"/>
  <c r="DN23" i="30"/>
  <c r="DN68" i="30" s="1"/>
  <c r="DM23" i="30"/>
  <c r="DM68" i="30" s="1"/>
  <c r="DL23" i="30"/>
  <c r="DL68" i="30" s="1"/>
  <c r="DK23" i="30"/>
  <c r="DK68" i="30" s="1"/>
  <c r="DI23" i="30"/>
  <c r="DI68" i="30" s="1"/>
  <c r="DF23" i="30"/>
  <c r="DF68" i="30" s="1"/>
  <c r="DC23" i="30"/>
  <c r="DC56" i="30" s="1"/>
  <c r="CW23" i="30"/>
  <c r="CW68" i="30" s="1"/>
  <c r="CU23" i="30"/>
  <c r="CU68" i="30" s="1"/>
  <c r="CT23" i="30"/>
  <c r="CT68" i="30" s="1"/>
  <c r="CR23" i="30"/>
  <c r="CR68" i="30" s="1"/>
  <c r="CO23" i="30"/>
  <c r="CO68" i="30" s="1"/>
  <c r="CM23" i="30"/>
  <c r="CM68" i="30" s="1"/>
  <c r="CL23" i="30"/>
  <c r="CL68" i="30" s="1"/>
  <c r="CJ23" i="30"/>
  <c r="CJ68" i="30" s="1"/>
  <c r="CG23" i="30"/>
  <c r="CG68" i="30" s="1"/>
  <c r="CE23" i="30"/>
  <c r="CE68" i="30" s="1"/>
  <c r="CD23" i="30"/>
  <c r="CD68" i="30" s="1"/>
  <c r="CB23" i="30"/>
  <c r="CB68" i="30" s="1"/>
  <c r="BR23" i="30"/>
  <c r="BO23" i="30"/>
  <c r="BL23" i="30"/>
  <c r="BJ23" i="30"/>
  <c r="BG23" i="30"/>
  <c r="BE23" i="30"/>
  <c r="BD23" i="30"/>
  <c r="BB23" i="30"/>
  <c r="AY23" i="30"/>
  <c r="AV23" i="30"/>
  <c r="AT12" i="30"/>
  <c r="EB22" i="30"/>
  <c r="EB67" i="30" s="1"/>
  <c r="DZ22" i="30"/>
  <c r="DZ67" i="30" s="1"/>
  <c r="DY22" i="30"/>
  <c r="DY67" i="30" s="1"/>
  <c r="DW22" i="30"/>
  <c r="DW67" i="30" s="1"/>
  <c r="DT22" i="30"/>
  <c r="DT67" i="30" s="1"/>
  <c r="DR22" i="30"/>
  <c r="DR67" i="30" s="1"/>
  <c r="DQ22" i="30"/>
  <c r="DQ67" i="30" s="1"/>
  <c r="DO22" i="30"/>
  <c r="DO67" i="30" s="1"/>
  <c r="DN22" i="30"/>
  <c r="DN67" i="30" s="1"/>
  <c r="DL22" i="30"/>
  <c r="DL67" i="30" s="1"/>
  <c r="DJ22" i="30"/>
  <c r="DJ67" i="30" s="1"/>
  <c r="DI22" i="30"/>
  <c r="DI67" i="30" s="1"/>
  <c r="DG22" i="30"/>
  <c r="DG67" i="30" s="1"/>
  <c r="DC22" i="30"/>
  <c r="DC55" i="30" s="1"/>
  <c r="CX22" i="30"/>
  <c r="CX67" i="30" s="1"/>
  <c r="CW22" i="30"/>
  <c r="CW67" i="30" s="1"/>
  <c r="CV22" i="30"/>
  <c r="CV67" i="30" s="1"/>
  <c r="CU22" i="30"/>
  <c r="CU67" i="30" s="1"/>
  <c r="CP22" i="30"/>
  <c r="CP67" i="30" s="1"/>
  <c r="CO22" i="30"/>
  <c r="CO67" i="30" s="1"/>
  <c r="CN22" i="30"/>
  <c r="CN67" i="30" s="1"/>
  <c r="CM22" i="30"/>
  <c r="CM67" i="30" s="1"/>
  <c r="CJ22" i="30"/>
  <c r="CJ67" i="30" s="1"/>
  <c r="CH22" i="30"/>
  <c r="CH67" i="30" s="1"/>
  <c r="CG22" i="30"/>
  <c r="CG67" i="30" s="1"/>
  <c r="CF22" i="30"/>
  <c r="CF67" i="30" s="1"/>
  <c r="CE22" i="30"/>
  <c r="CE67" i="30" s="1"/>
  <c r="BS22" i="30"/>
  <c r="BR22" i="30"/>
  <c r="BQ22" i="30"/>
  <c r="BO22" i="30"/>
  <c r="BK22" i="30"/>
  <c r="BJ22" i="30"/>
  <c r="BI22" i="30"/>
  <c r="BG22" i="30"/>
  <c r="BE22" i="30"/>
  <c r="BC22" i="30"/>
  <c r="BB22" i="30"/>
  <c r="BA22" i="30"/>
  <c r="AY22" i="30"/>
  <c r="AW22" i="30"/>
  <c r="AT11" i="30"/>
  <c r="EB21" i="30"/>
  <c r="EB66" i="30" s="1"/>
  <c r="DZ21" i="30"/>
  <c r="DZ66" i="30" s="1"/>
  <c r="DX21" i="30"/>
  <c r="DX66" i="30" s="1"/>
  <c r="DV21" i="30"/>
  <c r="DV66" i="30" s="1"/>
  <c r="DU21" i="30"/>
  <c r="DU66" i="30" s="1"/>
  <c r="DT21" i="30"/>
  <c r="DT66" i="30" s="1"/>
  <c r="DR21" i="30"/>
  <c r="DR66" i="30" s="1"/>
  <c r="DP21" i="30"/>
  <c r="DP66" i="30" s="1"/>
  <c r="DN21" i="30"/>
  <c r="DN66" i="30" s="1"/>
  <c r="DM21" i="30"/>
  <c r="DM66" i="30" s="1"/>
  <c r="DL21" i="30"/>
  <c r="DL66" i="30" s="1"/>
  <c r="DJ21" i="30"/>
  <c r="DJ66" i="30" s="1"/>
  <c r="DH21" i="30"/>
  <c r="DH66" i="30" s="1"/>
  <c r="DF21" i="30"/>
  <c r="DF66" i="30" s="1"/>
  <c r="DE21" i="30"/>
  <c r="DE66" i="30" s="1"/>
  <c r="DC43" i="30"/>
  <c r="CX21" i="30"/>
  <c r="CX66" i="30" s="1"/>
  <c r="CV21" i="30"/>
  <c r="CV66" i="30" s="1"/>
  <c r="CT21" i="30"/>
  <c r="CT66" i="30" s="1"/>
  <c r="CR21" i="30"/>
  <c r="CR66" i="30" s="1"/>
  <c r="CP21" i="30"/>
  <c r="CP66" i="30" s="1"/>
  <c r="CN21" i="30"/>
  <c r="CN66" i="30" s="1"/>
  <c r="CL21" i="30"/>
  <c r="CL66" i="30" s="1"/>
  <c r="CJ21" i="30"/>
  <c r="CJ66" i="30" s="1"/>
  <c r="CH21" i="30"/>
  <c r="CH66" i="30" s="1"/>
  <c r="CF21" i="30"/>
  <c r="CF66" i="30" s="1"/>
  <c r="CD21" i="30"/>
  <c r="CD66" i="30" s="1"/>
  <c r="CB21" i="30"/>
  <c r="CB66" i="30" s="1"/>
  <c r="BZ32" i="30"/>
  <c r="BS21" i="30"/>
  <c r="BQ21" i="30"/>
  <c r="BO21" i="30"/>
  <c r="BM21" i="30"/>
  <c r="BK21" i="30"/>
  <c r="BI21" i="30"/>
  <c r="BG21" i="30"/>
  <c r="BC21" i="30"/>
  <c r="BA21" i="30"/>
  <c r="AY21" i="30"/>
  <c r="AW21" i="30"/>
  <c r="EB20" i="30"/>
  <c r="EB65" i="30" s="1"/>
  <c r="EA20" i="30"/>
  <c r="EA65" i="30" s="1"/>
  <c r="DX20" i="30"/>
  <c r="DX65" i="30" s="1"/>
  <c r="DV20" i="30"/>
  <c r="DV65" i="30" s="1"/>
  <c r="DU20" i="30"/>
  <c r="DU65" i="30" s="1"/>
  <c r="DT20" i="30"/>
  <c r="DT65" i="30" s="1"/>
  <c r="DS20" i="30"/>
  <c r="DS65" i="30" s="1"/>
  <c r="DN20" i="30"/>
  <c r="DN65" i="30" s="1"/>
  <c r="DM20" i="30"/>
  <c r="DM65" i="30" s="1"/>
  <c r="DL20" i="30"/>
  <c r="DL65" i="30" s="1"/>
  <c r="DK20" i="30"/>
  <c r="DK65" i="30" s="1"/>
  <c r="DF20" i="30"/>
  <c r="DF65" i="30" s="1"/>
  <c r="DE20" i="30"/>
  <c r="DE65" i="30" s="1"/>
  <c r="CY20" i="30"/>
  <c r="CY65" i="30" s="1"/>
  <c r="CX20" i="30"/>
  <c r="CX65" i="30" s="1"/>
  <c r="CS20" i="30"/>
  <c r="CS65" i="30" s="1"/>
  <c r="CR20" i="30"/>
  <c r="CR65" i="30" s="1"/>
  <c r="CQ20" i="30"/>
  <c r="CQ65" i="30" s="1"/>
  <c r="CP20" i="30"/>
  <c r="CP65" i="30" s="1"/>
  <c r="CK20" i="30"/>
  <c r="CK65" i="30" s="1"/>
  <c r="CJ20" i="30"/>
  <c r="CJ65" i="30" s="1"/>
  <c r="CI20" i="30"/>
  <c r="CI65" i="30" s="1"/>
  <c r="CH20" i="30"/>
  <c r="CH65" i="30" s="1"/>
  <c r="CC20" i="30"/>
  <c r="CC65" i="30" s="1"/>
  <c r="CB20" i="30"/>
  <c r="CB65" i="30" s="1"/>
  <c r="BZ42" i="30"/>
  <c r="BS20" i="30"/>
  <c r="BQ20" i="30"/>
  <c r="BO20" i="30"/>
  <c r="BN20" i="30"/>
  <c r="BM20" i="30"/>
  <c r="BL20" i="30"/>
  <c r="BK20" i="30"/>
  <c r="BI20" i="30"/>
  <c r="BG20" i="30"/>
  <c r="BE20" i="30"/>
  <c r="BD20" i="30"/>
  <c r="BC20" i="30"/>
  <c r="BA20" i="30"/>
  <c r="AY20" i="30"/>
  <c r="AW20" i="30"/>
  <c r="AV20" i="30"/>
  <c r="AT9" i="30"/>
  <c r="EB19" i="30"/>
  <c r="EB64" i="30" s="1"/>
  <c r="DZ19" i="30"/>
  <c r="DZ64" i="30" s="1"/>
  <c r="DX19" i="30"/>
  <c r="DX64" i="30" s="1"/>
  <c r="DV19" i="30"/>
  <c r="DV64" i="30" s="1"/>
  <c r="DT19" i="30"/>
  <c r="DT64" i="30" s="1"/>
  <c r="DR19" i="30"/>
  <c r="DR64" i="30" s="1"/>
  <c r="DP19" i="30"/>
  <c r="DP64" i="30" s="1"/>
  <c r="DN19" i="30"/>
  <c r="DN64" i="30" s="1"/>
  <c r="DL19" i="30"/>
  <c r="DL64" i="30" s="1"/>
  <c r="DJ19" i="30"/>
  <c r="DJ64" i="30" s="1"/>
  <c r="DH19" i="30"/>
  <c r="DH64" i="30" s="1"/>
  <c r="DF19" i="30"/>
  <c r="DF64" i="30" s="1"/>
  <c r="DC30" i="30"/>
  <c r="DC94" i="30" s="1"/>
  <c r="CX19" i="30"/>
  <c r="CX64" i="30" s="1"/>
  <c r="CV19" i="30"/>
  <c r="CV64" i="30" s="1"/>
  <c r="CT19" i="30"/>
  <c r="CT64" i="30" s="1"/>
  <c r="CR19" i="30"/>
  <c r="CR64" i="30" s="1"/>
  <c r="CP19" i="30"/>
  <c r="CP64" i="30" s="1"/>
  <c r="CN19" i="30"/>
  <c r="CN64" i="30" s="1"/>
  <c r="CL19" i="30"/>
  <c r="CL64" i="30" s="1"/>
  <c r="CJ19" i="30"/>
  <c r="CJ64" i="30" s="1"/>
  <c r="CH19" i="30"/>
  <c r="CH64" i="30" s="1"/>
  <c r="CF19" i="30"/>
  <c r="CF64" i="30" s="1"/>
  <c r="CD19" i="30"/>
  <c r="CD64" i="30" s="1"/>
  <c r="CB19" i="30"/>
  <c r="CB64" i="30" s="1"/>
  <c r="BZ64" i="30"/>
  <c r="BS19" i="30"/>
  <c r="BR19" i="30"/>
  <c r="BQ19" i="30"/>
  <c r="BO19" i="30"/>
  <c r="BM19" i="30"/>
  <c r="BK19" i="30"/>
  <c r="BJ19" i="30"/>
  <c r="BI19" i="30"/>
  <c r="BG19" i="30"/>
  <c r="BE19" i="30"/>
  <c r="BC19" i="30"/>
  <c r="BB19" i="30"/>
  <c r="BA19" i="30"/>
  <c r="AY19" i="30"/>
  <c r="AW19" i="30"/>
  <c r="EA18" i="30"/>
  <c r="EA63" i="30" s="1"/>
  <c r="DY18" i="30"/>
  <c r="DY63" i="30" s="1"/>
  <c r="DW18" i="30"/>
  <c r="DW63" i="30" s="1"/>
  <c r="DU18" i="30"/>
  <c r="DU63" i="30" s="1"/>
  <c r="DS18" i="30"/>
  <c r="DS63" i="30" s="1"/>
  <c r="DQ18" i="30"/>
  <c r="DQ63" i="30" s="1"/>
  <c r="DO18" i="30"/>
  <c r="DO63" i="30" s="1"/>
  <c r="DM18" i="30"/>
  <c r="DM63" i="30" s="1"/>
  <c r="DL18" i="30"/>
  <c r="DL63" i="30" s="1"/>
  <c r="DK18" i="30"/>
  <c r="DK63" i="30" s="1"/>
  <c r="DI18" i="30"/>
  <c r="DI63" i="30" s="1"/>
  <c r="DG18" i="30"/>
  <c r="DG63" i="30" s="1"/>
  <c r="DE18" i="30"/>
  <c r="DE63" i="30" s="1"/>
  <c r="CY18" i="30"/>
  <c r="CY63" i="30" s="1"/>
  <c r="CW18" i="30"/>
  <c r="CW63" i="30" s="1"/>
  <c r="CU18" i="30"/>
  <c r="CU63" i="30" s="1"/>
  <c r="CS18" i="30"/>
  <c r="CS63" i="30" s="1"/>
  <c r="CR18" i="30"/>
  <c r="CR63" i="30" s="1"/>
  <c r="CQ18" i="30"/>
  <c r="CQ63" i="30" s="1"/>
  <c r="CO18" i="30"/>
  <c r="CO63" i="30" s="1"/>
  <c r="CM18" i="30"/>
  <c r="CM63" i="30" s="1"/>
  <c r="CK18" i="30"/>
  <c r="CK63" i="30" s="1"/>
  <c r="CJ18" i="30"/>
  <c r="CJ63" i="30" s="1"/>
  <c r="CI18" i="30"/>
  <c r="CI63" i="30" s="1"/>
  <c r="CG18" i="30"/>
  <c r="CG63" i="30" s="1"/>
  <c r="CE18" i="30"/>
  <c r="CE63" i="30" s="1"/>
  <c r="CC18" i="30"/>
  <c r="CC63" i="30" s="1"/>
  <c r="CB18" i="30"/>
  <c r="CB63" i="30" s="1"/>
  <c r="BZ29" i="30"/>
  <c r="BZ93" i="30" s="1"/>
  <c r="BR18" i="30"/>
  <c r="BM18" i="30"/>
  <c r="BL18" i="30"/>
  <c r="BJ18" i="30"/>
  <c r="BE18" i="30"/>
  <c r="BD18" i="30"/>
  <c r="BB18" i="30"/>
  <c r="AW18" i="30"/>
  <c r="AV18" i="30"/>
  <c r="EB17" i="30"/>
  <c r="EB62" i="30" s="1"/>
  <c r="EA17" i="30"/>
  <c r="EA62" i="30" s="1"/>
  <c r="DY17" i="30"/>
  <c r="DY62" i="30" s="1"/>
  <c r="DW17" i="30"/>
  <c r="DW62" i="30" s="1"/>
  <c r="DU17" i="30"/>
  <c r="DU62" i="30" s="1"/>
  <c r="DT17" i="30"/>
  <c r="DT62" i="30" s="1"/>
  <c r="DQ17" i="30"/>
  <c r="DQ62" i="30" s="1"/>
  <c r="DO17" i="30"/>
  <c r="DO62" i="30" s="1"/>
  <c r="DL17" i="30"/>
  <c r="DL62" i="30" s="1"/>
  <c r="DI17" i="30"/>
  <c r="DI62" i="30" s="1"/>
  <c r="DG17" i="30"/>
  <c r="DG62" i="30" s="1"/>
  <c r="DC17" i="30"/>
  <c r="DC50" i="30" s="1"/>
  <c r="CU17" i="30"/>
  <c r="CS17" i="30"/>
  <c r="CR17" i="30"/>
  <c r="CM17" i="30"/>
  <c r="CK17" i="30"/>
  <c r="CJ17" i="30"/>
  <c r="CE17" i="30"/>
  <c r="CE62" i="30" s="1"/>
  <c r="CC17" i="30"/>
  <c r="CB17" i="30"/>
  <c r="CB62" i="30" s="1"/>
  <c r="BR17" i="30"/>
  <c r="BM17" i="30"/>
  <c r="BL17" i="30"/>
  <c r="BJ17" i="30"/>
  <c r="BE17" i="30"/>
  <c r="BD17" i="30"/>
  <c r="BB17" i="30"/>
  <c r="AW17" i="30"/>
  <c r="AV17" i="30"/>
  <c r="EA16" i="30"/>
  <c r="EA61" i="30" s="1"/>
  <c r="DY16" i="30"/>
  <c r="DY61" i="30" s="1"/>
  <c r="DW16" i="30"/>
  <c r="DW61" i="30" s="1"/>
  <c r="DU16" i="30"/>
  <c r="DU61" i="30" s="1"/>
  <c r="DS16" i="30"/>
  <c r="DS61" i="30" s="1"/>
  <c r="DQ16" i="30"/>
  <c r="DQ61" i="30" s="1"/>
  <c r="DO16" i="30"/>
  <c r="DO61" i="30" s="1"/>
  <c r="DM16" i="30"/>
  <c r="DM61" i="30" s="1"/>
  <c r="DL16" i="30"/>
  <c r="DL61" i="30" s="1"/>
  <c r="DK16" i="30"/>
  <c r="DK61" i="30" s="1"/>
  <c r="DI16" i="30"/>
  <c r="DI61" i="30" s="1"/>
  <c r="DG16" i="30"/>
  <c r="DG61" i="30" s="1"/>
  <c r="DE16" i="30"/>
  <c r="DE61" i="30" s="1"/>
  <c r="CW16" i="30"/>
  <c r="CU16" i="30"/>
  <c r="CS16" i="30"/>
  <c r="CO16" i="30"/>
  <c r="CM16" i="30"/>
  <c r="CK16" i="30"/>
  <c r="CG16" i="30"/>
  <c r="CE16" i="30"/>
  <c r="CE61" i="30" s="1"/>
  <c r="CE107" i="30" s="1"/>
  <c r="CC16" i="30"/>
  <c r="CC61" i="30" s="1"/>
  <c r="CC107" i="30" s="1"/>
  <c r="BZ16" i="30"/>
  <c r="BZ49" i="30" s="1"/>
  <c r="BR16" i="30"/>
  <c r="BM16" i="30"/>
  <c r="BJ16" i="30"/>
  <c r="BH16" i="30"/>
  <c r="BE16" i="30"/>
  <c r="BB16" i="30"/>
  <c r="AZ16" i="30"/>
  <c r="AW16" i="30"/>
  <c r="AT5" i="30"/>
  <c r="EB15" i="30"/>
  <c r="EB60" i="30" s="1"/>
  <c r="EA15" i="30"/>
  <c r="EA60" i="30" s="1"/>
  <c r="DY15" i="30"/>
  <c r="DY60" i="30" s="1"/>
  <c r="DT15" i="30"/>
  <c r="DT60" i="30" s="1"/>
  <c r="DS15" i="30"/>
  <c r="DS60" i="30" s="1"/>
  <c r="DQ15" i="30"/>
  <c r="DQ60" i="30" s="1"/>
  <c r="DL15" i="30"/>
  <c r="DL60" i="30" s="1"/>
  <c r="DK15" i="30"/>
  <c r="DK60" i="30" s="1"/>
  <c r="DI15" i="30"/>
  <c r="DI60" i="30" s="1"/>
  <c r="DG15" i="30"/>
  <c r="DG60" i="30" s="1"/>
  <c r="DC60" i="30"/>
  <c r="CU15" i="30"/>
  <c r="CM15" i="30"/>
  <c r="CE15" i="30"/>
  <c r="CE60" i="30" s="1"/>
  <c r="CB15" i="30"/>
  <c r="CB60" i="30" s="1"/>
  <c r="BP15" i="30"/>
  <c r="BN15" i="30"/>
  <c r="BM15" i="30"/>
  <c r="BL15" i="30"/>
  <c r="BH15" i="30"/>
  <c r="BF15" i="30"/>
  <c r="BE15" i="30"/>
  <c r="BD15" i="30"/>
  <c r="AX15" i="30"/>
  <c r="AW15" i="30"/>
  <c r="AV15" i="30"/>
  <c r="DD2" i="30"/>
  <c r="DD120" i="33" s="1"/>
  <c r="CA2" i="30"/>
  <c r="CA120" i="33" s="1"/>
  <c r="AZ4" i="29"/>
  <c r="AY4" i="29"/>
  <c r="AX4" i="29"/>
  <c r="AW4" i="29"/>
  <c r="BD4" i="29" s="1"/>
  <c r="BE4" i="29" s="1"/>
  <c r="AV4" i="29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T166" i="29"/>
  <c r="S166" i="29"/>
  <c r="R166" i="29"/>
  <c r="R47" i="29" s="1"/>
  <c r="Q166" i="29"/>
  <c r="P166" i="29"/>
  <c r="O166" i="29"/>
  <c r="N166" i="29"/>
  <c r="M166" i="29"/>
  <c r="L166" i="29"/>
  <c r="K166" i="29"/>
  <c r="J166" i="29"/>
  <c r="J46" i="29" s="1"/>
  <c r="I166" i="29"/>
  <c r="I47" i="29" s="1"/>
  <c r="H166" i="29"/>
  <c r="G166" i="29"/>
  <c r="F166" i="29"/>
  <c r="E166" i="29"/>
  <c r="D166" i="29"/>
  <c r="C166" i="29"/>
  <c r="AA162" i="29"/>
  <c r="S162" i="29" s="1"/>
  <c r="AA161" i="29"/>
  <c r="T161" i="29" s="1"/>
  <c r="AA160" i="29"/>
  <c r="T160" i="29" s="1"/>
  <c r="AA159" i="29"/>
  <c r="X159" i="29" s="1"/>
  <c r="AA158" i="29"/>
  <c r="S158" i="29" s="1"/>
  <c r="AA157" i="29"/>
  <c r="T157" i="29" s="1"/>
  <c r="G157" i="29"/>
  <c r="E157" i="29"/>
  <c r="AA156" i="29"/>
  <c r="T156" i="29" s="1"/>
  <c r="G156" i="29"/>
  <c r="AA155" i="29"/>
  <c r="X155" i="29" s="1"/>
  <c r="AA154" i="29"/>
  <c r="S154" i="29" s="1"/>
  <c r="AA153" i="29"/>
  <c r="T153" i="29" s="1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Z26" i="29" s="1"/>
  <c r="Y123" i="29"/>
  <c r="X123" i="29"/>
  <c r="W123" i="29"/>
  <c r="V123" i="29"/>
  <c r="U123" i="29"/>
  <c r="T123" i="29"/>
  <c r="S123" i="29"/>
  <c r="R123" i="29"/>
  <c r="R26" i="29" s="1"/>
  <c r="R30" i="29" s="1"/>
  <c r="Q123" i="29"/>
  <c r="P123" i="29"/>
  <c r="O123" i="29"/>
  <c r="N123" i="29"/>
  <c r="M123" i="29"/>
  <c r="L123" i="29"/>
  <c r="K123" i="29"/>
  <c r="J123" i="29"/>
  <c r="J26" i="29" s="1"/>
  <c r="J30" i="29" s="1"/>
  <c r="I123" i="29"/>
  <c r="H123" i="29"/>
  <c r="G123" i="29"/>
  <c r="F123" i="29"/>
  <c r="E123" i="29"/>
  <c r="D123" i="29"/>
  <c r="C123" i="29"/>
  <c r="AA118" i="29"/>
  <c r="AA117" i="29"/>
  <c r="T117" i="29" s="1"/>
  <c r="U117" i="29"/>
  <c r="O117" i="29"/>
  <c r="K117" i="29"/>
  <c r="AA116" i="29"/>
  <c r="T116" i="29" s="1"/>
  <c r="E116" i="29"/>
  <c r="AA115" i="29"/>
  <c r="X115" i="29" s="1"/>
  <c r="AA114" i="29"/>
  <c r="S114" i="29" s="1"/>
  <c r="AA113" i="29"/>
  <c r="T113" i="29" s="1"/>
  <c r="C113" i="29"/>
  <c r="AA112" i="29"/>
  <c r="T112" i="29" s="1"/>
  <c r="AA111" i="29"/>
  <c r="Y111" i="29" s="1"/>
  <c r="AA110" i="29"/>
  <c r="U110" i="29" s="1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Z84" i="29"/>
  <c r="Y84" i="29"/>
  <c r="X84" i="29"/>
  <c r="W84" i="29"/>
  <c r="V84" i="29"/>
  <c r="U84" i="29"/>
  <c r="T84" i="29"/>
  <c r="S84" i="29"/>
  <c r="R84" i="29"/>
  <c r="Q84" i="29"/>
  <c r="P84" i="29"/>
  <c r="O84" i="29"/>
  <c r="N84" i="29"/>
  <c r="M84" i="29"/>
  <c r="L84" i="29"/>
  <c r="K84" i="29"/>
  <c r="J84" i="29"/>
  <c r="I84" i="29"/>
  <c r="H84" i="29"/>
  <c r="G84" i="29"/>
  <c r="F84" i="29"/>
  <c r="E84" i="29"/>
  <c r="D84" i="29"/>
  <c r="C84" i="29"/>
  <c r="Z83" i="29"/>
  <c r="Y83" i="29"/>
  <c r="X83" i="29"/>
  <c r="W83" i="29"/>
  <c r="V83" i="29"/>
  <c r="U83" i="29"/>
  <c r="T83" i="29"/>
  <c r="S83" i="29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D83" i="29"/>
  <c r="C83" i="29"/>
  <c r="Z82" i="29"/>
  <c r="Y82" i="29"/>
  <c r="X82" i="29"/>
  <c r="W82" i="29"/>
  <c r="V82" i="29"/>
  <c r="U82" i="29"/>
  <c r="T82" i="29"/>
  <c r="S82" i="29"/>
  <c r="R82" i="29"/>
  <c r="Q82" i="29"/>
  <c r="P82" i="29"/>
  <c r="O82" i="29"/>
  <c r="N82" i="29"/>
  <c r="M82" i="29"/>
  <c r="L82" i="29"/>
  <c r="K82" i="29"/>
  <c r="J82" i="29"/>
  <c r="I82" i="29"/>
  <c r="H82" i="29"/>
  <c r="G82" i="29"/>
  <c r="F82" i="29"/>
  <c r="E82" i="29"/>
  <c r="D82" i="29"/>
  <c r="C82" i="29"/>
  <c r="Z81" i="29"/>
  <c r="Y81" i="29"/>
  <c r="X81" i="29"/>
  <c r="W81" i="29"/>
  <c r="V81" i="29"/>
  <c r="U81" i="29"/>
  <c r="T81" i="29"/>
  <c r="S81" i="29"/>
  <c r="R81" i="29"/>
  <c r="Q81" i="29"/>
  <c r="P81" i="29"/>
  <c r="O81" i="29"/>
  <c r="N81" i="29"/>
  <c r="M81" i="29"/>
  <c r="L81" i="29"/>
  <c r="K81" i="29"/>
  <c r="J81" i="29"/>
  <c r="J5" i="29" s="1"/>
  <c r="I81" i="29"/>
  <c r="H81" i="29"/>
  <c r="G81" i="29"/>
  <c r="F81" i="29"/>
  <c r="E81" i="29"/>
  <c r="D81" i="29"/>
  <c r="C81" i="29"/>
  <c r="AA77" i="29"/>
  <c r="Y77" i="29" s="1"/>
  <c r="AA76" i="29"/>
  <c r="Y76" i="29" s="1"/>
  <c r="AA75" i="29"/>
  <c r="Z75" i="29" s="1"/>
  <c r="U75" i="29"/>
  <c r="S75" i="29"/>
  <c r="Q75" i="29"/>
  <c r="O75" i="29"/>
  <c r="M75" i="29"/>
  <c r="I75" i="29"/>
  <c r="G75" i="29"/>
  <c r="F75" i="29"/>
  <c r="E75" i="29"/>
  <c r="AA74" i="29"/>
  <c r="Y74" i="29" s="1"/>
  <c r="AA73" i="29"/>
  <c r="Z73" i="29" s="1"/>
  <c r="AA72" i="29"/>
  <c r="Y72" i="29" s="1"/>
  <c r="AA71" i="29"/>
  <c r="V71" i="29" s="1"/>
  <c r="AA70" i="29"/>
  <c r="C70" i="29" s="1"/>
  <c r="B165" i="29"/>
  <c r="B122" i="29"/>
  <c r="B80" i="29"/>
  <c r="AH22" i="29"/>
  <c r="AK22" i="29" s="1"/>
  <c r="AE22" i="29"/>
  <c r="AD13" i="29"/>
  <c r="AD14" i="29" s="1"/>
  <c r="T233" i="31" s="1"/>
  <c r="T271" i="31" s="1"/>
  <c r="S47" i="29"/>
  <c r="V46" i="29"/>
  <c r="K46" i="29"/>
  <c r="C40" i="29"/>
  <c r="C27" i="29" s="1"/>
  <c r="K25" i="29"/>
  <c r="C25" i="29"/>
  <c r="C20" i="29"/>
  <c r="C4" i="29"/>
  <c r="L125" i="28"/>
  <c r="L124" i="28"/>
  <c r="L123" i="28"/>
  <c r="L122" i="28"/>
  <c r="L121" i="28"/>
  <c r="L120" i="28"/>
  <c r="L119" i="28"/>
  <c r="L118" i="28"/>
  <c r="L117" i="28"/>
  <c r="L116" i="28"/>
  <c r="L115" i="28"/>
  <c r="L114" i="28"/>
  <c r="L113" i="28"/>
  <c r="L112" i="28"/>
  <c r="L111" i="28"/>
  <c r="L110" i="28"/>
  <c r="L109" i="28"/>
  <c r="L108" i="28"/>
  <c r="L107" i="28"/>
  <c r="L106" i="28"/>
  <c r="L105" i="28"/>
  <c r="L104" i="28"/>
  <c r="L103" i="28"/>
  <c r="L102" i="28"/>
  <c r="L101" i="28"/>
  <c r="L100" i="28"/>
  <c r="L99" i="28"/>
  <c r="L98" i="28"/>
  <c r="L97" i="28"/>
  <c r="L96" i="28"/>
  <c r="K81" i="28"/>
  <c r="C48" i="33" s="1"/>
  <c r="D48" i="33" s="1"/>
  <c r="K78" i="28"/>
  <c r="C45" i="33" s="1"/>
  <c r="D45" i="33" s="1"/>
  <c r="K75" i="28"/>
  <c r="C42" i="33" s="1"/>
  <c r="D42" i="33" s="1"/>
  <c r="K65" i="28"/>
  <c r="C34" i="33" s="1"/>
  <c r="D34" i="33" s="1"/>
  <c r="K60" i="28"/>
  <c r="C30" i="33" s="1"/>
  <c r="D30" i="33" s="1"/>
  <c r="K53" i="28"/>
  <c r="AO171" i="28"/>
  <c r="S207" i="28"/>
  <c r="R207" i="28"/>
  <c r="S206" i="28"/>
  <c r="R206" i="28"/>
  <c r="S205" i="28"/>
  <c r="R205" i="28"/>
  <c r="S204" i="28"/>
  <c r="R204" i="28"/>
  <c r="S203" i="28"/>
  <c r="R203" i="28"/>
  <c r="S202" i="28"/>
  <c r="R202" i="28"/>
  <c r="S201" i="28"/>
  <c r="R201" i="28"/>
  <c r="S200" i="28"/>
  <c r="R200" i="28"/>
  <c r="S199" i="28"/>
  <c r="R199" i="28"/>
  <c r="S198" i="28"/>
  <c r="R198" i="28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S180" i="28"/>
  <c r="R180" i="28"/>
  <c r="S179" i="28"/>
  <c r="R179" i="28"/>
  <c r="S178" i="28"/>
  <c r="R178" i="28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U33" i="28"/>
  <c r="T33" i="28"/>
  <c r="W33" i="28" s="1"/>
  <c r="U32" i="28"/>
  <c r="T32" i="28"/>
  <c r="U31" i="28"/>
  <c r="T31" i="28"/>
  <c r="Z31" i="28" s="1"/>
  <c r="U30" i="28"/>
  <c r="T30" i="28"/>
  <c r="U29" i="28"/>
  <c r="T29" i="28"/>
  <c r="Z29" i="28" s="1"/>
  <c r="U28" i="28"/>
  <c r="T28" i="28"/>
  <c r="AB28" i="28" s="1"/>
  <c r="U27" i="28"/>
  <c r="T27" i="28"/>
  <c r="AB27" i="28" s="1"/>
  <c r="U26" i="28"/>
  <c r="T26" i="28"/>
  <c r="AC26" i="28" s="1"/>
  <c r="U25" i="28"/>
  <c r="T25" i="28"/>
  <c r="AA25" i="28" s="1"/>
  <c r="U24" i="28"/>
  <c r="T24" i="28"/>
  <c r="K71" i="28"/>
  <c r="C39" i="33" s="1"/>
  <c r="D39" i="33" s="1"/>
  <c r="K72" i="28"/>
  <c r="C40" i="33" s="1"/>
  <c r="D40" i="33" s="1"/>
  <c r="K11" i="28"/>
  <c r="K10" i="28"/>
  <c r="C9" i="33" s="1"/>
  <c r="D9" i="33" s="1"/>
  <c r="W136" i="31" l="1"/>
  <c r="AG127" i="31"/>
  <c r="AG130" i="31"/>
  <c r="AG142" i="31"/>
  <c r="AG133" i="31"/>
  <c r="AG139" i="31"/>
  <c r="AG145" i="31"/>
  <c r="AG136" i="31"/>
  <c r="W133" i="31"/>
  <c r="U133" i="31"/>
  <c r="U137" i="31"/>
  <c r="U132" i="31"/>
  <c r="U136" i="31"/>
  <c r="U135" i="31"/>
  <c r="K113" i="31" s="1"/>
  <c r="U134" i="31"/>
  <c r="AF145" i="31"/>
  <c r="AF127" i="31"/>
  <c r="AF142" i="31"/>
  <c r="AF136" i="31"/>
  <c r="AF130" i="31"/>
  <c r="AF133" i="31"/>
  <c r="AF139" i="31"/>
  <c r="D16" i="30"/>
  <c r="CX91" i="30"/>
  <c r="S3" i="29"/>
  <c r="D225" i="33"/>
  <c r="D239" i="33"/>
  <c r="D223" i="33"/>
  <c r="D224" i="33"/>
  <c r="I220" i="33"/>
  <c r="I221" i="33" s="1"/>
  <c r="Z165" i="28"/>
  <c r="AC165" i="28" s="1"/>
  <c r="Y165" i="28"/>
  <c r="AB165" i="28" s="1"/>
  <c r="T165" i="28"/>
  <c r="X165" i="28"/>
  <c r="AA165" i="28" s="1"/>
  <c r="Y165" i="31"/>
  <c r="AB165" i="31" s="1"/>
  <c r="X165" i="31"/>
  <c r="AA165" i="31" s="1"/>
  <c r="T165" i="31"/>
  <c r="V165" i="31" s="1"/>
  <c r="Z165" i="31"/>
  <c r="AC165" i="31" s="1"/>
  <c r="T169" i="28"/>
  <c r="AF169" i="28" s="1"/>
  <c r="X169" i="28"/>
  <c r="AA169" i="28" s="1"/>
  <c r="Z169" i="28"/>
  <c r="AC169" i="28" s="1"/>
  <c r="Y169" i="28"/>
  <c r="AB169" i="28" s="1"/>
  <c r="T170" i="28"/>
  <c r="U170" i="28" s="1"/>
  <c r="Z170" i="28"/>
  <c r="AC170" i="28" s="1"/>
  <c r="Y170" i="28"/>
  <c r="AB170" i="28" s="1"/>
  <c r="X170" i="28"/>
  <c r="AA170" i="28" s="1"/>
  <c r="T169" i="31"/>
  <c r="AI169" i="31" s="1"/>
  <c r="Z169" i="31"/>
  <c r="AC169" i="31" s="1"/>
  <c r="Y169" i="31"/>
  <c r="AB169" i="31" s="1"/>
  <c r="X169" i="31"/>
  <c r="AA169" i="31" s="1"/>
  <c r="Y170" i="31"/>
  <c r="AB170" i="31" s="1"/>
  <c r="T170" i="31"/>
  <c r="U170" i="31" s="1"/>
  <c r="X170" i="31"/>
  <c r="AA170" i="31" s="1"/>
  <c r="Z170" i="31"/>
  <c r="AC170" i="31" s="1"/>
  <c r="Z167" i="31"/>
  <c r="AC167" i="31" s="1"/>
  <c r="T167" i="31"/>
  <c r="Y167" i="31"/>
  <c r="AB167" i="31" s="1"/>
  <c r="X167" i="31"/>
  <c r="AA167" i="31" s="1"/>
  <c r="T167" i="28"/>
  <c r="Z167" i="28"/>
  <c r="AC167" i="28" s="1"/>
  <c r="Y167" i="28"/>
  <c r="AB167" i="28" s="1"/>
  <c r="X167" i="28"/>
  <c r="AA167" i="28" s="1"/>
  <c r="Y168" i="28"/>
  <c r="AB168" i="28" s="1"/>
  <c r="T168" i="28"/>
  <c r="X168" i="28"/>
  <c r="AA168" i="28" s="1"/>
  <c r="Z168" i="28"/>
  <c r="AC168" i="28" s="1"/>
  <c r="T168" i="31"/>
  <c r="Z168" i="31"/>
  <c r="AC168" i="31" s="1"/>
  <c r="Y168" i="31"/>
  <c r="AB168" i="31" s="1"/>
  <c r="X168" i="31"/>
  <c r="AA168" i="31" s="1"/>
  <c r="Z166" i="28"/>
  <c r="AC166" i="28" s="1"/>
  <c r="T166" i="28"/>
  <c r="Y166" i="28"/>
  <c r="AB166" i="28" s="1"/>
  <c r="X166" i="28"/>
  <c r="AA166" i="28" s="1"/>
  <c r="Z166" i="31"/>
  <c r="AC166" i="31" s="1"/>
  <c r="Y166" i="31"/>
  <c r="AB166" i="31" s="1"/>
  <c r="X166" i="31"/>
  <c r="AA166" i="31" s="1"/>
  <c r="T166" i="31"/>
  <c r="Z164" i="31"/>
  <c r="AC164" i="31" s="1"/>
  <c r="Y164" i="31"/>
  <c r="AB164" i="31" s="1"/>
  <c r="T164" i="31"/>
  <c r="U164" i="31" s="1"/>
  <c r="X164" i="31"/>
  <c r="AA164" i="31" s="1"/>
  <c r="T164" i="28"/>
  <c r="Z164" i="28"/>
  <c r="AC164" i="28" s="1"/>
  <c r="Y164" i="28"/>
  <c r="AB164" i="28" s="1"/>
  <c r="X164" i="28"/>
  <c r="AA164" i="28" s="1"/>
  <c r="Z188" i="28"/>
  <c r="AC188" i="28" s="1"/>
  <c r="Y188" i="28"/>
  <c r="AB188" i="28" s="1"/>
  <c r="X188" i="28"/>
  <c r="AA188" i="28" s="1"/>
  <c r="T188" i="28"/>
  <c r="Z188" i="31"/>
  <c r="AC188" i="31" s="1"/>
  <c r="Y188" i="31"/>
  <c r="AB188" i="31" s="1"/>
  <c r="X188" i="31"/>
  <c r="AA188" i="31" s="1"/>
  <c r="T188" i="31"/>
  <c r="AF188" i="31" s="1"/>
  <c r="T187" i="31"/>
  <c r="Z187" i="31"/>
  <c r="AC187" i="31" s="1"/>
  <c r="Y187" i="31"/>
  <c r="AB187" i="31" s="1"/>
  <c r="X187" i="31"/>
  <c r="AA187" i="31" s="1"/>
  <c r="X186" i="28"/>
  <c r="AA186" i="28" s="1"/>
  <c r="Z186" i="28"/>
  <c r="AC186" i="28" s="1"/>
  <c r="Y186" i="28"/>
  <c r="AB186" i="28" s="1"/>
  <c r="T186" i="28"/>
  <c r="Z187" i="28"/>
  <c r="AC187" i="28" s="1"/>
  <c r="T187" i="28"/>
  <c r="Y187" i="28"/>
  <c r="AB187" i="28" s="1"/>
  <c r="X187" i="28"/>
  <c r="AA187" i="28" s="1"/>
  <c r="Y186" i="31"/>
  <c r="AB186" i="31" s="1"/>
  <c r="X186" i="31"/>
  <c r="AA186" i="31" s="1"/>
  <c r="Z186" i="31"/>
  <c r="AC186" i="31" s="1"/>
  <c r="T186" i="31"/>
  <c r="W186" i="31" s="1"/>
  <c r="T189" i="28"/>
  <c r="Z189" i="28"/>
  <c r="AC189" i="28" s="1"/>
  <c r="Y189" i="28"/>
  <c r="AB189" i="28" s="1"/>
  <c r="X189" i="28"/>
  <c r="AA189" i="28" s="1"/>
  <c r="T189" i="31"/>
  <c r="V189" i="31" s="1"/>
  <c r="Z189" i="31"/>
  <c r="AC189" i="31" s="1"/>
  <c r="Y189" i="31"/>
  <c r="AB189" i="31" s="1"/>
  <c r="X189" i="31"/>
  <c r="AA189" i="31" s="1"/>
  <c r="Z192" i="31"/>
  <c r="AC192" i="31" s="1"/>
  <c r="Y192" i="31"/>
  <c r="AB192" i="31" s="1"/>
  <c r="X192" i="31"/>
  <c r="AA192" i="31" s="1"/>
  <c r="T192" i="31"/>
  <c r="T192" i="28"/>
  <c r="Z192" i="28"/>
  <c r="AC192" i="28" s="1"/>
  <c r="Y192" i="28"/>
  <c r="AB192" i="28" s="1"/>
  <c r="X192" i="28"/>
  <c r="AA192" i="28" s="1"/>
  <c r="Y191" i="28"/>
  <c r="AB191" i="28" s="1"/>
  <c r="T191" i="28"/>
  <c r="X191" i="28"/>
  <c r="AA191" i="28" s="1"/>
  <c r="Z191" i="28"/>
  <c r="AC191" i="28" s="1"/>
  <c r="T191" i="31"/>
  <c r="Z191" i="31"/>
  <c r="AC191" i="31" s="1"/>
  <c r="Y191" i="31"/>
  <c r="AB191" i="31" s="1"/>
  <c r="X191" i="31"/>
  <c r="AA191" i="31" s="1"/>
  <c r="X190" i="28"/>
  <c r="AA190" i="28" s="1"/>
  <c r="T190" i="28"/>
  <c r="U190" i="28" s="1"/>
  <c r="Z190" i="28"/>
  <c r="AC190" i="28" s="1"/>
  <c r="Y190" i="28"/>
  <c r="AB190" i="28" s="1"/>
  <c r="Y190" i="31"/>
  <c r="AB190" i="31" s="1"/>
  <c r="X190" i="31"/>
  <c r="AA190" i="31" s="1"/>
  <c r="Z190" i="31"/>
  <c r="AC190" i="31" s="1"/>
  <c r="T190" i="31"/>
  <c r="V190" i="31" s="1"/>
  <c r="CB90" i="30"/>
  <c r="CE90" i="30"/>
  <c r="CX92" i="30"/>
  <c r="AC24" i="28"/>
  <c r="S4" i="29"/>
  <c r="S20" i="29"/>
  <c r="AB171" i="28"/>
  <c r="AA171" i="28"/>
  <c r="AB171" i="31"/>
  <c r="AA171" i="31"/>
  <c r="AC171" i="31"/>
  <c r="K111" i="31"/>
  <c r="K110" i="31"/>
  <c r="CC91" i="30"/>
  <c r="CK91" i="30"/>
  <c r="CE91" i="30"/>
  <c r="CE92" i="30"/>
  <c r="CW90" i="30"/>
  <c r="CU90" i="30"/>
  <c r="CG15" i="30"/>
  <c r="CG60" i="30" s="1"/>
  <c r="Q71" i="29"/>
  <c r="P71" i="29"/>
  <c r="BK92" i="30"/>
  <c r="BS92" i="30"/>
  <c r="AV92" i="30"/>
  <c r="BD92" i="30"/>
  <c r="BL92" i="30"/>
  <c r="BC90" i="30"/>
  <c r="AX90" i="30"/>
  <c r="G71" i="29"/>
  <c r="P76" i="29"/>
  <c r="V28" i="31"/>
  <c r="Z47" i="29"/>
  <c r="W116" i="29"/>
  <c r="H6" i="31"/>
  <c r="CJ91" i="30"/>
  <c r="C117" i="29"/>
  <c r="U153" i="29"/>
  <c r="AT98" i="30"/>
  <c r="H4" i="31"/>
  <c r="E117" i="29"/>
  <c r="Z70" i="29"/>
  <c r="G117" i="29"/>
  <c r="J124" i="31"/>
  <c r="DW77" i="30"/>
  <c r="DW66" i="30"/>
  <c r="C182" i="33"/>
  <c r="D182" i="33" s="1"/>
  <c r="AJ215" i="33" s="1"/>
  <c r="X271" i="31"/>
  <c r="AC176" i="28"/>
  <c r="AA176" i="28"/>
  <c r="W176" i="28"/>
  <c r="AB176" i="28"/>
  <c r="I71" i="29"/>
  <c r="R75" i="29"/>
  <c r="Q76" i="29"/>
  <c r="W113" i="29"/>
  <c r="F116" i="29"/>
  <c r="Y116" i="29"/>
  <c r="F156" i="29"/>
  <c r="I46" i="29"/>
  <c r="Q47" i="29"/>
  <c r="Y47" i="29"/>
  <c r="CC62" i="30"/>
  <c r="DE75" i="30"/>
  <c r="DE64" i="30"/>
  <c r="BJ29" i="30"/>
  <c r="DO33" i="30"/>
  <c r="CH91" i="30"/>
  <c r="AC172" i="31"/>
  <c r="AB172" i="31"/>
  <c r="AA172" i="31"/>
  <c r="W172" i="31"/>
  <c r="AB176" i="31"/>
  <c r="AA176" i="31"/>
  <c r="AJ176" i="31"/>
  <c r="AC176" i="31"/>
  <c r="AC180" i="31"/>
  <c r="AA180" i="31"/>
  <c r="AB180" i="31"/>
  <c r="AB184" i="31"/>
  <c r="U184" i="31"/>
  <c r="AC184" i="31"/>
  <c r="AC196" i="31"/>
  <c r="AA196" i="31"/>
  <c r="AB196" i="31"/>
  <c r="W196" i="31"/>
  <c r="AB200" i="31"/>
  <c r="AA200" i="31"/>
  <c r="AF200" i="31"/>
  <c r="AC200" i="31"/>
  <c r="AC204" i="31"/>
  <c r="AA204" i="31"/>
  <c r="AB204" i="31"/>
  <c r="F16" i="30"/>
  <c r="AK191" i="33" s="1"/>
  <c r="AO191" i="33" s="1"/>
  <c r="AC184" i="28"/>
  <c r="AG184" i="28"/>
  <c r="AA184" i="28"/>
  <c r="AB184" i="28"/>
  <c r="AA204" i="28"/>
  <c r="AC204" i="28"/>
  <c r="AB204" i="28"/>
  <c r="CC75" i="30"/>
  <c r="CC64" i="30"/>
  <c r="AB177" i="28"/>
  <c r="AA177" i="28"/>
  <c r="AC177" i="28"/>
  <c r="AB193" i="28"/>
  <c r="AA193" i="28"/>
  <c r="AC193" i="28"/>
  <c r="BP29" i="30"/>
  <c r="DR33" i="30"/>
  <c r="AX92" i="30"/>
  <c r="BF92" i="30"/>
  <c r="BN92" i="30"/>
  <c r="CC90" i="30"/>
  <c r="AA180" i="28"/>
  <c r="AF180" i="28"/>
  <c r="AC180" i="28"/>
  <c r="AB180" i="28"/>
  <c r="AC200" i="28"/>
  <c r="AB200" i="28"/>
  <c r="AA200" i="28"/>
  <c r="AB185" i="28"/>
  <c r="AA185" i="28"/>
  <c r="AC185" i="28"/>
  <c r="AJ185" i="28"/>
  <c r="K116" i="29"/>
  <c r="N156" i="29"/>
  <c r="AT6" i="30"/>
  <c r="CG17" i="30"/>
  <c r="CX16" i="30"/>
  <c r="CX61" i="30" s="1"/>
  <c r="CX107" i="30" s="1"/>
  <c r="AT17" i="30"/>
  <c r="CK75" i="30"/>
  <c r="CK64" i="30"/>
  <c r="DM75" i="30"/>
  <c r="DM64" i="30"/>
  <c r="CQ77" i="30"/>
  <c r="CQ66" i="30"/>
  <c r="BR29" i="30"/>
  <c r="DU33" i="30"/>
  <c r="AZ90" i="30"/>
  <c r="AC173" i="31"/>
  <c r="AB173" i="31"/>
  <c r="AA173" i="31"/>
  <c r="AI173" i="31"/>
  <c r="U177" i="31"/>
  <c r="AA177" i="31"/>
  <c r="AC177" i="31"/>
  <c r="AB177" i="31"/>
  <c r="AC181" i="31"/>
  <c r="AB181" i="31"/>
  <c r="AA181" i="31"/>
  <c r="AJ181" i="31"/>
  <c r="AA185" i="31"/>
  <c r="AC185" i="31"/>
  <c r="AB193" i="31"/>
  <c r="V193" i="31"/>
  <c r="AC193" i="31"/>
  <c r="AC197" i="31"/>
  <c r="AA197" i="31"/>
  <c r="AB197" i="31"/>
  <c r="AJ197" i="31"/>
  <c r="AB201" i="31"/>
  <c r="AJ201" i="31"/>
  <c r="AA201" i="31"/>
  <c r="AC205" i="31"/>
  <c r="AA205" i="31"/>
  <c r="AB205" i="31"/>
  <c r="AI143" i="31"/>
  <c r="AI137" i="31"/>
  <c r="AI131" i="31"/>
  <c r="AI128" i="31"/>
  <c r="AI140" i="31"/>
  <c r="AI146" i="31"/>
  <c r="AF172" i="28"/>
  <c r="AC172" i="28"/>
  <c r="AB172" i="28"/>
  <c r="AC196" i="28"/>
  <c r="AB196" i="28"/>
  <c r="AB181" i="28"/>
  <c r="AC181" i="28"/>
  <c r="AA197" i="28"/>
  <c r="AB197" i="28"/>
  <c r="AC197" i="28"/>
  <c r="G116" i="29"/>
  <c r="CY78" i="30"/>
  <c r="CY67" i="30"/>
  <c r="CN79" i="30"/>
  <c r="CN68" i="30"/>
  <c r="CY90" i="30"/>
  <c r="AC174" i="28"/>
  <c r="AB174" i="28"/>
  <c r="AB178" i="28"/>
  <c r="AA178" i="28"/>
  <c r="AC182" i="28"/>
  <c r="AB182" i="28"/>
  <c r="V194" i="28"/>
  <c r="AB194" i="28"/>
  <c r="AA194" i="28"/>
  <c r="AC198" i="28"/>
  <c r="AB198" i="28"/>
  <c r="AJ198" i="28"/>
  <c r="AG202" i="28"/>
  <c r="AB202" i="28"/>
  <c r="AA202" i="28"/>
  <c r="AC206" i="28"/>
  <c r="AB206" i="28"/>
  <c r="AJ206" i="28"/>
  <c r="M110" i="29"/>
  <c r="S115" i="29"/>
  <c r="M116" i="29"/>
  <c r="S156" i="29"/>
  <c r="C160" i="29"/>
  <c r="DO76" i="30"/>
  <c r="DO65" i="30"/>
  <c r="DP80" i="30"/>
  <c r="DP69" i="30"/>
  <c r="DE33" i="30"/>
  <c r="DW33" i="30"/>
  <c r="L114" i="31"/>
  <c r="DG80" i="30"/>
  <c r="DG69" i="30"/>
  <c r="AA173" i="28"/>
  <c r="AC173" i="28"/>
  <c r="AB173" i="28"/>
  <c r="AJ173" i="28"/>
  <c r="AB201" i="28"/>
  <c r="AA201" i="28"/>
  <c r="AI201" i="28"/>
  <c r="AC201" i="28"/>
  <c r="CI15" i="30"/>
  <c r="J75" i="29"/>
  <c r="E76" i="29"/>
  <c r="T71" i="29"/>
  <c r="Y115" i="29"/>
  <c r="N116" i="29"/>
  <c r="C154" i="29"/>
  <c r="U156" i="29"/>
  <c r="M160" i="29"/>
  <c r="DU75" i="30"/>
  <c r="DU64" i="30"/>
  <c r="DG33" i="30"/>
  <c r="DZ33" i="30"/>
  <c r="U174" i="31"/>
  <c r="AB174" i="31"/>
  <c r="AA174" i="31"/>
  <c r="AC174" i="31"/>
  <c r="AC178" i="31"/>
  <c r="AA178" i="31"/>
  <c r="AG178" i="31"/>
  <c r="AB182" i="31"/>
  <c r="AC182" i="31"/>
  <c r="AA182" i="31"/>
  <c r="AA194" i="31"/>
  <c r="AC194" i="31"/>
  <c r="AB194" i="31"/>
  <c r="U194" i="31"/>
  <c r="AC198" i="31"/>
  <c r="AA198" i="31"/>
  <c r="AA202" i="31"/>
  <c r="AC202" i="31"/>
  <c r="AB202" i="31"/>
  <c r="AF202" i="31"/>
  <c r="AC206" i="31"/>
  <c r="AI206" i="31"/>
  <c r="AA206" i="31"/>
  <c r="AB206" i="31"/>
  <c r="U171" i="28"/>
  <c r="AC183" i="28"/>
  <c r="V183" i="28"/>
  <c r="AB183" i="28"/>
  <c r="AA183" i="28"/>
  <c r="AJ195" i="28"/>
  <c r="AC195" i="28"/>
  <c r="AB195" i="28"/>
  <c r="AA195" i="28"/>
  <c r="AC203" i="28"/>
  <c r="AB203" i="28"/>
  <c r="AA203" i="28"/>
  <c r="AC207" i="28"/>
  <c r="V207" i="28"/>
  <c r="AB207" i="28"/>
  <c r="AA207" i="28"/>
  <c r="I76" i="29"/>
  <c r="O116" i="29"/>
  <c r="O160" i="29"/>
  <c r="CS75" i="30"/>
  <c r="CS64" i="30"/>
  <c r="AZ29" i="30"/>
  <c r="DJ33" i="30"/>
  <c r="EB33" i="30"/>
  <c r="G6" i="31"/>
  <c r="L6" i="31" s="1"/>
  <c r="V30" i="31"/>
  <c r="V32" i="31"/>
  <c r="X32" i="31" s="1"/>
  <c r="AJ27" i="31" s="1"/>
  <c r="AK27" i="31" s="1"/>
  <c r="AK28" i="31" s="1"/>
  <c r="J38" i="31" s="1"/>
  <c r="AA205" i="28"/>
  <c r="AB205" i="28"/>
  <c r="AC175" i="28"/>
  <c r="AB175" i="28"/>
  <c r="AA175" i="28"/>
  <c r="AC179" i="28"/>
  <c r="AI179" i="28"/>
  <c r="AB179" i="28"/>
  <c r="AA179" i="28"/>
  <c r="AC199" i="28"/>
  <c r="AB199" i="28"/>
  <c r="AA199" i="28"/>
  <c r="H74" i="29"/>
  <c r="O76" i="29"/>
  <c r="C116" i="29"/>
  <c r="Q116" i="29"/>
  <c r="S155" i="29"/>
  <c r="Q160" i="29"/>
  <c r="CC15" i="30"/>
  <c r="CC60" i="30" s="1"/>
  <c r="DY76" i="30"/>
  <c r="DY65" i="30"/>
  <c r="DU78" i="30"/>
  <c r="DU67" i="30"/>
  <c r="DJ79" i="30"/>
  <c r="DJ68" i="30"/>
  <c r="AG175" i="31"/>
  <c r="AC175" i="31"/>
  <c r="AB175" i="31"/>
  <c r="AA175" i="31"/>
  <c r="AA179" i="31"/>
  <c r="AC179" i="31"/>
  <c r="AG179" i="31"/>
  <c r="AB179" i="31"/>
  <c r="AC183" i="31"/>
  <c r="AI183" i="31"/>
  <c r="AB183" i="31"/>
  <c r="AA183" i="31"/>
  <c r="AA195" i="31"/>
  <c r="AC195" i="31"/>
  <c r="AB195" i="31"/>
  <c r="AB199" i="31"/>
  <c r="AC199" i="31"/>
  <c r="AA199" i="31"/>
  <c r="AA203" i="31"/>
  <c r="AC203" i="31"/>
  <c r="AB203" i="31"/>
  <c r="AC207" i="31"/>
  <c r="AA207" i="31"/>
  <c r="I72" i="29"/>
  <c r="X72" i="29"/>
  <c r="W73" i="29"/>
  <c r="K5" i="29"/>
  <c r="S5" i="29"/>
  <c r="S9" i="29" s="1"/>
  <c r="K110" i="29"/>
  <c r="Y112" i="29"/>
  <c r="U113" i="29"/>
  <c r="Q115" i="29"/>
  <c r="I116" i="29"/>
  <c r="V116" i="29"/>
  <c r="M117" i="29"/>
  <c r="E112" i="29"/>
  <c r="M112" i="29"/>
  <c r="U112" i="29"/>
  <c r="K153" i="29"/>
  <c r="Q155" i="29"/>
  <c r="Y159" i="29"/>
  <c r="N160" i="29"/>
  <c r="C161" i="29"/>
  <c r="W161" i="29"/>
  <c r="DY27" i="30"/>
  <c r="AZ92" i="30"/>
  <c r="BH92" i="30"/>
  <c r="BP92" i="30"/>
  <c r="V135" i="31"/>
  <c r="W135" i="31" s="1"/>
  <c r="M72" i="29"/>
  <c r="F73" i="29"/>
  <c r="G161" i="29"/>
  <c r="BI31" i="30"/>
  <c r="DU35" i="30"/>
  <c r="T254" i="31"/>
  <c r="T259" i="31" s="1"/>
  <c r="U259" i="31" s="1"/>
  <c r="C22" i="33"/>
  <c r="D22" i="33" s="1"/>
  <c r="N72" i="29"/>
  <c r="G73" i="29"/>
  <c r="L74" i="29"/>
  <c r="E113" i="29"/>
  <c r="C114" i="29"/>
  <c r="W117" i="29"/>
  <c r="E160" i="29"/>
  <c r="U160" i="29"/>
  <c r="K161" i="29"/>
  <c r="C62" i="29"/>
  <c r="K47" i="29"/>
  <c r="S46" i="29"/>
  <c r="DX27" i="30"/>
  <c r="DE35" i="30"/>
  <c r="CY92" i="30"/>
  <c r="K72" i="29"/>
  <c r="O72" i="29"/>
  <c r="I73" i="29"/>
  <c r="W74" i="29"/>
  <c r="K75" i="29"/>
  <c r="W75" i="29"/>
  <c r="W76" i="29"/>
  <c r="G112" i="29"/>
  <c r="G113" i="29"/>
  <c r="K114" i="29"/>
  <c r="K154" i="29"/>
  <c r="G160" i="29"/>
  <c r="V160" i="29"/>
  <c r="M161" i="29"/>
  <c r="CJ16" i="30"/>
  <c r="DI27" i="30"/>
  <c r="DG35" i="30"/>
  <c r="CB91" i="30"/>
  <c r="AB178" i="31"/>
  <c r="C72" i="29"/>
  <c r="Q72" i="29"/>
  <c r="Q73" i="29"/>
  <c r="I112" i="29"/>
  <c r="K113" i="29"/>
  <c r="J25" i="29"/>
  <c r="J29" i="29" s="1"/>
  <c r="R25" i="29"/>
  <c r="R29" i="29" s="1"/>
  <c r="Z25" i="29"/>
  <c r="I159" i="29"/>
  <c r="I160" i="29"/>
  <c r="W160" i="29"/>
  <c r="O161" i="29"/>
  <c r="E47" i="29"/>
  <c r="M47" i="29"/>
  <c r="U46" i="29"/>
  <c r="BB15" i="30"/>
  <c r="DK27" i="30"/>
  <c r="DM35" i="30"/>
  <c r="CK90" i="30"/>
  <c r="G4" i="31"/>
  <c r="E72" i="29"/>
  <c r="S72" i="29"/>
  <c r="R73" i="29"/>
  <c r="C75" i="29"/>
  <c r="N75" i="29"/>
  <c r="C76" i="29"/>
  <c r="O77" i="29"/>
  <c r="Q112" i="29"/>
  <c r="M113" i="29"/>
  <c r="C115" i="29"/>
  <c r="S116" i="29"/>
  <c r="K26" i="29"/>
  <c r="S26" i="29"/>
  <c r="S30" i="29" s="1"/>
  <c r="E153" i="29"/>
  <c r="I155" i="29"/>
  <c r="Q159" i="29"/>
  <c r="K160" i="29"/>
  <c r="Y160" i="29"/>
  <c r="S161" i="29"/>
  <c r="F47" i="29"/>
  <c r="N47" i="29"/>
  <c r="V47" i="29"/>
  <c r="DQ27" i="30"/>
  <c r="DO35" i="30"/>
  <c r="E161" i="29"/>
  <c r="C10" i="33"/>
  <c r="D10" i="33" s="1"/>
  <c r="U34" i="28"/>
  <c r="F72" i="29"/>
  <c r="W72" i="29"/>
  <c r="S73" i="29"/>
  <c r="R5" i="29"/>
  <c r="R9" i="29" s="1"/>
  <c r="Z5" i="29"/>
  <c r="Z9" i="29" s="1"/>
  <c r="W112" i="29"/>
  <c r="O113" i="29"/>
  <c r="I115" i="29"/>
  <c r="U116" i="29"/>
  <c r="G153" i="29"/>
  <c r="K155" i="29"/>
  <c r="S159" i="29"/>
  <c r="U161" i="29"/>
  <c r="G47" i="29"/>
  <c r="O47" i="29"/>
  <c r="W47" i="29"/>
  <c r="D272" i="33"/>
  <c r="C274" i="33"/>
  <c r="D274" i="33" s="1"/>
  <c r="D279" i="33"/>
  <c r="K3" i="29"/>
  <c r="G5" i="29"/>
  <c r="G9" i="29" s="1"/>
  <c r="G20" i="29"/>
  <c r="G21" i="29" s="1"/>
  <c r="G7" i="29" s="1"/>
  <c r="G12" i="29" s="1"/>
  <c r="G4" i="29"/>
  <c r="G3" i="29"/>
  <c r="G8" i="29" s="1"/>
  <c r="O5" i="29"/>
  <c r="O9" i="29" s="1"/>
  <c r="O20" i="29"/>
  <c r="O21" i="29" s="1"/>
  <c r="O7" i="29" s="1"/>
  <c r="O12" i="29" s="1"/>
  <c r="O4" i="29"/>
  <c r="O3" i="29"/>
  <c r="W5" i="29"/>
  <c r="W9" i="29" s="1"/>
  <c r="W20" i="29"/>
  <c r="W21" i="29" s="1"/>
  <c r="W7" i="29" s="1"/>
  <c r="W12" i="29" s="1"/>
  <c r="W4" i="29"/>
  <c r="W3" i="29"/>
  <c r="G26" i="29"/>
  <c r="G30" i="29" s="1"/>
  <c r="G25" i="29"/>
  <c r="G29" i="29" s="1"/>
  <c r="O26" i="29"/>
  <c r="O30" i="29" s="1"/>
  <c r="O25" i="29"/>
  <c r="O29" i="29" s="1"/>
  <c r="W26" i="29"/>
  <c r="W30" i="29" s="1"/>
  <c r="W25" i="29"/>
  <c r="W29" i="29" s="1"/>
  <c r="P5" i="29"/>
  <c r="P9" i="29" s="1"/>
  <c r="P20" i="29"/>
  <c r="P21" i="29" s="1"/>
  <c r="P7" i="29" s="1"/>
  <c r="P12" i="29" s="1"/>
  <c r="P4" i="29"/>
  <c r="P3" i="29"/>
  <c r="X26" i="29"/>
  <c r="X30" i="29" s="1"/>
  <c r="X25" i="29"/>
  <c r="X29" i="29" s="1"/>
  <c r="H5" i="29"/>
  <c r="H9" i="29" s="1"/>
  <c r="H20" i="29"/>
  <c r="H4" i="29"/>
  <c r="H3" i="29"/>
  <c r="H26" i="29"/>
  <c r="H30" i="29" s="1"/>
  <c r="H25" i="29"/>
  <c r="H29" i="29" s="1"/>
  <c r="K4" i="29"/>
  <c r="K20" i="29"/>
  <c r="K21" i="29" s="1"/>
  <c r="K7" i="29" s="1"/>
  <c r="K12" i="29" s="1"/>
  <c r="J20" i="29"/>
  <c r="J21" i="29" s="1"/>
  <c r="J7" i="29" s="1"/>
  <c r="J12" i="29" s="1"/>
  <c r="R20" i="29"/>
  <c r="R21" i="29" s="1"/>
  <c r="R7" i="29" s="1"/>
  <c r="R12" i="29" s="1"/>
  <c r="Z20" i="29"/>
  <c r="Z21" i="29" s="1"/>
  <c r="Z7" i="29" s="1"/>
  <c r="Z12" i="29" s="1"/>
  <c r="I5" i="29"/>
  <c r="I20" i="29"/>
  <c r="I21" i="29" s="1"/>
  <c r="I7" i="29" s="1"/>
  <c r="I12" i="29" s="1"/>
  <c r="I4" i="29"/>
  <c r="I3" i="29"/>
  <c r="Q5" i="29"/>
  <c r="Q9" i="29" s="1"/>
  <c r="Q20" i="29"/>
  <c r="Q21" i="29" s="1"/>
  <c r="Q7" i="29" s="1"/>
  <c r="Q12" i="29" s="1"/>
  <c r="Q4" i="29"/>
  <c r="Q3" i="29"/>
  <c r="Y5" i="29"/>
  <c r="Y9" i="29" s="1"/>
  <c r="Y20" i="29"/>
  <c r="Y21" i="29" s="1"/>
  <c r="Y7" i="29" s="1"/>
  <c r="Y12" i="29" s="1"/>
  <c r="Y4" i="29"/>
  <c r="Y3" i="29"/>
  <c r="S118" i="29"/>
  <c r="C118" i="29"/>
  <c r="I26" i="29"/>
  <c r="I25" i="29"/>
  <c r="Q26" i="29"/>
  <c r="Q30" i="29" s="1"/>
  <c r="Q25" i="29"/>
  <c r="Q29" i="29" s="1"/>
  <c r="Y26" i="29"/>
  <c r="Y25" i="29"/>
  <c r="X5" i="29"/>
  <c r="X9" i="29" s="1"/>
  <c r="X20" i="29"/>
  <c r="X21" i="29" s="1"/>
  <c r="X7" i="29" s="1"/>
  <c r="X12" i="29" s="1"/>
  <c r="X4" i="29"/>
  <c r="X3" i="29"/>
  <c r="X8" i="29" s="1"/>
  <c r="P26" i="29"/>
  <c r="P30" i="29" s="1"/>
  <c r="P25" i="29"/>
  <c r="P29" i="29" s="1"/>
  <c r="C19" i="29"/>
  <c r="C5" i="29"/>
  <c r="C41" i="29"/>
  <c r="C42" i="29" s="1"/>
  <c r="C26" i="29"/>
  <c r="C32" i="29" s="1"/>
  <c r="D5" i="29"/>
  <c r="D20" i="29"/>
  <c r="D21" i="29" s="1"/>
  <c r="D7" i="29" s="1"/>
  <c r="D12" i="29" s="1"/>
  <c r="D4" i="29"/>
  <c r="D3" i="29"/>
  <c r="L5" i="29"/>
  <c r="L9" i="29" s="1"/>
  <c r="L20" i="29"/>
  <c r="L21" i="29" s="1"/>
  <c r="L7" i="29" s="1"/>
  <c r="L12" i="29" s="1"/>
  <c r="L4" i="29"/>
  <c r="L3" i="29"/>
  <c r="T5" i="29"/>
  <c r="T9" i="29" s="1"/>
  <c r="T20" i="29"/>
  <c r="T21" i="29" s="1"/>
  <c r="T7" i="29" s="1"/>
  <c r="T12" i="29" s="1"/>
  <c r="T4" i="29"/>
  <c r="T3" i="29"/>
  <c r="D26" i="29"/>
  <c r="D25" i="29"/>
  <c r="L26" i="29"/>
  <c r="L25" i="29"/>
  <c r="T26" i="29"/>
  <c r="T30" i="29" s="1"/>
  <c r="T25" i="29"/>
  <c r="T29" i="29" s="1"/>
  <c r="E71" i="29"/>
  <c r="E3" i="29"/>
  <c r="E4" i="29"/>
  <c r="E5" i="29"/>
  <c r="E20" i="29"/>
  <c r="E21" i="29" s="1"/>
  <c r="E7" i="29" s="1"/>
  <c r="E12" i="29" s="1"/>
  <c r="M4" i="29"/>
  <c r="M5" i="29"/>
  <c r="M9" i="29" s="1"/>
  <c r="M3" i="29"/>
  <c r="M20" i="29"/>
  <c r="M21" i="29" s="1"/>
  <c r="M7" i="29" s="1"/>
  <c r="M12" i="29" s="1"/>
  <c r="U3" i="29"/>
  <c r="U5" i="29"/>
  <c r="U9" i="29" s="1"/>
  <c r="U4" i="29"/>
  <c r="U20" i="29"/>
  <c r="U21" i="29" s="1"/>
  <c r="U7" i="29" s="1"/>
  <c r="U12" i="29" s="1"/>
  <c r="E26" i="29"/>
  <c r="E30" i="29" s="1"/>
  <c r="E25" i="29"/>
  <c r="E29" i="29" s="1"/>
  <c r="M26" i="29"/>
  <c r="M30" i="29" s="1"/>
  <c r="M25" i="29"/>
  <c r="M29" i="29" s="1"/>
  <c r="U26" i="29"/>
  <c r="U30" i="29" s="1"/>
  <c r="U25" i="29"/>
  <c r="U29" i="29" s="1"/>
  <c r="C3" i="29"/>
  <c r="C201" i="29" s="1"/>
  <c r="S25" i="29"/>
  <c r="S29" i="29" s="1"/>
  <c r="F5" i="29"/>
  <c r="F20" i="29"/>
  <c r="F21" i="29" s="1"/>
  <c r="F7" i="29" s="1"/>
  <c r="F12" i="29" s="1"/>
  <c r="F4" i="29"/>
  <c r="F3" i="29"/>
  <c r="N5" i="29"/>
  <c r="N9" i="29" s="1"/>
  <c r="N20" i="29"/>
  <c r="N21" i="29" s="1"/>
  <c r="N7" i="29" s="1"/>
  <c r="N12" i="29" s="1"/>
  <c r="N4" i="29"/>
  <c r="N3" i="29"/>
  <c r="V5" i="29"/>
  <c r="V9" i="29" s="1"/>
  <c r="V20" i="29"/>
  <c r="V21" i="29" s="1"/>
  <c r="V7" i="29" s="1"/>
  <c r="V12" i="29" s="1"/>
  <c r="V4" i="29"/>
  <c r="V3" i="29"/>
  <c r="F26" i="29"/>
  <c r="F30" i="29" s="1"/>
  <c r="F25" i="29"/>
  <c r="F29" i="29" s="1"/>
  <c r="F112" i="29"/>
  <c r="N112" i="29"/>
  <c r="N26" i="29"/>
  <c r="N30" i="29" s="1"/>
  <c r="N25" i="29"/>
  <c r="N29" i="29" s="1"/>
  <c r="V112" i="29"/>
  <c r="V26" i="29"/>
  <c r="V25" i="29"/>
  <c r="M46" i="29"/>
  <c r="W46" i="29"/>
  <c r="J47" i="29"/>
  <c r="U47" i="29"/>
  <c r="H71" i="29"/>
  <c r="S71" i="29"/>
  <c r="K74" i="29"/>
  <c r="X74" i="29"/>
  <c r="Q110" i="29"/>
  <c r="M153" i="29"/>
  <c r="I156" i="29"/>
  <c r="V156" i="29"/>
  <c r="K157" i="29"/>
  <c r="C46" i="29"/>
  <c r="N46" i="29"/>
  <c r="Y46" i="29"/>
  <c r="Y110" i="29"/>
  <c r="S113" i="29"/>
  <c r="S117" i="29"/>
  <c r="O153" i="29"/>
  <c r="Y155" i="29"/>
  <c r="K156" i="29"/>
  <c r="W156" i="29"/>
  <c r="M157" i="29"/>
  <c r="E46" i="29"/>
  <c r="O46" i="29"/>
  <c r="Z46" i="29"/>
  <c r="K71" i="29"/>
  <c r="U71" i="29"/>
  <c r="M74" i="29"/>
  <c r="Y75" i="29"/>
  <c r="S153" i="29"/>
  <c r="M156" i="29"/>
  <c r="Y156" i="29"/>
  <c r="O157" i="29"/>
  <c r="C159" i="29"/>
  <c r="F46" i="29"/>
  <c r="Q46" i="29"/>
  <c r="C47" i="29"/>
  <c r="L71" i="29"/>
  <c r="W71" i="29"/>
  <c r="G72" i="29"/>
  <c r="R72" i="29"/>
  <c r="P74" i="29"/>
  <c r="S157" i="29"/>
  <c r="G46" i="29"/>
  <c r="R46" i="29"/>
  <c r="C71" i="29"/>
  <c r="M71" i="29"/>
  <c r="X71" i="29"/>
  <c r="C74" i="29"/>
  <c r="Q74" i="29"/>
  <c r="C110" i="29"/>
  <c r="G111" i="29"/>
  <c r="O112" i="29"/>
  <c r="K115" i="29"/>
  <c r="C112" i="29"/>
  <c r="K112" i="29"/>
  <c r="S112" i="29"/>
  <c r="C153" i="29"/>
  <c r="W153" i="29"/>
  <c r="C155" i="29"/>
  <c r="C156" i="29"/>
  <c r="O156" i="29"/>
  <c r="U157" i="29"/>
  <c r="K159" i="29"/>
  <c r="F160" i="29"/>
  <c r="S160" i="29"/>
  <c r="D71" i="29"/>
  <c r="O71" i="29"/>
  <c r="Y71" i="29"/>
  <c r="J72" i="29"/>
  <c r="U72" i="29"/>
  <c r="M73" i="29"/>
  <c r="E74" i="29"/>
  <c r="S74" i="29"/>
  <c r="E110" i="29"/>
  <c r="I111" i="29"/>
  <c r="E156" i="29"/>
  <c r="Q156" i="29"/>
  <c r="C157" i="29"/>
  <c r="W157" i="29"/>
  <c r="J3" i="29"/>
  <c r="R3" i="29"/>
  <c r="Z3" i="29"/>
  <c r="Z8" i="29" s="1"/>
  <c r="J4" i="29"/>
  <c r="R4" i="29"/>
  <c r="Z4" i="29"/>
  <c r="G74" i="29"/>
  <c r="U74" i="29"/>
  <c r="H47" i="29"/>
  <c r="P47" i="29"/>
  <c r="X47" i="29"/>
  <c r="D47" i="29"/>
  <c r="L47" i="29"/>
  <c r="T47" i="29"/>
  <c r="C61" i="29"/>
  <c r="C48" i="29" s="1"/>
  <c r="L5" i="31"/>
  <c r="Z258" i="31"/>
  <c r="Z256" i="31"/>
  <c r="Z260" i="31"/>
  <c r="AC201" i="31"/>
  <c r="J126" i="31"/>
  <c r="J130" i="31"/>
  <c r="J123" i="31"/>
  <c r="J127" i="31"/>
  <c r="J131" i="31"/>
  <c r="CE26" i="30"/>
  <c r="CM26" i="30"/>
  <c r="CM60" i="30" s="1"/>
  <c r="CM106" i="30" s="1"/>
  <c r="CU26" i="30"/>
  <c r="CU60" i="30" s="1"/>
  <c r="CF26" i="30"/>
  <c r="CN26" i="30"/>
  <c r="CN71" i="30" s="1"/>
  <c r="CV26" i="30"/>
  <c r="CV60" i="30" s="1"/>
  <c r="CV106" i="30" s="1"/>
  <c r="CG26" i="30"/>
  <c r="CO26" i="30"/>
  <c r="CO60" i="30" s="1"/>
  <c r="CO106" i="30" s="1"/>
  <c r="CW26" i="30"/>
  <c r="CW60" i="30" s="1"/>
  <c r="CW106" i="30" s="1"/>
  <c r="CH26" i="30"/>
  <c r="CH60" i="30" s="1"/>
  <c r="CX26" i="30"/>
  <c r="CX71" i="30" s="1"/>
  <c r="CP26" i="30"/>
  <c r="CP60" i="30" s="1"/>
  <c r="CP106" i="30" s="1"/>
  <c r="CI26" i="30"/>
  <c r="CI71" i="30" s="1"/>
  <c r="CQ26" i="30"/>
  <c r="CQ60" i="30" s="1"/>
  <c r="CQ106" i="30" s="1"/>
  <c r="CY26" i="30"/>
  <c r="CJ26" i="30"/>
  <c r="CJ60" i="30" s="1"/>
  <c r="CR26" i="30"/>
  <c r="CR60" i="30" s="1"/>
  <c r="CR106" i="30" s="1"/>
  <c r="CB26" i="30"/>
  <c r="CB71" i="30" s="1"/>
  <c r="CL26" i="30"/>
  <c r="CL71" i="30" s="1"/>
  <c r="CC26" i="30"/>
  <c r="CK26" i="30"/>
  <c r="CK71" i="30" s="1"/>
  <c r="CS26" i="30"/>
  <c r="CS60" i="30" s="1"/>
  <c r="CS106" i="30" s="1"/>
  <c r="CD26" i="30"/>
  <c r="CT26" i="30"/>
  <c r="CT60" i="30" s="1"/>
  <c r="CV34" i="30"/>
  <c r="CN34" i="30"/>
  <c r="CG34" i="30"/>
  <c r="CO34" i="30"/>
  <c r="CW34" i="30"/>
  <c r="CH34" i="30"/>
  <c r="CX34" i="30"/>
  <c r="CI34" i="30"/>
  <c r="CP34" i="30"/>
  <c r="CB34" i="30"/>
  <c r="CQ34" i="30"/>
  <c r="CY34" i="30"/>
  <c r="CJ34" i="30"/>
  <c r="CR34" i="30"/>
  <c r="CL34" i="30"/>
  <c r="CM34" i="30"/>
  <c r="CF34" i="30"/>
  <c r="CC34" i="30"/>
  <c r="CK34" i="30"/>
  <c r="CS34" i="30"/>
  <c r="CD34" i="30"/>
  <c r="CT34" i="30"/>
  <c r="CE34" i="30"/>
  <c r="CU34" i="30"/>
  <c r="J128" i="31"/>
  <c r="J125" i="31"/>
  <c r="J129" i="31"/>
  <c r="AA184" i="31"/>
  <c r="V31" i="31"/>
  <c r="AC51" i="31"/>
  <c r="CL33" i="30"/>
  <c r="CE33" i="30"/>
  <c r="CM33" i="30"/>
  <c r="CF33" i="30"/>
  <c r="CN33" i="30"/>
  <c r="CV33" i="30"/>
  <c r="CB33" i="30"/>
  <c r="CG33" i="30"/>
  <c r="CW33" i="30"/>
  <c r="CP33" i="30"/>
  <c r="CO33" i="30"/>
  <c r="CX33" i="30"/>
  <c r="CH33" i="30"/>
  <c r="CI33" i="30"/>
  <c r="CQ33" i="30"/>
  <c r="CY33" i="30"/>
  <c r="CC33" i="30"/>
  <c r="CS33" i="30"/>
  <c r="CT33" i="30"/>
  <c r="CJ33" i="30"/>
  <c r="CR33" i="30"/>
  <c r="CK33" i="30"/>
  <c r="CD33" i="30"/>
  <c r="CU33" i="30"/>
  <c r="CF27" i="30"/>
  <c r="CN27" i="30"/>
  <c r="CN61" i="30" s="1"/>
  <c r="CN107" i="30" s="1"/>
  <c r="CV27" i="30"/>
  <c r="CV72" i="30" s="1"/>
  <c r="CG27" i="30"/>
  <c r="CG61" i="30" s="1"/>
  <c r="CG107" i="30" s="1"/>
  <c r="CO27" i="30"/>
  <c r="CO61" i="30" s="1"/>
  <c r="CO107" i="30" s="1"/>
  <c r="CW27" i="30"/>
  <c r="CW61" i="30" s="1"/>
  <c r="CH27" i="30"/>
  <c r="CH61" i="30" s="1"/>
  <c r="CP27" i="30"/>
  <c r="CP61" i="30" s="1"/>
  <c r="CP107" i="30" s="1"/>
  <c r="CX27" i="30"/>
  <c r="CI27" i="30"/>
  <c r="CI72" i="30" s="1"/>
  <c r="CQ27" i="30"/>
  <c r="CQ61" i="30" s="1"/>
  <c r="CQ107" i="30" s="1"/>
  <c r="CY27" i="30"/>
  <c r="CJ27" i="30"/>
  <c r="CR27" i="30"/>
  <c r="CR61" i="30" s="1"/>
  <c r="CR107" i="30" s="1"/>
  <c r="CB27" i="30"/>
  <c r="CC27" i="30"/>
  <c r="CK27" i="30"/>
  <c r="CK61" i="30" s="1"/>
  <c r="CS27" i="30"/>
  <c r="CS61" i="30" s="1"/>
  <c r="CS107" i="30" s="1"/>
  <c r="CE27" i="30"/>
  <c r="CU27" i="30"/>
  <c r="CU61" i="30" s="1"/>
  <c r="CD27" i="30"/>
  <c r="CL27" i="30"/>
  <c r="CL61" i="30" s="1"/>
  <c r="CT27" i="30"/>
  <c r="CT61" i="30" s="1"/>
  <c r="CM27" i="30"/>
  <c r="CM61" i="30" s="1"/>
  <c r="CF35" i="30"/>
  <c r="CH35" i="30"/>
  <c r="CP35" i="30"/>
  <c r="CX35" i="30"/>
  <c r="CI35" i="30"/>
  <c r="CY35" i="30"/>
  <c r="CJ35" i="30"/>
  <c r="CB35" i="30"/>
  <c r="CQ35" i="30"/>
  <c r="CR35" i="30"/>
  <c r="CO35" i="30"/>
  <c r="CC35" i="30"/>
  <c r="CK35" i="30"/>
  <c r="CS35" i="30"/>
  <c r="CE35" i="30"/>
  <c r="CN35" i="30"/>
  <c r="CW35" i="30"/>
  <c r="CD35" i="30"/>
  <c r="CL35" i="30"/>
  <c r="CT35" i="30"/>
  <c r="CM35" i="30"/>
  <c r="CU35" i="30"/>
  <c r="CV35" i="30"/>
  <c r="CG35" i="30"/>
  <c r="CO28" i="30"/>
  <c r="CO73" i="30" s="1"/>
  <c r="CH28" i="30"/>
  <c r="CH62" i="30" s="1"/>
  <c r="CP28" i="30"/>
  <c r="CP73" i="30" s="1"/>
  <c r="CX28" i="30"/>
  <c r="CI28" i="30"/>
  <c r="CI62" i="30" s="1"/>
  <c r="CQ28" i="30"/>
  <c r="CQ62" i="30" s="1"/>
  <c r="CY28" i="30"/>
  <c r="CJ28" i="30"/>
  <c r="CJ62" i="30" s="1"/>
  <c r="CR28" i="30"/>
  <c r="CR62" i="30" s="1"/>
  <c r="CC28" i="30"/>
  <c r="CC73" i="30" s="1"/>
  <c r="CK28" i="30"/>
  <c r="CK73" i="30" s="1"/>
  <c r="CS28" i="30"/>
  <c r="CS62" i="30" s="1"/>
  <c r="CS108" i="30" s="1"/>
  <c r="CD28" i="30"/>
  <c r="CL28" i="30"/>
  <c r="CL62" i="30" s="1"/>
  <c r="CT28" i="30"/>
  <c r="CT62" i="30" s="1"/>
  <c r="CT108" i="30" s="1"/>
  <c r="CB28" i="30"/>
  <c r="CN28" i="30"/>
  <c r="CN73" i="30" s="1"/>
  <c r="CW28" i="30"/>
  <c r="CW62" i="30" s="1"/>
  <c r="CE28" i="30"/>
  <c r="CE73" i="30" s="1"/>
  <c r="CM28" i="30"/>
  <c r="CM62" i="30" s="1"/>
  <c r="CM108" i="30" s="1"/>
  <c r="CU28" i="30"/>
  <c r="CU62" i="30" s="1"/>
  <c r="CF28" i="30"/>
  <c r="CF62" i="30" s="1"/>
  <c r="CV28" i="30"/>
  <c r="CV62" i="30" s="1"/>
  <c r="CG28" i="30"/>
  <c r="CH29" i="30"/>
  <c r="CI29" i="30"/>
  <c r="CQ29" i="30"/>
  <c r="CY29" i="30"/>
  <c r="CJ29" i="30"/>
  <c r="CR29" i="30"/>
  <c r="CK29" i="30"/>
  <c r="CS29" i="30"/>
  <c r="CD29" i="30"/>
  <c r="CC29" i="30"/>
  <c r="CT29" i="30"/>
  <c r="CL29" i="30"/>
  <c r="CE29" i="30"/>
  <c r="CM29" i="30"/>
  <c r="CU29" i="30"/>
  <c r="CG29" i="30"/>
  <c r="CW29" i="30"/>
  <c r="CX29" i="30"/>
  <c r="CF29" i="30"/>
  <c r="CN29" i="30"/>
  <c r="CV29" i="30"/>
  <c r="CB29" i="30"/>
  <c r="CO29" i="30"/>
  <c r="CP29" i="30"/>
  <c r="CI30" i="30"/>
  <c r="CJ30" i="30"/>
  <c r="CR30" i="30"/>
  <c r="CC30" i="30"/>
  <c r="CK30" i="30"/>
  <c r="CS30" i="30"/>
  <c r="CD30" i="30"/>
  <c r="CT30" i="30"/>
  <c r="CE30" i="30"/>
  <c r="CL30" i="30"/>
  <c r="CU30" i="30"/>
  <c r="CM30" i="30"/>
  <c r="CF30" i="30"/>
  <c r="CN30" i="30"/>
  <c r="CV30" i="30"/>
  <c r="CP30" i="30"/>
  <c r="CB30" i="30"/>
  <c r="CY30" i="30"/>
  <c r="CG30" i="30"/>
  <c r="CO30" i="30"/>
  <c r="CW30" i="30"/>
  <c r="CH30" i="30"/>
  <c r="CX30" i="30"/>
  <c r="CQ30" i="30"/>
  <c r="CR31" i="30"/>
  <c r="CC31" i="30"/>
  <c r="CK31" i="30"/>
  <c r="CS31" i="30"/>
  <c r="CD31" i="30"/>
  <c r="CL31" i="30"/>
  <c r="CT31" i="30"/>
  <c r="CE31" i="30"/>
  <c r="CU31" i="30"/>
  <c r="CF31" i="30"/>
  <c r="CN31" i="30"/>
  <c r="CM31" i="30"/>
  <c r="CV31" i="30"/>
  <c r="CG31" i="30"/>
  <c r="CO31" i="30"/>
  <c r="CW31" i="30"/>
  <c r="CQ31" i="30"/>
  <c r="CB31" i="30"/>
  <c r="CH31" i="30"/>
  <c r="CP31" i="30"/>
  <c r="CX31" i="30"/>
  <c r="CI31" i="30"/>
  <c r="CY31" i="30"/>
  <c r="CJ31" i="30"/>
  <c r="CD32" i="30"/>
  <c r="CL32" i="30"/>
  <c r="CT32" i="30"/>
  <c r="CB32" i="30"/>
  <c r="CE32" i="30"/>
  <c r="CM32" i="30"/>
  <c r="CU32" i="30"/>
  <c r="CF32" i="30"/>
  <c r="CV32" i="30"/>
  <c r="CO32" i="30"/>
  <c r="CN32" i="30"/>
  <c r="CW32" i="30"/>
  <c r="CG32" i="30"/>
  <c r="CH32" i="30"/>
  <c r="CP32" i="30"/>
  <c r="CX32" i="30"/>
  <c r="CJ32" i="30"/>
  <c r="CC32" i="30"/>
  <c r="CS32" i="30"/>
  <c r="CI32" i="30"/>
  <c r="CQ32" i="30"/>
  <c r="CY32" i="30"/>
  <c r="CR32" i="30"/>
  <c r="CK32" i="30"/>
  <c r="AE96" i="31"/>
  <c r="BM96" i="31"/>
  <c r="AC48" i="31"/>
  <c r="K70" i="28"/>
  <c r="C38" i="33" s="1"/>
  <c r="D38" i="33" s="1"/>
  <c r="AD96" i="31"/>
  <c r="BH99" i="31"/>
  <c r="AC99" i="31"/>
  <c r="BV93" i="31"/>
  <c r="AR93" i="31"/>
  <c r="AH93" i="31"/>
  <c r="AG97" i="31"/>
  <c r="AQ100" i="31"/>
  <c r="AI90" i="31"/>
  <c r="AN96" i="31"/>
  <c r="Y28" i="28"/>
  <c r="AC28" i="28"/>
  <c r="AQ90" i="31"/>
  <c r="AL90" i="31"/>
  <c r="BV96" i="31"/>
  <c r="AN105" i="31"/>
  <c r="BO90" i="31"/>
  <c r="AL93" i="31"/>
  <c r="J166" i="31"/>
  <c r="C234" i="33" s="1"/>
  <c r="D234" i="33" s="1"/>
  <c r="BS93" i="31"/>
  <c r="AO96" i="31"/>
  <c r="AO97" i="31"/>
  <c r="AZ99" i="31"/>
  <c r="BA107" i="31"/>
  <c r="X28" i="28"/>
  <c r="AQ96" i="31"/>
  <c r="AU97" i="31"/>
  <c r="V181" i="31"/>
  <c r="AC27" i="28"/>
  <c r="BK96" i="31"/>
  <c r="BH97" i="31"/>
  <c r="AC50" i="31"/>
  <c r="W25" i="28"/>
  <c r="BI99" i="31"/>
  <c r="AT100" i="31"/>
  <c r="BD105" i="31"/>
  <c r="X25" i="28"/>
  <c r="AU93" i="31"/>
  <c r="AG96" i="31"/>
  <c r="BU96" i="31"/>
  <c r="AR97" i="31"/>
  <c r="BT99" i="31"/>
  <c r="AX100" i="31"/>
  <c r="BB100" i="31"/>
  <c r="BJ100" i="31"/>
  <c r="BP97" i="31"/>
  <c r="AF99" i="31"/>
  <c r="AD100" i="31"/>
  <c r="BN100" i="31"/>
  <c r="AF107" i="31"/>
  <c r="X27" i="28"/>
  <c r="AA27" i="28"/>
  <c r="AC29" i="28"/>
  <c r="AT90" i="31"/>
  <c r="BC96" i="31"/>
  <c r="AD97" i="31"/>
  <c r="BR97" i="31"/>
  <c r="AN99" i="31"/>
  <c r="AH100" i="31"/>
  <c r="BR100" i="31"/>
  <c r="AS107" i="31"/>
  <c r="BG90" i="31"/>
  <c r="BJ96" i="31"/>
  <c r="AE97" i="31"/>
  <c r="BT97" i="31"/>
  <c r="AY99" i="31"/>
  <c r="AL100" i="31"/>
  <c r="AI105" i="31"/>
  <c r="AV107" i="31"/>
  <c r="X119" i="29"/>
  <c r="I119" i="29"/>
  <c r="K119" i="29"/>
  <c r="Q119" i="29"/>
  <c r="S119" i="29"/>
  <c r="Y119" i="29"/>
  <c r="C119" i="29"/>
  <c r="N77" i="29"/>
  <c r="C77" i="29"/>
  <c r="AU59" i="30"/>
  <c r="DE99" i="30"/>
  <c r="DE100" i="30" s="1"/>
  <c r="DE101" i="30" s="1"/>
  <c r="DM99" i="30"/>
  <c r="DM100" i="30" s="1"/>
  <c r="DM101" i="30" s="1"/>
  <c r="DU99" i="30"/>
  <c r="DU100" i="30" s="1"/>
  <c r="DU101" i="30" s="1"/>
  <c r="AN89" i="31"/>
  <c r="AZ91" i="31"/>
  <c r="AH98" i="31"/>
  <c r="AT98" i="31"/>
  <c r="BI98" i="31"/>
  <c r="AS99" i="31"/>
  <c r="BO99" i="31"/>
  <c r="AP103" i="31"/>
  <c r="BR105" i="31"/>
  <c r="AT106" i="31"/>
  <c r="CA59" i="30"/>
  <c r="CC99" i="30"/>
  <c r="CC100" i="30" s="1"/>
  <c r="CC101" i="30" s="1"/>
  <c r="CK99" i="30"/>
  <c r="CS99" i="30"/>
  <c r="CS100" i="30" s="1"/>
  <c r="CS101" i="30" s="1"/>
  <c r="BI89" i="31"/>
  <c r="AI98" i="31"/>
  <c r="AU98" i="31"/>
  <c r="BJ98" i="31"/>
  <c r="AV99" i="31"/>
  <c r="BP99" i="31"/>
  <c r="AQ103" i="31"/>
  <c r="BN103" i="31"/>
  <c r="AD105" i="31"/>
  <c r="BT105" i="31"/>
  <c r="AW106" i="31"/>
  <c r="DD59" i="30"/>
  <c r="BT89" i="31"/>
  <c r="AK98" i="31"/>
  <c r="AX98" i="31"/>
  <c r="BK98" i="31"/>
  <c r="AU103" i="31"/>
  <c r="BO103" i="31"/>
  <c r="BB106" i="31"/>
  <c r="AL98" i="31"/>
  <c r="AY98" i="31"/>
  <c r="BN98" i="31"/>
  <c r="AX103" i="31"/>
  <c r="BP103" i="31"/>
  <c r="BE106" i="31"/>
  <c r="AW99" i="30"/>
  <c r="AW100" i="30" s="1"/>
  <c r="AW101" i="30" s="1"/>
  <c r="BE99" i="30"/>
  <c r="BE100" i="30" s="1"/>
  <c r="BE101" i="30" s="1"/>
  <c r="BM99" i="30"/>
  <c r="B110" i="30"/>
  <c r="BA93" i="31"/>
  <c r="AX96" i="31"/>
  <c r="BC97" i="31"/>
  <c r="AB98" i="31"/>
  <c r="AM98" i="31"/>
  <c r="BA98" i="31"/>
  <c r="BQ98" i="31"/>
  <c r="AI99" i="31"/>
  <c r="BD99" i="31"/>
  <c r="BG100" i="31"/>
  <c r="AE103" i="31"/>
  <c r="AY103" i="31"/>
  <c r="BV103" i="31"/>
  <c r="AV105" i="31"/>
  <c r="AB106" i="31"/>
  <c r="BJ106" i="31"/>
  <c r="BD107" i="31"/>
  <c r="AI134" i="31"/>
  <c r="BJ93" i="31"/>
  <c r="AY96" i="31"/>
  <c r="BD97" i="31"/>
  <c r="AC98" i="31"/>
  <c r="AP98" i="31"/>
  <c r="BB98" i="31"/>
  <c r="BR98" i="31"/>
  <c r="AJ99" i="31"/>
  <c r="BG99" i="31"/>
  <c r="AH103" i="31"/>
  <c r="AZ103" i="31"/>
  <c r="AY105" i="31"/>
  <c r="AG106" i="31"/>
  <c r="BP106" i="31"/>
  <c r="DK99" i="30"/>
  <c r="DS99" i="30"/>
  <c r="DS100" i="30" s="1"/>
  <c r="DS101" i="30" s="1"/>
  <c r="EA99" i="30"/>
  <c r="AD98" i="31"/>
  <c r="AQ98" i="31"/>
  <c r="BC98" i="31"/>
  <c r="BS98" i="31"/>
  <c r="AI103" i="31"/>
  <c r="BF103" i="31"/>
  <c r="AJ106" i="31"/>
  <c r="BR106" i="31"/>
  <c r="AI197" i="31"/>
  <c r="CI99" i="30"/>
  <c r="CQ99" i="30"/>
  <c r="CQ100" i="30" s="1"/>
  <c r="CQ101" i="30" s="1"/>
  <c r="CY99" i="30"/>
  <c r="AC89" i="31"/>
  <c r="AE98" i="31"/>
  <c r="AS98" i="31"/>
  <c r="BF98" i="31"/>
  <c r="BV98" i="31"/>
  <c r="AQ99" i="31"/>
  <c r="BL99" i="31"/>
  <c r="AJ103" i="31"/>
  <c r="BG103" i="31"/>
  <c r="BJ105" i="31"/>
  <c r="AO106" i="31"/>
  <c r="BG107" i="31"/>
  <c r="AN107" i="31"/>
  <c r="BQ107" i="31"/>
  <c r="AI107" i="31"/>
  <c r="L111" i="31"/>
  <c r="L110" i="31"/>
  <c r="U181" i="31"/>
  <c r="AW71" i="30"/>
  <c r="AW60" i="30"/>
  <c r="BE71" i="30"/>
  <c r="BE60" i="30"/>
  <c r="BM71" i="30"/>
  <c r="BM60" i="30"/>
  <c r="DL71" i="30"/>
  <c r="DT71" i="30"/>
  <c r="EB71" i="30"/>
  <c r="BJ72" i="30"/>
  <c r="BJ61" i="30"/>
  <c r="BJ107" i="30" s="1"/>
  <c r="CW72" i="30"/>
  <c r="DI72" i="30"/>
  <c r="DQ72" i="30"/>
  <c r="DY72" i="30"/>
  <c r="BE74" i="30"/>
  <c r="BE63" i="30"/>
  <c r="BE109" i="30" s="1"/>
  <c r="BM74" i="30"/>
  <c r="BM63" i="30"/>
  <c r="BM109" i="30" s="1"/>
  <c r="CB74" i="30"/>
  <c r="CJ74" i="30"/>
  <c r="CR74" i="30"/>
  <c r="DL74" i="30"/>
  <c r="DT74" i="30"/>
  <c r="EB74" i="30"/>
  <c r="BC64" i="30"/>
  <c r="BC75" i="30"/>
  <c r="BK64" i="30"/>
  <c r="BK75" i="30"/>
  <c r="BS64" i="30"/>
  <c r="BS75" i="30"/>
  <c r="CH75" i="30"/>
  <c r="CP75" i="30"/>
  <c r="CX75" i="30"/>
  <c r="DJ75" i="30"/>
  <c r="DR75" i="30"/>
  <c r="DZ75" i="30"/>
  <c r="AX66" i="30"/>
  <c r="AX77" i="30"/>
  <c r="BF66" i="30"/>
  <c r="BF77" i="30"/>
  <c r="BN66" i="30"/>
  <c r="BN77" i="30"/>
  <c r="CC77" i="30"/>
  <c r="CK77" i="30"/>
  <c r="CS77" i="30"/>
  <c r="DE77" i="30"/>
  <c r="DM77" i="30"/>
  <c r="DU77" i="30"/>
  <c r="BC67" i="30"/>
  <c r="BC78" i="30"/>
  <c r="BK67" i="30"/>
  <c r="BK78" i="30"/>
  <c r="BS67" i="30"/>
  <c r="BS78" i="30"/>
  <c r="CH78" i="30"/>
  <c r="CP78" i="30"/>
  <c r="CX78" i="30"/>
  <c r="DJ78" i="30"/>
  <c r="DR78" i="30"/>
  <c r="DZ78" i="30"/>
  <c r="AZ68" i="30"/>
  <c r="AZ79" i="30"/>
  <c r="BH68" i="30"/>
  <c r="BH79" i="30"/>
  <c r="BP68" i="30"/>
  <c r="BP79" i="30"/>
  <c r="CE79" i="30"/>
  <c r="CM79" i="30"/>
  <c r="CU79" i="30"/>
  <c r="DG79" i="30"/>
  <c r="DO79" i="30"/>
  <c r="DW79" i="30"/>
  <c r="AX71" i="30"/>
  <c r="AX60" i="30"/>
  <c r="BF71" i="30"/>
  <c r="BF60" i="30"/>
  <c r="BN71" i="30"/>
  <c r="BN60" i="30"/>
  <c r="DE71" i="30"/>
  <c r="DM71" i="30"/>
  <c r="DU71" i="30"/>
  <c r="AZ73" i="30"/>
  <c r="AZ62" i="30"/>
  <c r="AZ108" i="30" s="1"/>
  <c r="BH73" i="30"/>
  <c r="BH62" i="30"/>
  <c r="BH108" i="30" s="1"/>
  <c r="BP73" i="30"/>
  <c r="BP62" i="30"/>
  <c r="BP108" i="30" s="1"/>
  <c r="CM73" i="30"/>
  <c r="CU73" i="30"/>
  <c r="DG73" i="30"/>
  <c r="DO73" i="30"/>
  <c r="DW73" i="30"/>
  <c r="BF74" i="30"/>
  <c r="BF63" i="30"/>
  <c r="BF109" i="30" s="1"/>
  <c r="BN63" i="30"/>
  <c r="BN109" i="30" s="1"/>
  <c r="BN74" i="30"/>
  <c r="CC74" i="30"/>
  <c r="CK74" i="30"/>
  <c r="CS74" i="30"/>
  <c r="DE74" i="30"/>
  <c r="DM74" i="30"/>
  <c r="DU74" i="30"/>
  <c r="BA76" i="30"/>
  <c r="BA65" i="30"/>
  <c r="BI65" i="30"/>
  <c r="BI76" i="30"/>
  <c r="BQ65" i="30"/>
  <c r="BQ76" i="30"/>
  <c r="CF76" i="30"/>
  <c r="CN76" i="30"/>
  <c r="CV76" i="30"/>
  <c r="DH76" i="30"/>
  <c r="DP76" i="30"/>
  <c r="DX76" i="30"/>
  <c r="AY77" i="30"/>
  <c r="AY66" i="30"/>
  <c r="BG77" i="30"/>
  <c r="BG66" i="30"/>
  <c r="BO77" i="30"/>
  <c r="BO66" i="30"/>
  <c r="CD77" i="30"/>
  <c r="CL77" i="30"/>
  <c r="CT77" i="30"/>
  <c r="DF77" i="30"/>
  <c r="DN77" i="30"/>
  <c r="DV77" i="30"/>
  <c r="BF80" i="30"/>
  <c r="BN80" i="30"/>
  <c r="BN69" i="30"/>
  <c r="CC80" i="30"/>
  <c r="CK80" i="30"/>
  <c r="CS80" i="30"/>
  <c r="DE80" i="30"/>
  <c r="DM80" i="30"/>
  <c r="DU80" i="30"/>
  <c r="AV72" i="30"/>
  <c r="AV61" i="30"/>
  <c r="AV107" i="30" s="1"/>
  <c r="BD72" i="30"/>
  <c r="BD61" i="30"/>
  <c r="BD107" i="30" s="1"/>
  <c r="BL72" i="30"/>
  <c r="BL61" i="30"/>
  <c r="BL107" i="30" s="1"/>
  <c r="CY72" i="30"/>
  <c r="DK72" i="30"/>
  <c r="DS72" i="30"/>
  <c r="EA72" i="30"/>
  <c r="AW75" i="30"/>
  <c r="AW64" i="30"/>
  <c r="BE64" i="30"/>
  <c r="BE75" i="30"/>
  <c r="BM75" i="30"/>
  <c r="BM64" i="30"/>
  <c r="CB75" i="30"/>
  <c r="CJ75" i="30"/>
  <c r="CR75" i="30"/>
  <c r="DL75" i="30"/>
  <c r="DT75" i="30"/>
  <c r="EB75" i="30"/>
  <c r="AW78" i="30"/>
  <c r="AW67" i="30"/>
  <c r="BE78" i="30"/>
  <c r="BE67" i="30"/>
  <c r="BM78" i="30"/>
  <c r="BM67" i="30"/>
  <c r="CB78" i="30"/>
  <c r="CJ78" i="30"/>
  <c r="CR78" i="30"/>
  <c r="DL78" i="30"/>
  <c r="DT78" i="30"/>
  <c r="EB78" i="30"/>
  <c r="BB79" i="30"/>
  <c r="BB68" i="30"/>
  <c r="BJ79" i="30"/>
  <c r="BJ68" i="30"/>
  <c r="BR79" i="30"/>
  <c r="BR68" i="30"/>
  <c r="CG79" i="30"/>
  <c r="CO79" i="30"/>
  <c r="CW79" i="30"/>
  <c r="DI79" i="30"/>
  <c r="DQ79" i="30"/>
  <c r="DY79" i="30"/>
  <c r="AY80" i="30"/>
  <c r="AY69" i="30"/>
  <c r="BG80" i="30"/>
  <c r="BG69" i="30"/>
  <c r="BO80" i="30"/>
  <c r="BO69" i="30"/>
  <c r="CD80" i="30"/>
  <c r="CL80" i="30"/>
  <c r="CT80" i="30"/>
  <c r="DF80" i="30"/>
  <c r="DN80" i="30"/>
  <c r="DV80" i="30"/>
  <c r="AZ71" i="30"/>
  <c r="AZ60" i="30"/>
  <c r="BH71" i="30"/>
  <c r="BH60" i="30"/>
  <c r="BP71" i="30"/>
  <c r="BP60" i="30"/>
  <c r="CU71" i="30"/>
  <c r="DG71" i="30"/>
  <c r="DO71" i="30"/>
  <c r="DW71" i="30"/>
  <c r="BE72" i="30"/>
  <c r="BE61" i="30"/>
  <c r="BE107" i="30" s="1"/>
  <c r="BM72" i="30"/>
  <c r="BM61" i="30"/>
  <c r="BM107" i="30" s="1"/>
  <c r="CB72" i="30"/>
  <c r="CJ72" i="30"/>
  <c r="CR72" i="30"/>
  <c r="DL72" i="30"/>
  <c r="DT72" i="30"/>
  <c r="EB72" i="30"/>
  <c r="BB62" i="30"/>
  <c r="BB108" i="30" s="1"/>
  <c r="BB73" i="30"/>
  <c r="BJ62" i="30"/>
  <c r="BJ108" i="30" s="1"/>
  <c r="BJ73" i="30"/>
  <c r="BR73" i="30"/>
  <c r="BR62" i="30"/>
  <c r="BR108" i="30" s="1"/>
  <c r="DI73" i="30"/>
  <c r="DQ73" i="30"/>
  <c r="DY73" i="30"/>
  <c r="AZ63" i="30"/>
  <c r="AZ109" i="30" s="1"/>
  <c r="AZ74" i="30"/>
  <c r="BH74" i="30"/>
  <c r="BH63" i="30"/>
  <c r="BH109" i="30" s="1"/>
  <c r="BP63" i="30"/>
  <c r="BP109" i="30" s="1"/>
  <c r="BP74" i="30"/>
  <c r="CE74" i="30"/>
  <c r="CM74" i="30"/>
  <c r="CU74" i="30"/>
  <c r="DG74" i="30"/>
  <c r="DO74" i="30"/>
  <c r="DW74" i="30"/>
  <c r="BC76" i="30"/>
  <c r="BC65" i="30"/>
  <c r="BK76" i="30"/>
  <c r="BK65" i="30"/>
  <c r="BS76" i="30"/>
  <c r="BS65" i="30"/>
  <c r="CH76" i="30"/>
  <c r="CP76" i="30"/>
  <c r="CX76" i="30"/>
  <c r="DJ76" i="30"/>
  <c r="DR76" i="30"/>
  <c r="DZ76" i="30"/>
  <c r="BA77" i="30"/>
  <c r="BA66" i="30"/>
  <c r="BI77" i="30"/>
  <c r="BI66" i="30"/>
  <c r="BQ77" i="30"/>
  <c r="BQ66" i="30"/>
  <c r="CF77" i="30"/>
  <c r="CN77" i="30"/>
  <c r="CV77" i="30"/>
  <c r="DH77" i="30"/>
  <c r="DP77" i="30"/>
  <c r="DX77" i="30"/>
  <c r="AX72" i="30"/>
  <c r="AX61" i="30"/>
  <c r="AX107" i="30" s="1"/>
  <c r="BF61" i="30"/>
  <c r="BF107" i="30" s="1"/>
  <c r="BF72" i="30"/>
  <c r="BN61" i="30"/>
  <c r="BN107" i="30" s="1"/>
  <c r="BN72" i="30"/>
  <c r="CC72" i="30"/>
  <c r="DE72" i="30"/>
  <c r="DM72" i="30"/>
  <c r="DU72" i="30"/>
  <c r="AY75" i="30"/>
  <c r="AY64" i="30"/>
  <c r="BG75" i="30"/>
  <c r="BG64" i="30"/>
  <c r="BO75" i="30"/>
  <c r="BO64" i="30"/>
  <c r="CD75" i="30"/>
  <c r="CL75" i="30"/>
  <c r="CT75" i="30"/>
  <c r="DF75" i="30"/>
  <c r="DN75" i="30"/>
  <c r="DV75" i="30"/>
  <c r="AV76" i="30"/>
  <c r="AV65" i="30"/>
  <c r="BD76" i="30"/>
  <c r="BD65" i="30"/>
  <c r="BL76" i="30"/>
  <c r="BL65" i="30"/>
  <c r="CI76" i="30"/>
  <c r="CQ76" i="30"/>
  <c r="CY76" i="30"/>
  <c r="DK76" i="30"/>
  <c r="DS76" i="30"/>
  <c r="EA76" i="30"/>
  <c r="AY78" i="30"/>
  <c r="AY67" i="30"/>
  <c r="BG78" i="30"/>
  <c r="BG67" i="30"/>
  <c r="BO78" i="30"/>
  <c r="BO67" i="30"/>
  <c r="CD78" i="30"/>
  <c r="CL78" i="30"/>
  <c r="CT78" i="30"/>
  <c r="DF78" i="30"/>
  <c r="DN78" i="30"/>
  <c r="DV78" i="30"/>
  <c r="AV79" i="30"/>
  <c r="AV68" i="30"/>
  <c r="BD79" i="30"/>
  <c r="BD68" i="30"/>
  <c r="BL79" i="30"/>
  <c r="BL68" i="30"/>
  <c r="CI79" i="30"/>
  <c r="CQ79" i="30"/>
  <c r="CY79" i="30"/>
  <c r="DK79" i="30"/>
  <c r="DS79" i="30"/>
  <c r="EA79" i="30"/>
  <c r="BB60" i="30"/>
  <c r="BB71" i="30"/>
  <c r="BJ71" i="30"/>
  <c r="BJ60" i="30"/>
  <c r="DI71" i="30"/>
  <c r="DQ71" i="30"/>
  <c r="DY71" i="30"/>
  <c r="AV62" i="30"/>
  <c r="AV108" i="30" s="1"/>
  <c r="AV73" i="30"/>
  <c r="BD62" i="30"/>
  <c r="BD108" i="30" s="1"/>
  <c r="BD73" i="30"/>
  <c r="BL62" i="30"/>
  <c r="BL108" i="30" s="1"/>
  <c r="BL73" i="30"/>
  <c r="CY73" i="30"/>
  <c r="DK73" i="30"/>
  <c r="DS73" i="30"/>
  <c r="EA73" i="30"/>
  <c r="BB74" i="30"/>
  <c r="BB63" i="30"/>
  <c r="BB109" i="30" s="1"/>
  <c r="BJ74" i="30"/>
  <c r="BJ63" i="30"/>
  <c r="BJ109" i="30" s="1"/>
  <c r="BR74" i="30"/>
  <c r="BR63" i="30"/>
  <c r="BR109" i="30" s="1"/>
  <c r="CG74" i="30"/>
  <c r="CO74" i="30"/>
  <c r="CW74" i="30"/>
  <c r="DI74" i="30"/>
  <c r="DQ74" i="30"/>
  <c r="DY74" i="30"/>
  <c r="AW76" i="30"/>
  <c r="AW65" i="30"/>
  <c r="BE76" i="30"/>
  <c r="BE65" i="30"/>
  <c r="BM76" i="30"/>
  <c r="BM65" i="30"/>
  <c r="CB76" i="30"/>
  <c r="CJ76" i="30"/>
  <c r="CR76" i="30"/>
  <c r="DL76" i="30"/>
  <c r="DT76" i="30"/>
  <c r="EB76" i="30"/>
  <c r="BC77" i="30"/>
  <c r="BC66" i="30"/>
  <c r="BK77" i="30"/>
  <c r="BK66" i="30"/>
  <c r="BS66" i="30"/>
  <c r="BS77" i="30"/>
  <c r="CH77" i="30"/>
  <c r="CP77" i="30"/>
  <c r="CX77" i="30"/>
  <c r="DJ77" i="30"/>
  <c r="DR77" i="30"/>
  <c r="DZ77" i="30"/>
  <c r="AZ78" i="30"/>
  <c r="AZ67" i="30"/>
  <c r="BH67" i="30"/>
  <c r="BH78" i="30"/>
  <c r="BP78" i="30"/>
  <c r="BP67" i="30"/>
  <c r="CE78" i="30"/>
  <c r="CM78" i="30"/>
  <c r="CU78" i="30"/>
  <c r="DG78" i="30"/>
  <c r="DO78" i="30"/>
  <c r="DW78" i="30"/>
  <c r="AW68" i="30"/>
  <c r="AW79" i="30"/>
  <c r="BE79" i="30"/>
  <c r="BE68" i="30"/>
  <c r="BM79" i="30"/>
  <c r="BM68" i="30"/>
  <c r="CB79" i="30"/>
  <c r="CJ79" i="30"/>
  <c r="CR79" i="30"/>
  <c r="DL79" i="30"/>
  <c r="DT79" i="30"/>
  <c r="EB79" i="30"/>
  <c r="BB80" i="30"/>
  <c r="BB69" i="30"/>
  <c r="BJ80" i="30"/>
  <c r="BJ69" i="30"/>
  <c r="BR69" i="30"/>
  <c r="BR80" i="30"/>
  <c r="CO80" i="30"/>
  <c r="DI80" i="30"/>
  <c r="DQ80" i="30"/>
  <c r="DY80" i="30"/>
  <c r="B96" i="30"/>
  <c r="D96" i="30" s="1"/>
  <c r="B97" i="30"/>
  <c r="D97" i="30" s="1"/>
  <c r="BH61" i="30"/>
  <c r="BH107" i="30" s="1"/>
  <c r="BH72" i="30"/>
  <c r="CE72" i="30"/>
  <c r="CU72" i="30"/>
  <c r="DG72" i="30"/>
  <c r="DO72" i="30"/>
  <c r="DW72" i="30"/>
  <c r="AW73" i="30"/>
  <c r="AW62" i="30"/>
  <c r="AW108" i="30" s="1"/>
  <c r="BE73" i="30"/>
  <c r="BE62" i="30"/>
  <c r="BE108" i="30" s="1"/>
  <c r="BM73" i="30"/>
  <c r="BM62" i="30"/>
  <c r="BM108" i="30" s="1"/>
  <c r="CB73" i="30"/>
  <c r="CJ73" i="30"/>
  <c r="CR73" i="30"/>
  <c r="DL73" i="30"/>
  <c r="DT73" i="30"/>
  <c r="EB73" i="30"/>
  <c r="BA75" i="30"/>
  <c r="BA64" i="30"/>
  <c r="BI75" i="30"/>
  <c r="BI64" i="30"/>
  <c r="BQ75" i="30"/>
  <c r="BQ64" i="30"/>
  <c r="CF75" i="30"/>
  <c r="CN75" i="30"/>
  <c r="CV75" i="30"/>
  <c r="DH75" i="30"/>
  <c r="DP75" i="30"/>
  <c r="DX75" i="30"/>
  <c r="AX76" i="30"/>
  <c r="AX65" i="30"/>
  <c r="BF76" i="30"/>
  <c r="BF65" i="30"/>
  <c r="BN76" i="30"/>
  <c r="BN65" i="30"/>
  <c r="CC76" i="30"/>
  <c r="CK76" i="30"/>
  <c r="CS76" i="30"/>
  <c r="DE76" i="30"/>
  <c r="DM76" i="30"/>
  <c r="DU76" i="30"/>
  <c r="BA78" i="30"/>
  <c r="BA67" i="30"/>
  <c r="BI78" i="30"/>
  <c r="BI67" i="30"/>
  <c r="BQ78" i="30"/>
  <c r="BQ67" i="30"/>
  <c r="CF78" i="30"/>
  <c r="CN78" i="30"/>
  <c r="CV78" i="30"/>
  <c r="DH78" i="30"/>
  <c r="DP78" i="30"/>
  <c r="DX78" i="30"/>
  <c r="AX79" i="30"/>
  <c r="AX68" i="30"/>
  <c r="BF79" i="30"/>
  <c r="BF68" i="30"/>
  <c r="BN79" i="30"/>
  <c r="BN68" i="30"/>
  <c r="CC79" i="30"/>
  <c r="CK79" i="30"/>
  <c r="CS79" i="30"/>
  <c r="DE79" i="30"/>
  <c r="DM79" i="30"/>
  <c r="DU79" i="30"/>
  <c r="BC80" i="30"/>
  <c r="CP80" i="30"/>
  <c r="DJ80" i="30"/>
  <c r="DR80" i="30"/>
  <c r="DZ80" i="30"/>
  <c r="AV60" i="30"/>
  <c r="AV71" i="30"/>
  <c r="BD60" i="30"/>
  <c r="BD71" i="30"/>
  <c r="BL60" i="30"/>
  <c r="BL71" i="30"/>
  <c r="DK71" i="30"/>
  <c r="DS71" i="30"/>
  <c r="EA71" i="30"/>
  <c r="AX73" i="30"/>
  <c r="AX62" i="30"/>
  <c r="AX108" i="30" s="1"/>
  <c r="BF73" i="30"/>
  <c r="BF62" i="30"/>
  <c r="BF108" i="30" s="1"/>
  <c r="BN73" i="30"/>
  <c r="BN62" i="30"/>
  <c r="BN108" i="30" s="1"/>
  <c r="DE73" i="30"/>
  <c r="DM73" i="30"/>
  <c r="DU73" i="30"/>
  <c r="BL74" i="30"/>
  <c r="BL63" i="30"/>
  <c r="BL109" i="30" s="1"/>
  <c r="CI74" i="30"/>
  <c r="CQ74" i="30"/>
  <c r="CY74" i="30"/>
  <c r="DK74" i="30"/>
  <c r="DS74" i="30"/>
  <c r="EA74" i="30"/>
  <c r="BB75" i="30"/>
  <c r="BB64" i="30"/>
  <c r="BJ75" i="30"/>
  <c r="BJ64" i="30"/>
  <c r="BR75" i="30"/>
  <c r="BR64" i="30"/>
  <c r="CG75" i="30"/>
  <c r="CO75" i="30"/>
  <c r="CW75" i="30"/>
  <c r="DI75" i="30"/>
  <c r="DQ75" i="30"/>
  <c r="DY75" i="30"/>
  <c r="AY65" i="30"/>
  <c r="AY76" i="30"/>
  <c r="BG65" i="30"/>
  <c r="BG76" i="30"/>
  <c r="BO76" i="30"/>
  <c r="BO65" i="30"/>
  <c r="CD76" i="30"/>
  <c r="CL76" i="30"/>
  <c r="CT76" i="30"/>
  <c r="DF76" i="30"/>
  <c r="DN76" i="30"/>
  <c r="DV76" i="30"/>
  <c r="AW66" i="30"/>
  <c r="AW77" i="30"/>
  <c r="BE66" i="30"/>
  <c r="BE77" i="30"/>
  <c r="BM77" i="30"/>
  <c r="BM66" i="30"/>
  <c r="CB77" i="30"/>
  <c r="CJ77" i="30"/>
  <c r="CR77" i="30"/>
  <c r="DL77" i="30"/>
  <c r="DT77" i="30"/>
  <c r="EB77" i="30"/>
  <c r="BB78" i="30"/>
  <c r="BB67" i="30"/>
  <c r="BJ67" i="30"/>
  <c r="BJ78" i="30"/>
  <c r="BR78" i="30"/>
  <c r="BR67" i="30"/>
  <c r="CG78" i="30"/>
  <c r="CO78" i="30"/>
  <c r="CW78" i="30"/>
  <c r="DI78" i="30"/>
  <c r="DQ78" i="30"/>
  <c r="DY78" i="30"/>
  <c r="AY68" i="30"/>
  <c r="AY79" i="30"/>
  <c r="BG79" i="30"/>
  <c r="BG68" i="30"/>
  <c r="BO79" i="30"/>
  <c r="BO68" i="30"/>
  <c r="CD79" i="30"/>
  <c r="CL79" i="30"/>
  <c r="CT79" i="30"/>
  <c r="DF79" i="30"/>
  <c r="DN79" i="30"/>
  <c r="DV79" i="30"/>
  <c r="BL80" i="30"/>
  <c r="DK80" i="30"/>
  <c r="DS80" i="30"/>
  <c r="EA80" i="30"/>
  <c r="BZ69" i="30"/>
  <c r="BZ46" i="30"/>
  <c r="BZ35" i="30"/>
  <c r="BZ98" i="30" s="1"/>
  <c r="BI71" i="30"/>
  <c r="BI60" i="30"/>
  <c r="DH71" i="30"/>
  <c r="BI72" i="30"/>
  <c r="BI61" i="30"/>
  <c r="BI107" i="30" s="1"/>
  <c r="CF72" i="30"/>
  <c r="DH72" i="30"/>
  <c r="DX72" i="30"/>
  <c r="BA73" i="30"/>
  <c r="BA62" i="30"/>
  <c r="BA108" i="30" s="1"/>
  <c r="BQ73" i="30"/>
  <c r="BQ62" i="30"/>
  <c r="BQ108" i="30" s="1"/>
  <c r="DH73" i="30"/>
  <c r="DP73" i="30"/>
  <c r="DX73" i="30"/>
  <c r="CF74" i="30"/>
  <c r="CN74" i="30"/>
  <c r="CV74" i="30"/>
  <c r="DH74" i="30"/>
  <c r="DP74" i="30"/>
  <c r="DX74" i="30"/>
  <c r="AZ76" i="30"/>
  <c r="AZ65" i="30"/>
  <c r="BH76" i="30"/>
  <c r="BH65" i="30"/>
  <c r="BP76" i="30"/>
  <c r="BP65" i="30"/>
  <c r="CE76" i="30"/>
  <c r="CM76" i="30"/>
  <c r="CU76" i="30"/>
  <c r="DG76" i="30"/>
  <c r="DW76" i="30"/>
  <c r="BB77" i="30"/>
  <c r="BB66" i="30"/>
  <c r="BJ77" i="30"/>
  <c r="BJ66" i="30"/>
  <c r="CG77" i="30"/>
  <c r="CO77" i="30"/>
  <c r="CW77" i="30"/>
  <c r="DI77" i="30"/>
  <c r="DQ77" i="30"/>
  <c r="DY77" i="30"/>
  <c r="AV78" i="30"/>
  <c r="AV67" i="30"/>
  <c r="BD78" i="30"/>
  <c r="BD67" i="30"/>
  <c r="BL78" i="30"/>
  <c r="BL67" i="30"/>
  <c r="CI78" i="30"/>
  <c r="CQ78" i="30"/>
  <c r="DK78" i="30"/>
  <c r="DS78" i="30"/>
  <c r="EA78" i="30"/>
  <c r="BA79" i="30"/>
  <c r="BA68" i="30"/>
  <c r="BI79" i="30"/>
  <c r="BI68" i="30"/>
  <c r="BQ79" i="30"/>
  <c r="BQ68" i="30"/>
  <c r="CF79" i="30"/>
  <c r="CV79" i="30"/>
  <c r="DH79" i="30"/>
  <c r="DP79" i="30"/>
  <c r="DX79" i="30"/>
  <c r="BZ27" i="30"/>
  <c r="BZ91" i="30" s="1"/>
  <c r="DC28" i="30"/>
  <c r="DC92" i="30" s="1"/>
  <c r="DC37" i="30"/>
  <c r="BN64" i="30"/>
  <c r="BB65" i="30"/>
  <c r="AZ66" i="30"/>
  <c r="AX67" i="30"/>
  <c r="BA71" i="30"/>
  <c r="BA60" i="30"/>
  <c r="CV71" i="30"/>
  <c r="DP71" i="30"/>
  <c r="DX71" i="30"/>
  <c r="DP72" i="30"/>
  <c r="BI73" i="30"/>
  <c r="BI62" i="30"/>
  <c r="BI108" i="30" s="1"/>
  <c r="BI74" i="30"/>
  <c r="BI63" i="30"/>
  <c r="BI109" i="30" s="1"/>
  <c r="AT7" i="30"/>
  <c r="BZ67" i="30"/>
  <c r="BZ33" i="30"/>
  <c r="BZ96" i="30" s="1"/>
  <c r="BZ44" i="30"/>
  <c r="DC46" i="30"/>
  <c r="DC69" i="30"/>
  <c r="DC35" i="30"/>
  <c r="DC98" i="30" s="1"/>
  <c r="AT21" i="30"/>
  <c r="BC26" i="30"/>
  <c r="BC71" i="30" s="1"/>
  <c r="BK26" i="30"/>
  <c r="BK71" i="30" s="1"/>
  <c r="BS26" i="30"/>
  <c r="DH26" i="30"/>
  <c r="DP26" i="30"/>
  <c r="DX26" i="30"/>
  <c r="AW27" i="30"/>
  <c r="AW72" i="30" s="1"/>
  <c r="BE27" i="30"/>
  <c r="BM27" i="30"/>
  <c r="DJ27" i="30"/>
  <c r="DR27" i="30"/>
  <c r="DZ27" i="30"/>
  <c r="CS73" i="30"/>
  <c r="DL28" i="30"/>
  <c r="DT28" i="30"/>
  <c r="EB28" i="30"/>
  <c r="BA29" i="30"/>
  <c r="BA63" i="30" s="1"/>
  <c r="BA109" i="30" s="1"/>
  <c r="BI29" i="30"/>
  <c r="BQ29" i="30"/>
  <c r="BQ63" i="30" s="1"/>
  <c r="BQ109" i="30" s="1"/>
  <c r="DF29" i="30"/>
  <c r="DN29" i="30"/>
  <c r="DV29" i="30"/>
  <c r="BC30" i="30"/>
  <c r="BK30" i="30"/>
  <c r="BS30" i="30"/>
  <c r="BB31" i="30"/>
  <c r="BJ31" i="30"/>
  <c r="BR31" i="30"/>
  <c r="DG31" i="30"/>
  <c r="DO31" i="30"/>
  <c r="DW31" i="30"/>
  <c r="BA32" i="30"/>
  <c r="BI32" i="30"/>
  <c r="BQ32" i="30"/>
  <c r="BB33" i="30"/>
  <c r="DL35" i="30"/>
  <c r="BZ41" i="30"/>
  <c r="DC33" i="30"/>
  <c r="DC96" i="30" s="1"/>
  <c r="DC67" i="30"/>
  <c r="CP71" i="30"/>
  <c r="DJ71" i="30"/>
  <c r="DR71" i="30"/>
  <c r="DZ71" i="30"/>
  <c r="BK72" i="30"/>
  <c r="BK61" i="30"/>
  <c r="BK107" i="30" s="1"/>
  <c r="CH72" i="30"/>
  <c r="CP72" i="30"/>
  <c r="DJ72" i="30"/>
  <c r="DR72" i="30"/>
  <c r="DZ72" i="30"/>
  <c r="BS73" i="30"/>
  <c r="BS62" i="30"/>
  <c r="BS108" i="30" s="1"/>
  <c r="DJ73" i="30"/>
  <c r="DZ73" i="30"/>
  <c r="BK74" i="30"/>
  <c r="BK63" i="30"/>
  <c r="BK109" i="30" s="1"/>
  <c r="CH74" i="30"/>
  <c r="CP74" i="30"/>
  <c r="CX74" i="30"/>
  <c r="DJ74" i="30"/>
  <c r="DR74" i="30"/>
  <c r="DZ74" i="30"/>
  <c r="AZ75" i="30"/>
  <c r="AZ64" i="30"/>
  <c r="BH75" i="30"/>
  <c r="BH64" i="30"/>
  <c r="BP75" i="30"/>
  <c r="BP64" i="30"/>
  <c r="CE75" i="30"/>
  <c r="CM75" i="30"/>
  <c r="CU75" i="30"/>
  <c r="DG75" i="30"/>
  <c r="DO75" i="30"/>
  <c r="DW75" i="30"/>
  <c r="BJ76" i="30"/>
  <c r="BJ65" i="30"/>
  <c r="BR76" i="30"/>
  <c r="BR65" i="30"/>
  <c r="CG76" i="30"/>
  <c r="CO76" i="30"/>
  <c r="CW76" i="30"/>
  <c r="DI76" i="30"/>
  <c r="DQ76" i="30"/>
  <c r="AV77" i="30"/>
  <c r="AV66" i="30"/>
  <c r="BD77" i="30"/>
  <c r="BD66" i="30"/>
  <c r="BL77" i="30"/>
  <c r="BL66" i="30"/>
  <c r="CI77" i="30"/>
  <c r="CY77" i="30"/>
  <c r="DK77" i="30"/>
  <c r="DS77" i="30"/>
  <c r="EA77" i="30"/>
  <c r="BF78" i="30"/>
  <c r="BF67" i="30"/>
  <c r="BF113" i="30" s="1"/>
  <c r="BN78" i="30"/>
  <c r="BN67" i="30"/>
  <c r="CC78" i="30"/>
  <c r="CK78" i="30"/>
  <c r="CS78" i="30"/>
  <c r="DE78" i="30"/>
  <c r="DM78" i="30"/>
  <c r="BC79" i="30"/>
  <c r="BC68" i="30"/>
  <c r="BK79" i="30"/>
  <c r="BK68" i="30"/>
  <c r="BS79" i="30"/>
  <c r="BS68" i="30"/>
  <c r="CH79" i="30"/>
  <c r="CP79" i="30"/>
  <c r="CX79" i="30"/>
  <c r="DR79" i="30"/>
  <c r="DZ79" i="30"/>
  <c r="AZ80" i="30"/>
  <c r="AZ69" i="30"/>
  <c r="BH80" i="30"/>
  <c r="BH69" i="30"/>
  <c r="BP80" i="30"/>
  <c r="BP69" i="30"/>
  <c r="CM80" i="30"/>
  <c r="DO80" i="30"/>
  <c r="DW80" i="30"/>
  <c r="BZ26" i="30"/>
  <c r="BZ90" i="30" s="1"/>
  <c r="BC31" i="30"/>
  <c r="BK31" i="30"/>
  <c r="BS31" i="30"/>
  <c r="BZ65" i="30"/>
  <c r="BR66" i="30"/>
  <c r="DC61" i="30"/>
  <c r="DC38" i="30"/>
  <c r="DC40" i="30"/>
  <c r="DC63" i="30"/>
  <c r="BZ17" i="30"/>
  <c r="BZ50" i="30" s="1"/>
  <c r="BZ18" i="30"/>
  <c r="BZ51" i="30" s="1"/>
  <c r="DC21" i="30"/>
  <c r="DC54" i="30" s="1"/>
  <c r="BI69" i="30"/>
  <c r="CF80" i="30"/>
  <c r="CN80" i="30"/>
  <c r="CV80" i="30"/>
  <c r="DH80" i="30"/>
  <c r="DX80" i="30"/>
  <c r="DL27" i="30"/>
  <c r="DT27" i="30"/>
  <c r="EB27" i="30"/>
  <c r="BC29" i="30"/>
  <c r="BC63" i="30" s="1"/>
  <c r="BC109" i="30" s="1"/>
  <c r="BK29" i="30"/>
  <c r="BS29" i="30"/>
  <c r="BS74" i="30" s="1"/>
  <c r="AV31" i="30"/>
  <c r="BD31" i="30"/>
  <c r="BL31" i="30"/>
  <c r="BZ31" i="30"/>
  <c r="BZ95" i="30" s="1"/>
  <c r="BC32" i="30"/>
  <c r="BK32" i="30"/>
  <c r="BS32" i="30"/>
  <c r="C206" i="30"/>
  <c r="BZ61" i="30"/>
  <c r="BZ38" i="30"/>
  <c r="DR73" i="30"/>
  <c r="AT8" i="30"/>
  <c r="BZ68" i="30"/>
  <c r="BZ45" i="30"/>
  <c r="DC15" i="30"/>
  <c r="DC48" i="30" s="1"/>
  <c r="DC16" i="30"/>
  <c r="DC49" i="30" s="1"/>
  <c r="DC18" i="30"/>
  <c r="DC51" i="30" s="1"/>
  <c r="BZ20" i="30"/>
  <c r="BZ53" i="30" s="1"/>
  <c r="CJ71" i="30"/>
  <c r="DC26" i="30"/>
  <c r="DC90" i="30" s="1"/>
  <c r="AZ27" i="30"/>
  <c r="AZ72" i="30" s="1"/>
  <c r="BH27" i="30"/>
  <c r="BP27" i="30"/>
  <c r="CL72" i="30"/>
  <c r="CT72" i="30"/>
  <c r="DE27" i="30"/>
  <c r="DM27" i="30"/>
  <c r="DU27" i="30"/>
  <c r="CF73" i="30"/>
  <c r="CV73" i="30"/>
  <c r="AV29" i="30"/>
  <c r="AV74" i="30" s="1"/>
  <c r="BD29" i="30"/>
  <c r="BD63" i="30" s="1"/>
  <c r="BD109" i="30" s="1"/>
  <c r="BL29" i="30"/>
  <c r="DI29" i="30"/>
  <c r="DQ29" i="30"/>
  <c r="DY29" i="30"/>
  <c r="AW31" i="30"/>
  <c r="BE31" i="30"/>
  <c r="BM31" i="30"/>
  <c r="DJ31" i="30"/>
  <c r="DR31" i="30"/>
  <c r="DZ31" i="30"/>
  <c r="AV32" i="30"/>
  <c r="BD32" i="30"/>
  <c r="BL32" i="30"/>
  <c r="DC32" i="30"/>
  <c r="BL33" i="30"/>
  <c r="BD33" i="30"/>
  <c r="AV33" i="30"/>
  <c r="BQ33" i="30"/>
  <c r="BI33" i="30"/>
  <c r="BA33" i="30"/>
  <c r="BF33" i="30"/>
  <c r="BP33" i="30"/>
  <c r="BZ34" i="30"/>
  <c r="BZ97" i="30" s="1"/>
  <c r="DT35" i="30"/>
  <c r="F69" i="30"/>
  <c r="BZ40" i="30"/>
  <c r="BZ63" i="30"/>
  <c r="DC65" i="30"/>
  <c r="DC42" i="30"/>
  <c r="AT4" i="30"/>
  <c r="BZ110" i="30"/>
  <c r="BZ75" i="30"/>
  <c r="BZ43" i="30"/>
  <c r="BZ66" i="30"/>
  <c r="DC68" i="30"/>
  <c r="DC45" i="30"/>
  <c r="DC34" i="30"/>
  <c r="DC97" i="30" s="1"/>
  <c r="AT19" i="30"/>
  <c r="DC20" i="30"/>
  <c r="DC53" i="30" s="1"/>
  <c r="AT24" i="30"/>
  <c r="AY26" i="30"/>
  <c r="AY71" i="30" s="1"/>
  <c r="BG26" i="30"/>
  <c r="BG71" i="30" s="1"/>
  <c r="CS71" i="30"/>
  <c r="DL26" i="30"/>
  <c r="DT26" i="30"/>
  <c r="BA27" i="30"/>
  <c r="BA72" i="30" s="1"/>
  <c r="BI27" i="30"/>
  <c r="BQ27" i="30"/>
  <c r="BQ72" i="30" s="1"/>
  <c r="CM72" i="30"/>
  <c r="DF27" i="30"/>
  <c r="DN27" i="30"/>
  <c r="DV27" i="30"/>
  <c r="BC28" i="30"/>
  <c r="BC73" i="30" s="1"/>
  <c r="BK28" i="30"/>
  <c r="BK73" i="30" s="1"/>
  <c r="DH28" i="30"/>
  <c r="DP28" i="30"/>
  <c r="AW29" i="30"/>
  <c r="AW74" i="30" s="1"/>
  <c r="BE29" i="30"/>
  <c r="BM29" i="30"/>
  <c r="DJ29" i="30"/>
  <c r="DR29" i="30"/>
  <c r="DZ29" i="30"/>
  <c r="AY30" i="30"/>
  <c r="BG30" i="30"/>
  <c r="DL30" i="30"/>
  <c r="DT30" i="30"/>
  <c r="AX31" i="30"/>
  <c r="BF31" i="30"/>
  <c r="BN31" i="30"/>
  <c r="DC31" i="30"/>
  <c r="DC95" i="30" s="1"/>
  <c r="DK31" i="30"/>
  <c r="DS31" i="30"/>
  <c r="EA31" i="30"/>
  <c r="AW32" i="30"/>
  <c r="BE32" i="30"/>
  <c r="BM32" i="30"/>
  <c r="DZ32" i="30"/>
  <c r="DR32" i="30"/>
  <c r="DJ32" i="30"/>
  <c r="DW32" i="30"/>
  <c r="DO32" i="30"/>
  <c r="DM32" i="30"/>
  <c r="DX32" i="30"/>
  <c r="AW33" i="30"/>
  <c r="BG33" i="30"/>
  <c r="BR33" i="30"/>
  <c r="EA33" i="30"/>
  <c r="DS33" i="30"/>
  <c r="DK33" i="30"/>
  <c r="DY33" i="30"/>
  <c r="DQ33" i="30"/>
  <c r="DI33" i="30"/>
  <c r="DX33" i="30"/>
  <c r="DP33" i="30"/>
  <c r="DH33" i="30"/>
  <c r="DV33" i="30"/>
  <c r="DN33" i="30"/>
  <c r="DF33" i="30"/>
  <c r="DT33" i="30"/>
  <c r="DC44" i="30"/>
  <c r="DC66" i="30"/>
  <c r="BZ60" i="30"/>
  <c r="BZ37" i="30"/>
  <c r="BZ108" i="30"/>
  <c r="BZ73" i="30"/>
  <c r="DC64" i="30"/>
  <c r="DC41" i="30"/>
  <c r="DF71" i="30"/>
  <c r="DN71" i="30"/>
  <c r="DV71" i="30"/>
  <c r="AY72" i="30"/>
  <c r="AY61" i="30"/>
  <c r="AY107" i="30" s="1"/>
  <c r="BG72" i="30"/>
  <c r="BG61" i="30"/>
  <c r="BG107" i="30" s="1"/>
  <c r="CD72" i="30"/>
  <c r="DF72" i="30"/>
  <c r="DN72" i="30"/>
  <c r="DV72" i="30"/>
  <c r="AY73" i="30"/>
  <c r="AY62" i="30"/>
  <c r="AY108" i="30" s="1"/>
  <c r="BG73" i="30"/>
  <c r="BG62" i="30"/>
  <c r="BG108" i="30" s="1"/>
  <c r="BO73" i="30"/>
  <c r="BO62" i="30"/>
  <c r="BO108" i="30" s="1"/>
  <c r="CD73" i="30"/>
  <c r="CL73" i="30"/>
  <c r="CT73" i="30"/>
  <c r="DF73" i="30"/>
  <c r="DN73" i="30"/>
  <c r="DV73" i="30"/>
  <c r="BG74" i="30"/>
  <c r="BG63" i="30"/>
  <c r="BG109" i="30" s="1"/>
  <c r="CD74" i="30"/>
  <c r="CL74" i="30"/>
  <c r="CT74" i="30"/>
  <c r="DF74" i="30"/>
  <c r="DN74" i="30"/>
  <c r="DV74" i="30"/>
  <c r="AV75" i="30"/>
  <c r="AV64" i="30"/>
  <c r="BD75" i="30"/>
  <c r="BD64" i="30"/>
  <c r="BL75" i="30"/>
  <c r="BL64" i="30"/>
  <c r="CI75" i="30"/>
  <c r="CQ75" i="30"/>
  <c r="CY75" i="30"/>
  <c r="DK75" i="30"/>
  <c r="DS75" i="30"/>
  <c r="EA75" i="30"/>
  <c r="BH77" i="30"/>
  <c r="BH66" i="30"/>
  <c r="BP77" i="30"/>
  <c r="BP66" i="30"/>
  <c r="CE77" i="30"/>
  <c r="CM77" i="30"/>
  <c r="CU77" i="30"/>
  <c r="DG77" i="30"/>
  <c r="DO77" i="30"/>
  <c r="BZ24" i="30"/>
  <c r="BZ57" i="30" s="1"/>
  <c r="CD71" i="30"/>
  <c r="BB27" i="30"/>
  <c r="BB61" i="30" s="1"/>
  <c r="BB107" i="30" s="1"/>
  <c r="BJ27" i="30"/>
  <c r="BR27" i="30"/>
  <c r="BR72" i="30" s="1"/>
  <c r="DG27" i="30"/>
  <c r="DO27" i="30"/>
  <c r="DW27" i="30"/>
  <c r="BZ28" i="30"/>
  <c r="BZ92" i="30" s="1"/>
  <c r="CX73" i="30"/>
  <c r="AX29" i="30"/>
  <c r="AX74" i="30" s="1"/>
  <c r="BF29" i="30"/>
  <c r="BN29" i="30"/>
  <c r="DC29" i="30"/>
  <c r="DC93" i="30" s="1"/>
  <c r="DK29" i="30"/>
  <c r="DS29" i="30"/>
  <c r="EA29" i="30"/>
  <c r="AY31" i="30"/>
  <c r="BG31" i="30"/>
  <c r="BO31" i="30"/>
  <c r="DL31" i="30"/>
  <c r="DT31" i="30"/>
  <c r="AX32" i="30"/>
  <c r="BF32" i="30"/>
  <c r="BN32" i="30"/>
  <c r="EA35" i="30"/>
  <c r="DS35" i="30"/>
  <c r="DK35" i="30"/>
  <c r="DZ35" i="30"/>
  <c r="DR35" i="30"/>
  <c r="DJ35" i="30"/>
  <c r="DY35" i="30"/>
  <c r="DQ35" i="30"/>
  <c r="DI35" i="30"/>
  <c r="DX35" i="30"/>
  <c r="DP35" i="30"/>
  <c r="DH35" i="30"/>
  <c r="DV35" i="30"/>
  <c r="DN35" i="30"/>
  <c r="DF35" i="30"/>
  <c r="DW35" i="30"/>
  <c r="BB99" i="30"/>
  <c r="BB100" i="30" s="1"/>
  <c r="BB101" i="30" s="1"/>
  <c r="BJ99" i="30"/>
  <c r="BJ100" i="30" s="1"/>
  <c r="BJ101" i="30" s="1"/>
  <c r="BZ39" i="30"/>
  <c r="AX64" i="30"/>
  <c r="CK100" i="30"/>
  <c r="CK101" i="30" s="1"/>
  <c r="BM100" i="30"/>
  <c r="BM101" i="30" s="1"/>
  <c r="CY100" i="30"/>
  <c r="CY101" i="30" s="1"/>
  <c r="CI100" i="30"/>
  <c r="CI101" i="30" s="1"/>
  <c r="EA100" i="30"/>
  <c r="EA101" i="30" s="1"/>
  <c r="DK100" i="30"/>
  <c r="DK101" i="30" s="1"/>
  <c r="DC106" i="30"/>
  <c r="DC71" i="30"/>
  <c r="DC39" i="30"/>
  <c r="DC62" i="30"/>
  <c r="DC19" i="30"/>
  <c r="DC52" i="30" s="1"/>
  <c r="AW80" i="30"/>
  <c r="AW69" i="30"/>
  <c r="BE80" i="30"/>
  <c r="BE69" i="30"/>
  <c r="BM69" i="30"/>
  <c r="CR80" i="30"/>
  <c r="DL80" i="30"/>
  <c r="DT80" i="30"/>
  <c r="EB80" i="30"/>
  <c r="CE71" i="30"/>
  <c r="BC27" i="30"/>
  <c r="BC61" i="30" s="1"/>
  <c r="BC107" i="30" s="1"/>
  <c r="BK27" i="30"/>
  <c r="BS27" i="30"/>
  <c r="BS72" i="30" s="1"/>
  <c r="CG72" i="30"/>
  <c r="DH27" i="30"/>
  <c r="DP27" i="30"/>
  <c r="AY29" i="30"/>
  <c r="AY74" i="30" s="1"/>
  <c r="BG29" i="30"/>
  <c r="BO29" i="30"/>
  <c r="BO74" i="30" s="1"/>
  <c r="DL29" i="30"/>
  <c r="DT29" i="30"/>
  <c r="AZ31" i="30"/>
  <c r="BH31" i="30"/>
  <c r="BP31" i="30"/>
  <c r="AY32" i="30"/>
  <c r="BG32" i="30"/>
  <c r="BO32" i="30"/>
  <c r="BC99" i="30"/>
  <c r="BC100" i="30" s="1"/>
  <c r="BC101" i="30" s="1"/>
  <c r="BK99" i="30"/>
  <c r="BK100" i="30" s="1"/>
  <c r="BK101" i="30" s="1"/>
  <c r="B107" i="30"/>
  <c r="B124" i="30" s="1"/>
  <c r="BF64" i="30"/>
  <c r="BC34" i="30"/>
  <c r="BK34" i="30"/>
  <c r="BS34" i="30"/>
  <c r="DH34" i="30"/>
  <c r="DP34" i="30"/>
  <c r="DX34" i="30"/>
  <c r="BA35" i="30"/>
  <c r="BA80" i="30" s="1"/>
  <c r="BI35" i="30"/>
  <c r="BI80" i="30" s="1"/>
  <c r="BQ35" i="30"/>
  <c r="BQ80" i="30" s="1"/>
  <c r="CE80" i="30"/>
  <c r="CU80" i="30"/>
  <c r="AV99" i="30"/>
  <c r="AV100" i="30" s="1"/>
  <c r="AV101" i="30" s="1"/>
  <c r="BD99" i="30"/>
  <c r="BD100" i="30" s="1"/>
  <c r="BD101" i="30" s="1"/>
  <c r="BL99" i="30"/>
  <c r="BL100" i="30" s="1"/>
  <c r="BL101" i="30" s="1"/>
  <c r="CB99" i="30"/>
  <c r="CB100" i="30" s="1"/>
  <c r="CB101" i="30" s="1"/>
  <c r="CJ99" i="30"/>
  <c r="CJ100" i="30" s="1"/>
  <c r="CJ101" i="30" s="1"/>
  <c r="CR99" i="30"/>
  <c r="CR100" i="30" s="1"/>
  <c r="CR101" i="30" s="1"/>
  <c r="DL99" i="30"/>
  <c r="DL100" i="30" s="1"/>
  <c r="DL101" i="30" s="1"/>
  <c r="DT99" i="30"/>
  <c r="DT100" i="30" s="1"/>
  <c r="DT101" i="30" s="1"/>
  <c r="EB99" i="30"/>
  <c r="EB100" i="30" s="1"/>
  <c r="EB101" i="30" s="1"/>
  <c r="BM34" i="30"/>
  <c r="DJ34" i="30"/>
  <c r="DR34" i="30"/>
  <c r="DZ34" i="30"/>
  <c r="BC35" i="30"/>
  <c r="BC69" i="30" s="1"/>
  <c r="BK35" i="30"/>
  <c r="BK80" i="30" s="1"/>
  <c r="BS35" i="30"/>
  <c r="BS80" i="30" s="1"/>
  <c r="CG80" i="30"/>
  <c r="CW80" i="30"/>
  <c r="AX99" i="30"/>
  <c r="AX100" i="30" s="1"/>
  <c r="AX101" i="30" s="1"/>
  <c r="BF99" i="30"/>
  <c r="BF100" i="30" s="1"/>
  <c r="BF101" i="30" s="1"/>
  <c r="BN99" i="30"/>
  <c r="BN100" i="30" s="1"/>
  <c r="BN101" i="30" s="1"/>
  <c r="CD99" i="30"/>
  <c r="CD100" i="30" s="1"/>
  <c r="CD101" i="30" s="1"/>
  <c r="CL99" i="30"/>
  <c r="CL100" i="30" s="1"/>
  <c r="CL101" i="30" s="1"/>
  <c r="CT99" i="30"/>
  <c r="CT100" i="30" s="1"/>
  <c r="CT101" i="30" s="1"/>
  <c r="DF99" i="30"/>
  <c r="DF100" i="30" s="1"/>
  <c r="DF101" i="30" s="1"/>
  <c r="DN99" i="30"/>
  <c r="DN100" i="30" s="1"/>
  <c r="DN101" i="30" s="1"/>
  <c r="DV99" i="30"/>
  <c r="DV100" i="30" s="1"/>
  <c r="DV101" i="30" s="1"/>
  <c r="AX34" i="30"/>
  <c r="BF34" i="30"/>
  <c r="BN34" i="30"/>
  <c r="DK34" i="30"/>
  <c r="DS34" i="30"/>
  <c r="EA34" i="30"/>
  <c r="AV35" i="30"/>
  <c r="AV69" i="30" s="1"/>
  <c r="BD35" i="30"/>
  <c r="BD69" i="30" s="1"/>
  <c r="BL35" i="30"/>
  <c r="BL69" i="30" s="1"/>
  <c r="CH80" i="30"/>
  <c r="CX80" i="30"/>
  <c r="AY99" i="30"/>
  <c r="AY100" i="30" s="1"/>
  <c r="AY101" i="30" s="1"/>
  <c r="BG99" i="30"/>
  <c r="BG100" i="30" s="1"/>
  <c r="BG101" i="30" s="1"/>
  <c r="CE99" i="30"/>
  <c r="CE100" i="30" s="1"/>
  <c r="CE101" i="30" s="1"/>
  <c r="CM99" i="30"/>
  <c r="CM100" i="30" s="1"/>
  <c r="CM101" i="30" s="1"/>
  <c r="CU99" i="30"/>
  <c r="CU100" i="30" s="1"/>
  <c r="CU101" i="30" s="1"/>
  <c r="DG99" i="30"/>
  <c r="DG100" i="30" s="1"/>
  <c r="DG101" i="30" s="1"/>
  <c r="DO99" i="30"/>
  <c r="DO100" i="30" s="1"/>
  <c r="DO101" i="30" s="1"/>
  <c r="DW99" i="30"/>
  <c r="DW100" i="30" s="1"/>
  <c r="DW101" i="30" s="1"/>
  <c r="DL34" i="30"/>
  <c r="DT34" i="30"/>
  <c r="EB34" i="30"/>
  <c r="BM35" i="30"/>
  <c r="BM80" i="30" s="1"/>
  <c r="CI80" i="30"/>
  <c r="CQ80" i="30"/>
  <c r="AZ99" i="30"/>
  <c r="AZ100" i="30" s="1"/>
  <c r="AZ101" i="30" s="1"/>
  <c r="BH99" i="30"/>
  <c r="BH100" i="30" s="1"/>
  <c r="BH101" i="30" s="1"/>
  <c r="BP99" i="30"/>
  <c r="BP100" i="30" s="1"/>
  <c r="BP101" i="30" s="1"/>
  <c r="CF99" i="30"/>
  <c r="CF100" i="30" s="1"/>
  <c r="CF101" i="30" s="1"/>
  <c r="CN99" i="30"/>
  <c r="CN100" i="30" s="1"/>
  <c r="CN101" i="30" s="1"/>
  <c r="CV99" i="30"/>
  <c r="CV100" i="30" s="1"/>
  <c r="CV101" i="30" s="1"/>
  <c r="DH99" i="30"/>
  <c r="DH100" i="30" s="1"/>
  <c r="DH101" i="30" s="1"/>
  <c r="DP99" i="30"/>
  <c r="DP100" i="30" s="1"/>
  <c r="DP101" i="30" s="1"/>
  <c r="DX99" i="30"/>
  <c r="DX100" i="30" s="1"/>
  <c r="DX101" i="30" s="1"/>
  <c r="DE34" i="30"/>
  <c r="DM34" i="30"/>
  <c r="AX35" i="30"/>
  <c r="AX80" i="30" s="1"/>
  <c r="BF35" i="30"/>
  <c r="BF69" i="30" s="1"/>
  <c r="BA99" i="30"/>
  <c r="BA100" i="30" s="1"/>
  <c r="BA101" i="30" s="1"/>
  <c r="BI99" i="30"/>
  <c r="BI100" i="30" s="1"/>
  <c r="BI101" i="30" s="1"/>
  <c r="CG99" i="30"/>
  <c r="CG100" i="30" s="1"/>
  <c r="CG101" i="30" s="1"/>
  <c r="CO99" i="30"/>
  <c r="CO100" i="30" s="1"/>
  <c r="CO101" i="30" s="1"/>
  <c r="CW99" i="30"/>
  <c r="CW100" i="30" s="1"/>
  <c r="CW101" i="30" s="1"/>
  <c r="DI99" i="30"/>
  <c r="DI100" i="30" s="1"/>
  <c r="DI101" i="30" s="1"/>
  <c r="DQ99" i="30"/>
  <c r="DQ100" i="30" s="1"/>
  <c r="DQ101" i="30" s="1"/>
  <c r="DY99" i="30"/>
  <c r="DY100" i="30" s="1"/>
  <c r="DY101" i="30" s="1"/>
  <c r="CH99" i="30"/>
  <c r="CH100" i="30" s="1"/>
  <c r="CH101" i="30" s="1"/>
  <c r="CP99" i="30"/>
  <c r="CP100" i="30" s="1"/>
  <c r="CP101" i="30" s="1"/>
  <c r="CX99" i="30"/>
  <c r="CX100" i="30" s="1"/>
  <c r="CX101" i="30" s="1"/>
  <c r="DJ99" i="30"/>
  <c r="DJ100" i="30" s="1"/>
  <c r="DJ101" i="30" s="1"/>
  <c r="DR99" i="30"/>
  <c r="DR100" i="30" s="1"/>
  <c r="DR101" i="30" s="1"/>
  <c r="DZ99" i="30"/>
  <c r="DZ100" i="30" s="1"/>
  <c r="DZ101" i="30" s="1"/>
  <c r="B111" i="30"/>
  <c r="B116" i="30"/>
  <c r="F6" i="31"/>
  <c r="BQ92" i="31"/>
  <c r="BI92" i="31"/>
  <c r="BA92" i="31"/>
  <c r="AS92" i="31"/>
  <c r="AK92" i="31"/>
  <c r="AC92" i="31"/>
  <c r="BT92" i="31"/>
  <c r="BK92" i="31"/>
  <c r="BB92" i="31"/>
  <c r="AR92" i="31"/>
  <c r="AI92" i="31"/>
  <c r="BS92" i="31"/>
  <c r="BJ92" i="31"/>
  <c r="AZ92" i="31"/>
  <c r="AQ92" i="31"/>
  <c r="AH92" i="31"/>
  <c r="BR92" i="31"/>
  <c r="BH92" i="31"/>
  <c r="AY92" i="31"/>
  <c r="AP92" i="31"/>
  <c r="AG92" i="31"/>
  <c r="BP92" i="31"/>
  <c r="BG92" i="31"/>
  <c r="AX92" i="31"/>
  <c r="AO92" i="31"/>
  <c r="AF92" i="31"/>
  <c r="BN92" i="31"/>
  <c r="BE92" i="31"/>
  <c r="AV92" i="31"/>
  <c r="AM92" i="31"/>
  <c r="AD92" i="31"/>
  <c r="BV92" i="31"/>
  <c r="BM92" i="31"/>
  <c r="BD92" i="31"/>
  <c r="AU92" i="31"/>
  <c r="AL92" i="31"/>
  <c r="AB92" i="31"/>
  <c r="AW92" i="31"/>
  <c r="AT92" i="31"/>
  <c r="AN92" i="31"/>
  <c r="BU92" i="31"/>
  <c r="AJ92" i="31"/>
  <c r="BL92" i="31"/>
  <c r="BF92" i="31"/>
  <c r="BR104" i="31"/>
  <c r="BJ104" i="31"/>
  <c r="BB104" i="31"/>
  <c r="AT104" i="31"/>
  <c r="AL104" i="31"/>
  <c r="AD104" i="31"/>
  <c r="BP104" i="31"/>
  <c r="BH104" i="31"/>
  <c r="AZ104" i="31"/>
  <c r="AR104" i="31"/>
  <c r="AJ104" i="31"/>
  <c r="AB104" i="31"/>
  <c r="BO104" i="31"/>
  <c r="BG104" i="31"/>
  <c r="AY104" i="31"/>
  <c r="AQ104" i="31"/>
  <c r="AI104" i="31"/>
  <c r="BS104" i="31"/>
  <c r="BK104" i="31"/>
  <c r="BC104" i="31"/>
  <c r="AU104" i="31"/>
  <c r="AM104" i="31"/>
  <c r="AE104" i="31"/>
  <c r="AV104" i="31"/>
  <c r="AF104" i="31"/>
  <c r="BI104" i="31"/>
  <c r="AS104" i="31"/>
  <c r="AC104" i="31"/>
  <c r="BV104" i="31"/>
  <c r="BF104" i="31"/>
  <c r="AP104" i="31"/>
  <c r="BU104" i="31"/>
  <c r="BE104" i="31"/>
  <c r="AO104" i="31"/>
  <c r="BQ104" i="31"/>
  <c r="BA104" i="31"/>
  <c r="AK104" i="31"/>
  <c r="BN104" i="31"/>
  <c r="AX104" i="31"/>
  <c r="AH104" i="31"/>
  <c r="BT104" i="31"/>
  <c r="BM104" i="31"/>
  <c r="BD104" i="31"/>
  <c r="AW104" i="31"/>
  <c r="AG104" i="31"/>
  <c r="F4" i="31"/>
  <c r="BC92" i="31"/>
  <c r="BO92" i="31"/>
  <c r="AN104" i="31"/>
  <c r="BS91" i="31"/>
  <c r="BK91" i="31"/>
  <c r="BC91" i="31"/>
  <c r="BN91" i="31"/>
  <c r="BE91" i="31"/>
  <c r="AV91" i="31"/>
  <c r="AN91" i="31"/>
  <c r="AF91" i="31"/>
  <c r="BV91" i="31"/>
  <c r="BM91" i="31"/>
  <c r="BD91" i="31"/>
  <c r="AU91" i="31"/>
  <c r="AM91" i="31"/>
  <c r="AE91" i="31"/>
  <c r="BU91" i="31"/>
  <c r="BL91" i="31"/>
  <c r="BB91" i="31"/>
  <c r="AT91" i="31"/>
  <c r="AL91" i="31"/>
  <c r="AD91" i="31"/>
  <c r="BT91" i="31"/>
  <c r="BJ91" i="31"/>
  <c r="BA91" i="31"/>
  <c r="AS91" i="31"/>
  <c r="AK91" i="31"/>
  <c r="AC91" i="31"/>
  <c r="BQ91" i="31"/>
  <c r="BH91" i="31"/>
  <c r="AY91" i="31"/>
  <c r="AQ91" i="31"/>
  <c r="AI91" i="31"/>
  <c r="BP91" i="31"/>
  <c r="BG91" i="31"/>
  <c r="AX91" i="31"/>
  <c r="AP91" i="31"/>
  <c r="AH91" i="31"/>
  <c r="BR91" i="31"/>
  <c r="AJ91" i="31"/>
  <c r="BO91" i="31"/>
  <c r="AG91" i="31"/>
  <c r="BI91" i="31"/>
  <c r="AB91" i="31"/>
  <c r="BF91" i="31"/>
  <c r="AW91" i="31"/>
  <c r="AR91" i="31"/>
  <c r="AF89" i="31"/>
  <c r="BL89" i="31"/>
  <c r="D6" i="31"/>
  <c r="M5" i="31"/>
  <c r="V29" i="31"/>
  <c r="AK89" i="31"/>
  <c r="BQ89" i="31"/>
  <c r="AS89" i="31"/>
  <c r="BV90" i="31"/>
  <c r="BN90" i="31"/>
  <c r="BF90" i="31"/>
  <c r="AX90" i="31"/>
  <c r="AP90" i="31"/>
  <c r="AH90" i="31"/>
  <c r="BU90" i="31"/>
  <c r="BM90" i="31"/>
  <c r="BE90" i="31"/>
  <c r="AW90" i="31"/>
  <c r="AO90" i="31"/>
  <c r="AG90" i="31"/>
  <c r="BT90" i="31"/>
  <c r="BL90" i="31"/>
  <c r="BD90" i="31"/>
  <c r="AV90" i="31"/>
  <c r="AN90" i="31"/>
  <c r="AF90" i="31"/>
  <c r="BS90" i="31"/>
  <c r="BK90" i="31"/>
  <c r="BC90" i="31"/>
  <c r="AU90" i="31"/>
  <c r="AM90" i="31"/>
  <c r="AE90" i="31"/>
  <c r="BQ90" i="31"/>
  <c r="BI90" i="31"/>
  <c r="BA90" i="31"/>
  <c r="AS90" i="31"/>
  <c r="AK90" i="31"/>
  <c r="AC90" i="31"/>
  <c r="BP90" i="31"/>
  <c r="BH90" i="31"/>
  <c r="AZ90" i="31"/>
  <c r="AR90" i="31"/>
  <c r="AJ90" i="31"/>
  <c r="AB90" i="31"/>
  <c r="AY90" i="31"/>
  <c r="BB90" i="31"/>
  <c r="BO93" i="31"/>
  <c r="BG93" i="31"/>
  <c r="AY93" i="31"/>
  <c r="AQ93" i="31"/>
  <c r="AI93" i="31"/>
  <c r="BR93" i="31"/>
  <c r="BI93" i="31"/>
  <c r="AZ93" i="31"/>
  <c r="AP93" i="31"/>
  <c r="AG93" i="31"/>
  <c r="BQ93" i="31"/>
  <c r="BH93" i="31"/>
  <c r="AX93" i="31"/>
  <c r="AO93" i="31"/>
  <c r="AF93" i="31"/>
  <c r="BP93" i="31"/>
  <c r="BF93" i="31"/>
  <c r="AW93" i="31"/>
  <c r="AN93" i="31"/>
  <c r="AE93" i="31"/>
  <c r="BN93" i="31"/>
  <c r="BE93" i="31"/>
  <c r="AV93" i="31"/>
  <c r="AM93" i="31"/>
  <c r="AD93" i="31"/>
  <c r="BU93" i="31"/>
  <c r="BL93" i="31"/>
  <c r="BC93" i="31"/>
  <c r="AT93" i="31"/>
  <c r="AK93" i="31"/>
  <c r="AB93" i="31"/>
  <c r="BT93" i="31"/>
  <c r="BK93" i="31"/>
  <c r="BB93" i="31"/>
  <c r="AS93" i="31"/>
  <c r="AJ93" i="31"/>
  <c r="BD93" i="31"/>
  <c r="BP89" i="31"/>
  <c r="BH89" i="31"/>
  <c r="AZ89" i="31"/>
  <c r="AR89" i="31"/>
  <c r="AJ89" i="31"/>
  <c r="AB89" i="31"/>
  <c r="BO89" i="31"/>
  <c r="BG89" i="31"/>
  <c r="AY89" i="31"/>
  <c r="AQ89" i="31"/>
  <c r="AI89" i="31"/>
  <c r="BV89" i="31"/>
  <c r="BN89" i="31"/>
  <c r="BF89" i="31"/>
  <c r="AX89" i="31"/>
  <c r="AP89" i="31"/>
  <c r="AH89" i="31"/>
  <c r="BU89" i="31"/>
  <c r="BM89" i="31"/>
  <c r="BE89" i="31"/>
  <c r="AW89" i="31"/>
  <c r="AO89" i="31"/>
  <c r="AG89" i="31"/>
  <c r="BS89" i="31"/>
  <c r="BK89" i="31"/>
  <c r="BC89" i="31"/>
  <c r="AU89" i="31"/>
  <c r="AM89" i="31"/>
  <c r="AE89" i="31"/>
  <c r="BR89" i="31"/>
  <c r="BJ89" i="31"/>
  <c r="BB89" i="31"/>
  <c r="AT89" i="31"/>
  <c r="AL89" i="31"/>
  <c r="AD89" i="31"/>
  <c r="BA89" i="31"/>
  <c r="BD89" i="31"/>
  <c r="AD90" i="31"/>
  <c r="BJ90" i="31"/>
  <c r="AC93" i="31"/>
  <c r="BM93" i="31"/>
  <c r="AB185" i="31"/>
  <c r="AF96" i="31"/>
  <c r="AP96" i="31"/>
  <c r="BB96" i="31"/>
  <c r="BL96" i="31"/>
  <c r="AF97" i="31"/>
  <c r="AT97" i="31"/>
  <c r="BE97" i="31"/>
  <c r="BS97" i="31"/>
  <c r="AB99" i="31"/>
  <c r="AR99" i="31"/>
  <c r="AG100" i="31"/>
  <c r="AW100" i="31"/>
  <c r="BM100" i="31"/>
  <c r="AB103" i="31"/>
  <c r="AR103" i="31"/>
  <c r="AF105" i="31"/>
  <c r="BB105" i="31"/>
  <c r="AL106" i="31"/>
  <c r="AK107" i="31"/>
  <c r="AH96" i="31"/>
  <c r="AT96" i="31"/>
  <c r="BD96" i="31"/>
  <c r="AJ97" i="31"/>
  <c r="AV97" i="31"/>
  <c r="BJ97" i="31"/>
  <c r="AI100" i="31"/>
  <c r="AY100" i="31"/>
  <c r="AL105" i="31"/>
  <c r="BV106" i="31"/>
  <c r="BF106" i="31"/>
  <c r="AX106" i="31"/>
  <c r="AP106" i="31"/>
  <c r="AH106" i="31"/>
  <c r="BT106" i="31"/>
  <c r="BL106" i="31"/>
  <c r="BD106" i="31"/>
  <c r="AV106" i="31"/>
  <c r="AN106" i="31"/>
  <c r="AF106" i="31"/>
  <c r="BS106" i="31"/>
  <c r="BK106" i="31"/>
  <c r="BC106" i="31"/>
  <c r="AU106" i="31"/>
  <c r="AM106" i="31"/>
  <c r="AE106" i="31"/>
  <c r="BQ106" i="31"/>
  <c r="BI106" i="31"/>
  <c r="BA106" i="31"/>
  <c r="AS106" i="31"/>
  <c r="AK106" i="31"/>
  <c r="AC106" i="31"/>
  <c r="BO106" i="31"/>
  <c r="BG106" i="31"/>
  <c r="AY106" i="31"/>
  <c r="AQ106" i="31"/>
  <c r="AI106" i="31"/>
  <c r="AR106" i="31"/>
  <c r="BM106" i="31"/>
  <c r="BU107" i="31"/>
  <c r="BM107" i="31"/>
  <c r="BE107" i="31"/>
  <c r="AW107" i="31"/>
  <c r="AO107" i="31"/>
  <c r="AG107" i="31"/>
  <c r="BS107" i="31"/>
  <c r="BK107" i="31"/>
  <c r="BC107" i="31"/>
  <c r="AU107" i="31"/>
  <c r="AM107" i="31"/>
  <c r="AE107" i="31"/>
  <c r="BR107" i="31"/>
  <c r="BJ107" i="31"/>
  <c r="BB107" i="31"/>
  <c r="AT107" i="31"/>
  <c r="AL107" i="31"/>
  <c r="AD107" i="31"/>
  <c r="BP107" i="31"/>
  <c r="BH107" i="31"/>
  <c r="AZ107" i="31"/>
  <c r="AR107" i="31"/>
  <c r="AJ107" i="31"/>
  <c r="AB107" i="31"/>
  <c r="BV107" i="31"/>
  <c r="BN107" i="31"/>
  <c r="BF107" i="31"/>
  <c r="AX107" i="31"/>
  <c r="AP107" i="31"/>
  <c r="AH107" i="31"/>
  <c r="AQ107" i="31"/>
  <c r="BL107" i="31"/>
  <c r="S228" i="31"/>
  <c r="BS96" i="31"/>
  <c r="BQ96" i="31"/>
  <c r="BI96" i="31"/>
  <c r="BA96" i="31"/>
  <c r="AS96" i="31"/>
  <c r="AK96" i="31"/>
  <c r="AC96" i="31"/>
  <c r="BP96" i="31"/>
  <c r="BH96" i="31"/>
  <c r="AZ96" i="31"/>
  <c r="AR96" i="31"/>
  <c r="AJ96" i="31"/>
  <c r="AB96" i="31"/>
  <c r="AI96" i="31"/>
  <c r="AU96" i="31"/>
  <c r="BE96" i="31"/>
  <c r="BO96" i="31"/>
  <c r="BQ97" i="31"/>
  <c r="BI97" i="31"/>
  <c r="BA97" i="31"/>
  <c r="AS97" i="31"/>
  <c r="AK97" i="31"/>
  <c r="AC97" i="31"/>
  <c r="BO97" i="31"/>
  <c r="BG97" i="31"/>
  <c r="AY97" i="31"/>
  <c r="AQ97" i="31"/>
  <c r="AI97" i="31"/>
  <c r="BV97" i="31"/>
  <c r="BN97" i="31"/>
  <c r="BF97" i="31"/>
  <c r="AX97" i="31"/>
  <c r="AP97" i="31"/>
  <c r="AH97" i="31"/>
  <c r="AL97" i="31"/>
  <c r="AW97" i="31"/>
  <c r="BK97" i="31"/>
  <c r="AL96" i="31"/>
  <c r="AV96" i="31"/>
  <c r="BF96" i="31"/>
  <c r="BR96" i="31"/>
  <c r="AM97" i="31"/>
  <c r="AZ97" i="31"/>
  <c r="BL97" i="31"/>
  <c r="BS100" i="31"/>
  <c r="BK100" i="31"/>
  <c r="BC100" i="31"/>
  <c r="AU100" i="31"/>
  <c r="AM100" i="31"/>
  <c r="AE100" i="31"/>
  <c r="BQ100" i="31"/>
  <c r="BI100" i="31"/>
  <c r="BA100" i="31"/>
  <c r="AS100" i="31"/>
  <c r="AK100" i="31"/>
  <c r="AC100" i="31"/>
  <c r="BP100" i="31"/>
  <c r="BH100" i="31"/>
  <c r="AZ100" i="31"/>
  <c r="AR100" i="31"/>
  <c r="AJ100" i="31"/>
  <c r="AB100" i="31"/>
  <c r="BT100" i="31"/>
  <c r="BL100" i="31"/>
  <c r="BD100" i="31"/>
  <c r="AV100" i="31"/>
  <c r="AN100" i="31"/>
  <c r="AF100" i="31"/>
  <c r="AO100" i="31"/>
  <c r="BE100" i="31"/>
  <c r="BU100" i="31"/>
  <c r="BP105" i="31"/>
  <c r="BH105" i="31"/>
  <c r="AZ105" i="31"/>
  <c r="AR105" i="31"/>
  <c r="AJ105" i="31"/>
  <c r="AB105" i="31"/>
  <c r="BV105" i="31"/>
  <c r="BN105" i="31"/>
  <c r="BF105" i="31"/>
  <c r="AX105" i="31"/>
  <c r="AP105" i="31"/>
  <c r="AH105" i="31"/>
  <c r="BU105" i="31"/>
  <c r="BE105" i="31"/>
  <c r="AW105" i="31"/>
  <c r="AO105" i="31"/>
  <c r="AG105" i="31"/>
  <c r="BS105" i="31"/>
  <c r="BK105" i="31"/>
  <c r="BC105" i="31"/>
  <c r="AU105" i="31"/>
  <c r="AM105" i="31"/>
  <c r="AE105" i="31"/>
  <c r="BQ105" i="31"/>
  <c r="BI105" i="31"/>
  <c r="BA105" i="31"/>
  <c r="AS105" i="31"/>
  <c r="AK105" i="31"/>
  <c r="AC105" i="31"/>
  <c r="AQ105" i="31"/>
  <c r="BL105" i="31"/>
  <c r="Z133" i="31"/>
  <c r="AA133" i="31" s="1"/>
  <c r="Z135" i="31"/>
  <c r="AA135" i="31" s="1"/>
  <c r="Z132" i="31"/>
  <c r="AA132" i="31" s="1"/>
  <c r="W175" i="31"/>
  <c r="V175" i="31"/>
  <c r="AI175" i="31"/>
  <c r="S54" i="31"/>
  <c r="S55" i="31" s="1"/>
  <c r="AM96" i="31"/>
  <c r="AW96" i="31"/>
  <c r="BG96" i="31"/>
  <c r="BT96" i="31"/>
  <c r="AB97" i="31"/>
  <c r="AN97" i="31"/>
  <c r="BB97" i="31"/>
  <c r="BM97" i="31"/>
  <c r="BU99" i="31"/>
  <c r="BM99" i="31"/>
  <c r="BE99" i="31"/>
  <c r="AW99" i="31"/>
  <c r="AO99" i="31"/>
  <c r="AG99" i="31"/>
  <c r="BS99" i="31"/>
  <c r="BK99" i="31"/>
  <c r="BC99" i="31"/>
  <c r="AU99" i="31"/>
  <c r="AM99" i="31"/>
  <c r="AE99" i="31"/>
  <c r="BR99" i="31"/>
  <c r="BJ99" i="31"/>
  <c r="BB99" i="31"/>
  <c r="AT99" i="31"/>
  <c r="AL99" i="31"/>
  <c r="AD99" i="31"/>
  <c r="BV99" i="31"/>
  <c r="BN99" i="31"/>
  <c r="BF99" i="31"/>
  <c r="AX99" i="31"/>
  <c r="AP99" i="31"/>
  <c r="AH99" i="31"/>
  <c r="AK99" i="31"/>
  <c r="BA99" i="31"/>
  <c r="BQ99" i="31"/>
  <c r="AP100" i="31"/>
  <c r="BF100" i="31"/>
  <c r="BV100" i="31"/>
  <c r="BT103" i="31"/>
  <c r="BL103" i="31"/>
  <c r="BD103" i="31"/>
  <c r="AV103" i="31"/>
  <c r="AN103" i="31"/>
  <c r="AF103" i="31"/>
  <c r="BR103" i="31"/>
  <c r="BJ103" i="31"/>
  <c r="BB103" i="31"/>
  <c r="AT103" i="31"/>
  <c r="AL103" i="31"/>
  <c r="AD103" i="31"/>
  <c r="BQ103" i="31"/>
  <c r="BI103" i="31"/>
  <c r="BA103" i="31"/>
  <c r="AS103" i="31"/>
  <c r="AK103" i="31"/>
  <c r="AC103" i="31"/>
  <c r="BU103" i="31"/>
  <c r="BM103" i="31"/>
  <c r="BE103" i="31"/>
  <c r="AW103" i="31"/>
  <c r="AO103" i="31"/>
  <c r="AG103" i="31"/>
  <c r="AM103" i="31"/>
  <c r="BC103" i="31"/>
  <c r="BS103" i="31"/>
  <c r="AT105" i="31"/>
  <c r="BO105" i="31"/>
  <c r="AD106" i="31"/>
  <c r="AZ106" i="31"/>
  <c r="BU106" i="31"/>
  <c r="AC107" i="31"/>
  <c r="AY107" i="31"/>
  <c r="BT107" i="31"/>
  <c r="Z136" i="31"/>
  <c r="AA136" i="31" s="1"/>
  <c r="AJ98" i="31"/>
  <c r="AR98" i="31"/>
  <c r="AZ98" i="31"/>
  <c r="BH98" i="31"/>
  <c r="BP98" i="31"/>
  <c r="X133" i="31"/>
  <c r="Y133" i="31" s="1"/>
  <c r="AG173" i="31"/>
  <c r="AF173" i="31"/>
  <c r="W173" i="31"/>
  <c r="V173" i="31"/>
  <c r="U173" i="31"/>
  <c r="M114" i="31"/>
  <c r="AB198" i="31"/>
  <c r="W273" i="31"/>
  <c r="AM217" i="33" s="1"/>
  <c r="AF98" i="31"/>
  <c r="AN98" i="31"/>
  <c r="AV98" i="31"/>
  <c r="BD98" i="31"/>
  <c r="BL98" i="31"/>
  <c r="BT98" i="31"/>
  <c r="X132" i="31"/>
  <c r="Y132" i="31" s="1"/>
  <c r="AJ173" i="31"/>
  <c r="AA193" i="31"/>
  <c r="W206" i="31"/>
  <c r="AG206" i="31"/>
  <c r="V206" i="31"/>
  <c r="X233" i="31"/>
  <c r="C306" i="33" s="1"/>
  <c r="AG98" i="31"/>
  <c r="AO98" i="31"/>
  <c r="AW98" i="31"/>
  <c r="BE98" i="31"/>
  <c r="BM98" i="31"/>
  <c r="BU98" i="31"/>
  <c r="X135" i="31"/>
  <c r="Y135" i="31" s="1"/>
  <c r="BG98" i="31"/>
  <c r="W181" i="31"/>
  <c r="V205" i="31"/>
  <c r="AF181" i="31"/>
  <c r="U205" i="31"/>
  <c r="AF205" i="31"/>
  <c r="W274" i="31"/>
  <c r="AM218" i="33" s="1"/>
  <c r="AG181" i="31"/>
  <c r="V197" i="31"/>
  <c r="W205" i="31"/>
  <c r="AG205" i="31"/>
  <c r="Z259" i="31"/>
  <c r="Z257" i="31"/>
  <c r="U197" i="31"/>
  <c r="AF197" i="31"/>
  <c r="AI205" i="31"/>
  <c r="AI181" i="31"/>
  <c r="W197" i="31"/>
  <c r="AG197" i="31"/>
  <c r="AJ205" i="31"/>
  <c r="X246" i="31"/>
  <c r="AB207" i="31"/>
  <c r="K70" i="29"/>
  <c r="D46" i="29"/>
  <c r="L46" i="29"/>
  <c r="T46" i="29"/>
  <c r="D70" i="29"/>
  <c r="L70" i="29"/>
  <c r="T70" i="29"/>
  <c r="J71" i="29"/>
  <c r="R71" i="29"/>
  <c r="Z71" i="29"/>
  <c r="H72" i="29"/>
  <c r="P72" i="29"/>
  <c r="J73" i="29"/>
  <c r="U73" i="29"/>
  <c r="D74" i="29"/>
  <c r="O74" i="29"/>
  <c r="G76" i="29"/>
  <c r="S76" i="29"/>
  <c r="E77" i="29"/>
  <c r="Q77" i="29"/>
  <c r="S110" i="29"/>
  <c r="K111" i="29"/>
  <c r="K118" i="29"/>
  <c r="S70" i="29"/>
  <c r="E70" i="29"/>
  <c r="M70" i="29"/>
  <c r="U70" i="29"/>
  <c r="V72" i="29"/>
  <c r="Z72" i="29"/>
  <c r="K73" i="29"/>
  <c r="V73" i="29"/>
  <c r="Z74" i="29"/>
  <c r="R74" i="29"/>
  <c r="J74" i="29"/>
  <c r="V74" i="29"/>
  <c r="N74" i="29"/>
  <c r="F74" i="29"/>
  <c r="H76" i="29"/>
  <c r="U76" i="29"/>
  <c r="F77" i="29"/>
  <c r="S77" i="29"/>
  <c r="O111" i="29"/>
  <c r="Z114" i="29"/>
  <c r="R114" i="29"/>
  <c r="J114" i="29"/>
  <c r="Y114" i="29"/>
  <c r="Q114" i="29"/>
  <c r="I114" i="29"/>
  <c r="X114" i="29"/>
  <c r="P114" i="29"/>
  <c r="H114" i="29"/>
  <c r="W114" i="29"/>
  <c r="O114" i="29"/>
  <c r="G114" i="29"/>
  <c r="V114" i="29"/>
  <c r="N114" i="29"/>
  <c r="F114" i="29"/>
  <c r="U114" i="29"/>
  <c r="M114" i="29"/>
  <c r="E114" i="29"/>
  <c r="T114" i="29"/>
  <c r="L114" i="29"/>
  <c r="D114" i="29"/>
  <c r="H21" i="29"/>
  <c r="H7" i="29" s="1"/>
  <c r="H12" i="29" s="1"/>
  <c r="F70" i="29"/>
  <c r="N70" i="29"/>
  <c r="V70" i="29"/>
  <c r="G77" i="29"/>
  <c r="U77" i="29"/>
  <c r="Q111" i="29"/>
  <c r="Z118" i="29"/>
  <c r="R118" i="29"/>
  <c r="J118" i="29"/>
  <c r="Y118" i="29"/>
  <c r="Q118" i="29"/>
  <c r="I118" i="29"/>
  <c r="X118" i="29"/>
  <c r="P118" i="29"/>
  <c r="H118" i="29"/>
  <c r="W118" i="29"/>
  <c r="O118" i="29"/>
  <c r="G118" i="29"/>
  <c r="V118" i="29"/>
  <c r="N118" i="29"/>
  <c r="F118" i="29"/>
  <c r="U118" i="29"/>
  <c r="M118" i="29"/>
  <c r="E118" i="29"/>
  <c r="T118" i="29"/>
  <c r="L118" i="29"/>
  <c r="D118" i="29"/>
  <c r="C158" i="29"/>
  <c r="C28" i="29"/>
  <c r="C33" i="29" s="1"/>
  <c r="G70" i="29"/>
  <c r="O70" i="29"/>
  <c r="W70" i="29"/>
  <c r="C73" i="29"/>
  <c r="N73" i="29"/>
  <c r="Y73" i="29"/>
  <c r="K76" i="29"/>
  <c r="X76" i="29"/>
  <c r="I77" i="29"/>
  <c r="V77" i="29"/>
  <c r="Z110" i="29"/>
  <c r="R110" i="29"/>
  <c r="J110" i="29"/>
  <c r="X110" i="29"/>
  <c r="P110" i="29"/>
  <c r="H110" i="29"/>
  <c r="W110" i="29"/>
  <c r="O110" i="29"/>
  <c r="G110" i="29"/>
  <c r="V110" i="29"/>
  <c r="N110" i="29"/>
  <c r="F110" i="29"/>
  <c r="T110" i="29"/>
  <c r="L110" i="29"/>
  <c r="D110" i="29"/>
  <c r="S111" i="29"/>
  <c r="K158" i="29"/>
  <c r="C162" i="29"/>
  <c r="H46" i="29"/>
  <c r="P46" i="29"/>
  <c r="X46" i="29"/>
  <c r="H70" i="29"/>
  <c r="P70" i="29"/>
  <c r="X70" i="29"/>
  <c r="F71" i="29"/>
  <c r="N71" i="29"/>
  <c r="D72" i="29"/>
  <c r="L72" i="29"/>
  <c r="T72" i="29"/>
  <c r="E73" i="29"/>
  <c r="O73" i="29"/>
  <c r="I74" i="29"/>
  <c r="T74" i="29"/>
  <c r="X75" i="29"/>
  <c r="P75" i="29"/>
  <c r="H75" i="29"/>
  <c r="V75" i="29"/>
  <c r="T75" i="29"/>
  <c r="L75" i="29"/>
  <c r="D75" i="29"/>
  <c r="M76" i="29"/>
  <c r="K77" i="29"/>
  <c r="W77" i="29"/>
  <c r="I110" i="29"/>
  <c r="W111" i="29"/>
  <c r="Z154" i="29"/>
  <c r="R154" i="29"/>
  <c r="J154" i="29"/>
  <c r="Y154" i="29"/>
  <c r="Q154" i="29"/>
  <c r="I154" i="29"/>
  <c r="X154" i="29"/>
  <c r="P154" i="29"/>
  <c r="H154" i="29"/>
  <c r="W154" i="29"/>
  <c r="O154" i="29"/>
  <c r="G154" i="29"/>
  <c r="V154" i="29"/>
  <c r="N154" i="29"/>
  <c r="F154" i="29"/>
  <c r="U154" i="29"/>
  <c r="M154" i="29"/>
  <c r="E154" i="29"/>
  <c r="T154" i="29"/>
  <c r="L154" i="29"/>
  <c r="D154" i="29"/>
  <c r="K162" i="29"/>
  <c r="C63" i="29"/>
  <c r="C49" i="29" s="1"/>
  <c r="C54" i="29" s="1"/>
  <c r="C21" i="29"/>
  <c r="C7" i="29" s="1"/>
  <c r="C12" i="29" s="1"/>
  <c r="S21" i="29"/>
  <c r="S7" i="29" s="1"/>
  <c r="S12" i="29" s="1"/>
  <c r="I70" i="29"/>
  <c r="Q70" i="29"/>
  <c r="Y70" i="29"/>
  <c r="T73" i="29"/>
  <c r="L73" i="29"/>
  <c r="D73" i="29"/>
  <c r="X73" i="29"/>
  <c r="P73" i="29"/>
  <c r="H73" i="29"/>
  <c r="V76" i="29"/>
  <c r="N76" i="29"/>
  <c r="F76" i="29"/>
  <c r="T76" i="29"/>
  <c r="L76" i="29"/>
  <c r="D76" i="29"/>
  <c r="Z76" i="29"/>
  <c r="R76" i="29"/>
  <c r="J76" i="29"/>
  <c r="M77" i="29"/>
  <c r="C111" i="29"/>
  <c r="Z158" i="29"/>
  <c r="R158" i="29"/>
  <c r="J158" i="29"/>
  <c r="Y158" i="29"/>
  <c r="Q158" i="29"/>
  <c r="I158" i="29"/>
  <c r="X158" i="29"/>
  <c r="P158" i="29"/>
  <c r="H158" i="29"/>
  <c r="W158" i="29"/>
  <c r="O158" i="29"/>
  <c r="G158" i="29"/>
  <c r="V158" i="29"/>
  <c r="N158" i="29"/>
  <c r="F158" i="29"/>
  <c r="U158" i="29"/>
  <c r="M158" i="29"/>
  <c r="E158" i="29"/>
  <c r="T158" i="29"/>
  <c r="L158" i="29"/>
  <c r="D158" i="29"/>
  <c r="J70" i="29"/>
  <c r="R70" i="29"/>
  <c r="T77" i="29"/>
  <c r="L77" i="29"/>
  <c r="D77" i="29"/>
  <c r="Z77" i="29"/>
  <c r="R77" i="29"/>
  <c r="J77" i="29"/>
  <c r="X77" i="29"/>
  <c r="P77" i="29"/>
  <c r="H77" i="29"/>
  <c r="X111" i="29"/>
  <c r="P111" i="29"/>
  <c r="H111" i="29"/>
  <c r="V111" i="29"/>
  <c r="N111" i="29"/>
  <c r="F111" i="29"/>
  <c r="U111" i="29"/>
  <c r="M111" i="29"/>
  <c r="E111" i="29"/>
  <c r="T111" i="29"/>
  <c r="L111" i="29"/>
  <c r="D111" i="29"/>
  <c r="Z111" i="29"/>
  <c r="R111" i="29"/>
  <c r="J111" i="29"/>
  <c r="Z162" i="29"/>
  <c r="R162" i="29"/>
  <c r="J162" i="29"/>
  <c r="Y162" i="29"/>
  <c r="Q162" i="29"/>
  <c r="I162" i="29"/>
  <c r="X162" i="29"/>
  <c r="P162" i="29"/>
  <c r="H162" i="29"/>
  <c r="W162" i="29"/>
  <c r="O162" i="29"/>
  <c r="G162" i="29"/>
  <c r="V162" i="29"/>
  <c r="N162" i="29"/>
  <c r="F162" i="29"/>
  <c r="U162" i="29"/>
  <c r="M162" i="29"/>
  <c r="E162" i="29"/>
  <c r="T162" i="29"/>
  <c r="L162" i="29"/>
  <c r="D162" i="29"/>
  <c r="H112" i="29"/>
  <c r="P112" i="29"/>
  <c r="X112" i="29"/>
  <c r="F113" i="29"/>
  <c r="N113" i="29"/>
  <c r="V113" i="29"/>
  <c r="J115" i="29"/>
  <c r="R115" i="29"/>
  <c r="Z115" i="29"/>
  <c r="H116" i="29"/>
  <c r="P116" i="29"/>
  <c r="X116" i="29"/>
  <c r="F117" i="29"/>
  <c r="N117" i="29"/>
  <c r="V117" i="29"/>
  <c r="J119" i="29"/>
  <c r="R119" i="29"/>
  <c r="Z119" i="29"/>
  <c r="F153" i="29"/>
  <c r="N153" i="29"/>
  <c r="V153" i="29"/>
  <c r="J155" i="29"/>
  <c r="R155" i="29"/>
  <c r="Z155" i="29"/>
  <c r="H156" i="29"/>
  <c r="P156" i="29"/>
  <c r="X156" i="29"/>
  <c r="F157" i="29"/>
  <c r="N157" i="29"/>
  <c r="V157" i="29"/>
  <c r="J159" i="29"/>
  <c r="R159" i="29"/>
  <c r="Z159" i="29"/>
  <c r="H160" i="29"/>
  <c r="P160" i="29"/>
  <c r="X160" i="29"/>
  <c r="F161" i="29"/>
  <c r="N161" i="29"/>
  <c r="V161" i="29"/>
  <c r="J112" i="29"/>
  <c r="R112" i="29"/>
  <c r="Z112" i="29"/>
  <c r="H113" i="29"/>
  <c r="P113" i="29"/>
  <c r="X113" i="29"/>
  <c r="D115" i="29"/>
  <c r="L115" i="29"/>
  <c r="T115" i="29"/>
  <c r="J116" i="29"/>
  <c r="R116" i="29"/>
  <c r="Z116" i="29"/>
  <c r="H117" i="29"/>
  <c r="P117" i="29"/>
  <c r="X117" i="29"/>
  <c r="D119" i="29"/>
  <c r="L119" i="29"/>
  <c r="T119" i="29"/>
  <c r="H153" i="29"/>
  <c r="P153" i="29"/>
  <c r="X153" i="29"/>
  <c r="D155" i="29"/>
  <c r="L155" i="29"/>
  <c r="T155" i="29"/>
  <c r="J156" i="29"/>
  <c r="R156" i="29"/>
  <c r="Z156" i="29"/>
  <c r="H157" i="29"/>
  <c r="P157" i="29"/>
  <c r="X157" i="29"/>
  <c r="D159" i="29"/>
  <c r="L159" i="29"/>
  <c r="T159" i="29"/>
  <c r="J160" i="29"/>
  <c r="R160" i="29"/>
  <c r="Z160" i="29"/>
  <c r="H161" i="29"/>
  <c r="P161" i="29"/>
  <c r="X161" i="29"/>
  <c r="I113" i="29"/>
  <c r="Q113" i="29"/>
  <c r="Y113" i="29"/>
  <c r="E115" i="29"/>
  <c r="M115" i="29"/>
  <c r="U115" i="29"/>
  <c r="I117" i="29"/>
  <c r="Q117" i="29"/>
  <c r="Y117" i="29"/>
  <c r="E119" i="29"/>
  <c r="M119" i="29"/>
  <c r="U119" i="29"/>
  <c r="I153" i="29"/>
  <c r="Q153" i="29"/>
  <c r="Y153" i="29"/>
  <c r="E155" i="29"/>
  <c r="M155" i="29"/>
  <c r="U155" i="29"/>
  <c r="I157" i="29"/>
  <c r="Q157" i="29"/>
  <c r="Y157" i="29"/>
  <c r="E159" i="29"/>
  <c r="M159" i="29"/>
  <c r="U159" i="29"/>
  <c r="I161" i="29"/>
  <c r="Q161" i="29"/>
  <c r="Y161" i="29"/>
  <c r="D112" i="29"/>
  <c r="L112" i="29"/>
  <c r="J113" i="29"/>
  <c r="R113" i="29"/>
  <c r="Z113" i="29"/>
  <c r="F115" i="29"/>
  <c r="N115" i="29"/>
  <c r="V115" i="29"/>
  <c r="D116" i="29"/>
  <c r="L116" i="29"/>
  <c r="J117" i="29"/>
  <c r="R117" i="29"/>
  <c r="Z117" i="29"/>
  <c r="F119" i="29"/>
  <c r="N119" i="29"/>
  <c r="V119" i="29"/>
  <c r="J153" i="29"/>
  <c r="R153" i="29"/>
  <c r="Z153" i="29"/>
  <c r="F155" i="29"/>
  <c r="N155" i="29"/>
  <c r="V155" i="29"/>
  <c r="D156" i="29"/>
  <c r="L156" i="29"/>
  <c r="J157" i="29"/>
  <c r="R157" i="29"/>
  <c r="Z157" i="29"/>
  <c r="F159" i="29"/>
  <c r="N159" i="29"/>
  <c r="V159" i="29"/>
  <c r="D160" i="29"/>
  <c r="L160" i="29"/>
  <c r="J161" i="29"/>
  <c r="R161" i="29"/>
  <c r="Z161" i="29"/>
  <c r="G115" i="29"/>
  <c r="O115" i="29"/>
  <c r="W115" i="29"/>
  <c r="G119" i="29"/>
  <c r="O119" i="29"/>
  <c r="W119" i="29"/>
  <c r="G155" i="29"/>
  <c r="O155" i="29"/>
  <c r="W155" i="29"/>
  <c r="G159" i="29"/>
  <c r="O159" i="29"/>
  <c r="W159" i="29"/>
  <c r="D113" i="29"/>
  <c r="L113" i="29"/>
  <c r="H115" i="29"/>
  <c r="P115" i="29"/>
  <c r="D117" i="29"/>
  <c r="L117" i="29"/>
  <c r="H119" i="29"/>
  <c r="P119" i="29"/>
  <c r="D153" i="29"/>
  <c r="L153" i="29"/>
  <c r="H155" i="29"/>
  <c r="P155" i="29"/>
  <c r="D157" i="29"/>
  <c r="L157" i="29"/>
  <c r="H159" i="29"/>
  <c r="P159" i="29"/>
  <c r="D161" i="29"/>
  <c r="L161" i="29"/>
  <c r="BF4" i="29"/>
  <c r="S62" i="29"/>
  <c r="Z28" i="28"/>
  <c r="AC171" i="28"/>
  <c r="AA206" i="28"/>
  <c r="AJ179" i="28"/>
  <c r="Y26" i="28"/>
  <c r="Y25" i="28"/>
  <c r="W29" i="28"/>
  <c r="AC178" i="28"/>
  <c r="AB25" i="28"/>
  <c r="K73" i="28"/>
  <c r="AP7" i="29" s="1"/>
  <c r="Y30" i="28"/>
  <c r="X30" i="28"/>
  <c r="AC30" i="28"/>
  <c r="Z30" i="28"/>
  <c r="W30" i="28"/>
  <c r="AB30" i="28"/>
  <c r="AA30" i="28"/>
  <c r="AC31" i="28"/>
  <c r="AA196" i="28"/>
  <c r="W26" i="28"/>
  <c r="AA198" i="28"/>
  <c r="Y24" i="28"/>
  <c r="Z26" i="28"/>
  <c r="AB32" i="28"/>
  <c r="AA32" i="28"/>
  <c r="X32" i="28"/>
  <c r="Z24" i="28"/>
  <c r="W28" i="28"/>
  <c r="AA28" i="28"/>
  <c r="X31" i="28"/>
  <c r="W32" i="28"/>
  <c r="Y33" i="28"/>
  <c r="X33" i="28"/>
  <c r="AC33" i="28"/>
  <c r="U179" i="28"/>
  <c r="AG179" i="28"/>
  <c r="V179" i="28"/>
  <c r="AA24" i="28"/>
  <c r="Z27" i="28"/>
  <c r="Y27" i="28"/>
  <c r="AB29" i="28"/>
  <c r="AA29" i="28"/>
  <c r="X29" i="28"/>
  <c r="Y31" i="28"/>
  <c r="Y32" i="28"/>
  <c r="Z33" i="28"/>
  <c r="AA181" i="28"/>
  <c r="X24" i="28"/>
  <c r="W24" i="28"/>
  <c r="AB24" i="28"/>
  <c r="W31" i="28"/>
  <c r="AA31" i="28"/>
  <c r="Z32" i="28"/>
  <c r="AA33" i="28"/>
  <c r="S228" i="28"/>
  <c r="AC25" i="28"/>
  <c r="Z25" i="28"/>
  <c r="W27" i="28"/>
  <c r="Y29" i="28"/>
  <c r="AB31" i="28"/>
  <c r="AC32" i="28"/>
  <c r="AB33" i="28"/>
  <c r="AA172" i="28"/>
  <c r="AA174" i="28"/>
  <c r="AB26" i="28"/>
  <c r="AA26" i="28"/>
  <c r="X26" i="28"/>
  <c r="AF201" i="28"/>
  <c r="U201" i="28"/>
  <c r="AG201" i="28"/>
  <c r="AJ201" i="28"/>
  <c r="W201" i="28"/>
  <c r="V201" i="28"/>
  <c r="AC205" i="28"/>
  <c r="AC202" i="28"/>
  <c r="AA182" i="28"/>
  <c r="AF195" i="28"/>
  <c r="AC194" i="28"/>
  <c r="U195" i="28"/>
  <c r="T14" i="7"/>
  <c r="BB16" i="29" s="1"/>
  <c r="BH16" i="29" s="1"/>
  <c r="T13" i="7"/>
  <c r="BB15" i="29" s="1"/>
  <c r="BH15" i="29" s="1"/>
  <c r="T12" i="7"/>
  <c r="BB14" i="29" s="1"/>
  <c r="BH14" i="29" s="1"/>
  <c r="T11" i="7"/>
  <c r="BB13" i="29" s="1"/>
  <c r="BH13" i="29" s="1"/>
  <c r="T257" i="31" l="1"/>
  <c r="U257" i="31" s="1"/>
  <c r="T260" i="31"/>
  <c r="U260" i="31" s="1"/>
  <c r="T258" i="31"/>
  <c r="U258" i="31" s="1"/>
  <c r="T256" i="31"/>
  <c r="U256" i="31" s="1"/>
  <c r="Z72" i="30"/>
  <c r="Q72" i="30"/>
  <c r="M8" i="29"/>
  <c r="Q8" i="29"/>
  <c r="Q201" i="29" s="1"/>
  <c r="U72" i="30"/>
  <c r="R8" i="29"/>
  <c r="V72" i="30"/>
  <c r="N8" i="29"/>
  <c r="N201" i="29" s="1"/>
  <c r="R72" i="30"/>
  <c r="O8" i="29"/>
  <c r="O201" i="29" s="1"/>
  <c r="S72" i="30"/>
  <c r="P8" i="29"/>
  <c r="P201" i="29" s="1"/>
  <c r="T72" i="30"/>
  <c r="U8" i="29"/>
  <c r="U201" i="29" s="1"/>
  <c r="Y72" i="30"/>
  <c r="X72" i="30"/>
  <c r="T8" i="29"/>
  <c r="T201" i="29" s="1"/>
  <c r="W72" i="30"/>
  <c r="S8" i="29"/>
  <c r="P72" i="30"/>
  <c r="L8" i="29"/>
  <c r="L201" i="29" s="1"/>
  <c r="AF187" i="31"/>
  <c r="H8" i="29"/>
  <c r="W8" i="29"/>
  <c r="W201" i="29" s="1"/>
  <c r="V8" i="29"/>
  <c r="V201" i="29" s="1"/>
  <c r="Y8" i="29"/>
  <c r="Y201" i="29" s="1"/>
  <c r="X28" i="31"/>
  <c r="AG33" i="31"/>
  <c r="AH33" i="31" s="1"/>
  <c r="AI33" i="31" s="1"/>
  <c r="X30" i="31"/>
  <c r="AF27" i="31" s="1"/>
  <c r="AG27" i="31" s="1"/>
  <c r="AG35" i="31"/>
  <c r="AI35" i="31" s="1"/>
  <c r="X29" i="31"/>
  <c r="AG34" i="31"/>
  <c r="AH34" i="31" s="1"/>
  <c r="AI34" i="31" s="1"/>
  <c r="AF167" i="28"/>
  <c r="AF168" i="31"/>
  <c r="AG165" i="28"/>
  <c r="W165" i="31"/>
  <c r="AF165" i="31"/>
  <c r="AI165" i="31"/>
  <c r="U165" i="31"/>
  <c r="AG165" i="31"/>
  <c r="M6" i="31"/>
  <c r="E201" i="29"/>
  <c r="E212" i="29" s="1"/>
  <c r="I201" i="29"/>
  <c r="M201" i="29"/>
  <c r="K201" i="29"/>
  <c r="U167" i="28"/>
  <c r="V167" i="28"/>
  <c r="W167" i="28"/>
  <c r="AF188" i="28"/>
  <c r="V188" i="28"/>
  <c r="W188" i="28"/>
  <c r="AN215" i="33"/>
  <c r="C6" i="29"/>
  <c r="C181" i="29"/>
  <c r="C196" i="29" s="1"/>
  <c r="G76" i="30" s="1"/>
  <c r="S59" i="29"/>
  <c r="V196" i="31"/>
  <c r="U188" i="31"/>
  <c r="AI184" i="28"/>
  <c r="AG196" i="31"/>
  <c r="AG188" i="31"/>
  <c r="V164" i="31"/>
  <c r="AI164" i="31"/>
  <c r="U184" i="28"/>
  <c r="U196" i="31"/>
  <c r="AF164" i="31"/>
  <c r="AF196" i="31"/>
  <c r="AF184" i="28"/>
  <c r="AE201" i="28"/>
  <c r="AD192" i="28"/>
  <c r="AH192" i="28" s="1"/>
  <c r="AE205" i="31"/>
  <c r="AE195" i="28"/>
  <c r="AE197" i="31"/>
  <c r="AE184" i="28"/>
  <c r="AF186" i="31"/>
  <c r="AI202" i="31"/>
  <c r="V178" i="31"/>
  <c r="U179" i="31"/>
  <c r="AG168" i="31"/>
  <c r="V170" i="28"/>
  <c r="W169" i="28"/>
  <c r="U202" i="28"/>
  <c r="W193" i="31"/>
  <c r="V194" i="31"/>
  <c r="V187" i="31"/>
  <c r="V202" i="31"/>
  <c r="AE194" i="28"/>
  <c r="AI165" i="28"/>
  <c r="V169" i="28"/>
  <c r="AG194" i="31"/>
  <c r="W187" i="31"/>
  <c r="V186" i="31"/>
  <c r="AJ202" i="31"/>
  <c r="AD172" i="28"/>
  <c r="AH172" i="28" s="1"/>
  <c r="AI169" i="28"/>
  <c r="AG169" i="28"/>
  <c r="AI179" i="31"/>
  <c r="W179" i="31"/>
  <c r="U178" i="31"/>
  <c r="AI194" i="31"/>
  <c r="W202" i="31"/>
  <c r="W189" i="31"/>
  <c r="AI195" i="28"/>
  <c r="U188" i="28"/>
  <c r="AF179" i="28"/>
  <c r="U206" i="31"/>
  <c r="AJ206" i="31"/>
  <c r="AJ175" i="31"/>
  <c r="AF175" i="31"/>
  <c r="AD183" i="31"/>
  <c r="AH183" i="31" s="1"/>
  <c r="AD167" i="31"/>
  <c r="AJ167" i="31" s="1"/>
  <c r="AE179" i="28"/>
  <c r="AE167" i="28"/>
  <c r="AD207" i="28"/>
  <c r="AH207" i="28" s="1"/>
  <c r="AD168" i="28"/>
  <c r="AI168" i="28" s="1"/>
  <c r="AD200" i="28"/>
  <c r="AH200" i="28" s="1"/>
  <c r="AG195" i="28"/>
  <c r="W195" i="28"/>
  <c r="W179" i="28"/>
  <c r="AG188" i="28"/>
  <c r="V195" i="28"/>
  <c r="AF206" i="31"/>
  <c r="U175" i="31"/>
  <c r="AE181" i="31"/>
  <c r="AE173" i="31"/>
  <c r="AE165" i="31"/>
  <c r="AI198" i="28"/>
  <c r="AF190" i="28"/>
  <c r="AI200" i="31"/>
  <c r="AG176" i="31"/>
  <c r="AI206" i="28"/>
  <c r="V172" i="28"/>
  <c r="V184" i="31"/>
  <c r="U176" i="31"/>
  <c r="V200" i="31"/>
  <c r="C212" i="29"/>
  <c r="AI180" i="28"/>
  <c r="V168" i="28"/>
  <c r="AE176" i="31"/>
  <c r="AI184" i="31"/>
  <c r="Z201" i="29"/>
  <c r="AG183" i="28"/>
  <c r="W173" i="28"/>
  <c r="AF166" i="28"/>
  <c r="AJ184" i="31"/>
  <c r="AI190" i="28"/>
  <c r="V190" i="28"/>
  <c r="U198" i="28"/>
  <c r="AF198" i="28"/>
  <c r="AF173" i="28"/>
  <c r="AJ180" i="28"/>
  <c r="AJ172" i="28"/>
  <c r="AI172" i="28"/>
  <c r="AG172" i="28"/>
  <c r="V166" i="28"/>
  <c r="AG173" i="28"/>
  <c r="W190" i="28"/>
  <c r="W166" i="28"/>
  <c r="AJ200" i="31"/>
  <c r="W184" i="31"/>
  <c r="AF176" i="31"/>
  <c r="V176" i="31"/>
  <c r="V168" i="31"/>
  <c r="S201" i="29"/>
  <c r="V198" i="28"/>
  <c r="W183" i="28"/>
  <c r="U183" i="28"/>
  <c r="U172" i="28"/>
  <c r="AJ183" i="31"/>
  <c r="U200" i="31"/>
  <c r="AF184" i="31"/>
  <c r="W169" i="31"/>
  <c r="AI176" i="31"/>
  <c r="W176" i="31"/>
  <c r="AE200" i="31"/>
  <c r="W168" i="31"/>
  <c r="W183" i="31"/>
  <c r="C202" i="29"/>
  <c r="C213" i="29" s="1"/>
  <c r="AD181" i="31"/>
  <c r="AH181" i="31" s="1"/>
  <c r="AD173" i="31"/>
  <c r="AH173" i="31" s="1"/>
  <c r="AD165" i="31"/>
  <c r="AD177" i="28"/>
  <c r="AH177" i="28" s="1"/>
  <c r="AD184" i="28"/>
  <c r="AH184" i="28" s="1"/>
  <c r="V206" i="28"/>
  <c r="AF206" i="28"/>
  <c r="W180" i="28"/>
  <c r="W172" i="28"/>
  <c r="AG166" i="28"/>
  <c r="AI173" i="28"/>
  <c r="U166" i="28"/>
  <c r="AG198" i="28"/>
  <c r="AG206" i="28"/>
  <c r="V180" i="28"/>
  <c r="AG180" i="28"/>
  <c r="U173" i="28"/>
  <c r="V173" i="28"/>
  <c r="U180" i="28"/>
  <c r="U206" i="28"/>
  <c r="W206" i="28"/>
  <c r="AD189" i="31"/>
  <c r="AH189" i="31" s="1"/>
  <c r="W200" i="31"/>
  <c r="AG200" i="31"/>
  <c r="AG184" i="31"/>
  <c r="U168" i="31"/>
  <c r="W198" i="28"/>
  <c r="D201" i="29"/>
  <c r="AK224" i="33"/>
  <c r="AO224" i="33" s="1"/>
  <c r="V179" i="31"/>
  <c r="AE175" i="31"/>
  <c r="AD207" i="31"/>
  <c r="AH207" i="31" s="1"/>
  <c r="AE206" i="31"/>
  <c r="AE168" i="31"/>
  <c r="AG186" i="31"/>
  <c r="AE178" i="31"/>
  <c r="AE188" i="31"/>
  <c r="AD205" i="31"/>
  <c r="AH205" i="31" s="1"/>
  <c r="AE180" i="28"/>
  <c r="AD176" i="28"/>
  <c r="AH176" i="28" s="1"/>
  <c r="W202" i="28"/>
  <c r="V184" i="28"/>
  <c r="W184" i="28"/>
  <c r="W190" i="31"/>
  <c r="AF179" i="31"/>
  <c r="V188" i="31"/>
  <c r="AI178" i="31"/>
  <c r="W178" i="31"/>
  <c r="AJ194" i="31"/>
  <c r="W164" i="31"/>
  <c r="AE187" i="31"/>
  <c r="U186" i="31"/>
  <c r="U202" i="31"/>
  <c r="AF194" i="31"/>
  <c r="AI196" i="31"/>
  <c r="AF178" i="31"/>
  <c r="AJ179" i="31"/>
  <c r="AJ184" i="28"/>
  <c r="AG194" i="28"/>
  <c r="U169" i="28"/>
  <c r="W188" i="31"/>
  <c r="AJ178" i="31"/>
  <c r="AF172" i="31"/>
  <c r="W194" i="31"/>
  <c r="AE164" i="31"/>
  <c r="U187" i="31"/>
  <c r="AG202" i="31"/>
  <c r="AJ196" i="31"/>
  <c r="V185" i="28"/>
  <c r="AE194" i="31"/>
  <c r="AD193" i="31"/>
  <c r="AH193" i="31" s="1"/>
  <c r="AD201" i="31"/>
  <c r="AH201" i="31" s="1"/>
  <c r="V174" i="31"/>
  <c r="W185" i="28"/>
  <c r="AF185" i="28"/>
  <c r="AE198" i="28"/>
  <c r="AE190" i="28"/>
  <c r="AE166" i="28"/>
  <c r="AE172" i="28"/>
  <c r="AD197" i="31"/>
  <c r="AH197" i="31" s="1"/>
  <c r="AG185" i="28"/>
  <c r="K114" i="31"/>
  <c r="J114" i="31" s="1"/>
  <c r="AD188" i="28"/>
  <c r="AH188" i="28" s="1"/>
  <c r="AI185" i="28"/>
  <c r="AD175" i="28"/>
  <c r="AH175" i="28" s="1"/>
  <c r="U185" i="28"/>
  <c r="AJ174" i="31"/>
  <c r="AI174" i="31"/>
  <c r="BF117" i="30"/>
  <c r="Q5" i="30" s="1"/>
  <c r="AG174" i="31"/>
  <c r="AF174" i="31"/>
  <c r="W174" i="31"/>
  <c r="AG187" i="31"/>
  <c r="AD185" i="31"/>
  <c r="AH185" i="31" s="1"/>
  <c r="AD177" i="31"/>
  <c r="AH177" i="31" s="1"/>
  <c r="AE185" i="28"/>
  <c r="AD180" i="28"/>
  <c r="AH180" i="28" s="1"/>
  <c r="AE179" i="31"/>
  <c r="AD190" i="31"/>
  <c r="AJ190" i="31" s="1"/>
  <c r="AD165" i="28"/>
  <c r="AH165" i="28" s="1"/>
  <c r="V170" i="31"/>
  <c r="W170" i="31"/>
  <c r="AI170" i="31"/>
  <c r="AG170" i="31"/>
  <c r="AJ202" i="28"/>
  <c r="AF202" i="28"/>
  <c r="AI202" i="28"/>
  <c r="V202" i="28"/>
  <c r="AJ194" i="28"/>
  <c r="W194" i="28"/>
  <c r="U194" i="28"/>
  <c r="AI194" i="28"/>
  <c r="AF194" i="28"/>
  <c r="W170" i="28"/>
  <c r="AG170" i="28"/>
  <c r="AI170" i="28"/>
  <c r="AF170" i="28"/>
  <c r="AE165" i="28"/>
  <c r="AF165" i="28"/>
  <c r="V165" i="28"/>
  <c r="U165" i="28"/>
  <c r="W165" i="28"/>
  <c r="W201" i="31"/>
  <c r="U201" i="31"/>
  <c r="AG201" i="31"/>
  <c r="AI201" i="31"/>
  <c r="V201" i="31"/>
  <c r="AE193" i="31"/>
  <c r="AJ193" i="31"/>
  <c r="AF193" i="31"/>
  <c r="AI193" i="31"/>
  <c r="U193" i="31"/>
  <c r="AG193" i="31"/>
  <c r="AF189" i="31"/>
  <c r="AI189" i="31"/>
  <c r="AE189" i="31"/>
  <c r="AG189" i="31"/>
  <c r="U189" i="31"/>
  <c r="AF183" i="31"/>
  <c r="U183" i="31"/>
  <c r="AG183" i="31"/>
  <c r="V183" i="31"/>
  <c r="AE183" i="31"/>
  <c r="W167" i="31"/>
  <c r="AG167" i="31"/>
  <c r="V167" i="31"/>
  <c r="AF167" i="31"/>
  <c r="U167" i="31"/>
  <c r="AD169" i="28"/>
  <c r="AH169" i="28" s="1"/>
  <c r="AE169" i="28"/>
  <c r="AJ183" i="28"/>
  <c r="AI183" i="28"/>
  <c r="AF183" i="28"/>
  <c r="AF170" i="31"/>
  <c r="AE167" i="31"/>
  <c r="AF201" i="31"/>
  <c r="AE202" i="28"/>
  <c r="AD185" i="28"/>
  <c r="AH185" i="28" s="1"/>
  <c r="AD164" i="31"/>
  <c r="AJ164" i="31" s="1"/>
  <c r="AD203" i="31"/>
  <c r="AH203" i="31" s="1"/>
  <c r="AD179" i="31"/>
  <c r="AH179" i="31" s="1"/>
  <c r="AE183" i="28"/>
  <c r="AD195" i="28"/>
  <c r="AH195" i="28" s="1"/>
  <c r="AD204" i="28"/>
  <c r="AH204" i="28" s="1"/>
  <c r="AD166" i="28"/>
  <c r="AE170" i="28"/>
  <c r="AD191" i="31"/>
  <c r="AH191" i="31" s="1"/>
  <c r="AE174" i="31"/>
  <c r="AE170" i="31"/>
  <c r="AE173" i="28"/>
  <c r="AE188" i="28"/>
  <c r="AG164" i="31"/>
  <c r="AF168" i="28"/>
  <c r="S61" i="29"/>
  <c r="S48" i="29" s="1"/>
  <c r="S53" i="29" s="1"/>
  <c r="AI190" i="31"/>
  <c r="AI177" i="31"/>
  <c r="V169" i="31"/>
  <c r="AE168" i="28"/>
  <c r="U168" i="28"/>
  <c r="CJ61" i="30"/>
  <c r="CP62" i="30"/>
  <c r="CI61" i="30"/>
  <c r="U176" i="28"/>
  <c r="AJ176" i="28"/>
  <c r="AG168" i="28"/>
  <c r="AF190" i="31"/>
  <c r="AE190" i="31"/>
  <c r="AG172" i="31"/>
  <c r="AF169" i="31"/>
  <c r="CX72" i="30"/>
  <c r="CX82" i="30" s="1"/>
  <c r="AJ177" i="31"/>
  <c r="AD196" i="31"/>
  <c r="AH196" i="31" s="1"/>
  <c r="R201" i="29"/>
  <c r="F201" i="29"/>
  <c r="H201" i="29"/>
  <c r="G201" i="29"/>
  <c r="CL60" i="30"/>
  <c r="CL106" i="30" s="1"/>
  <c r="AI176" i="28"/>
  <c r="AG176" i="28"/>
  <c r="U190" i="31"/>
  <c r="V177" i="31"/>
  <c r="AI172" i="31"/>
  <c r="AG169" i="31"/>
  <c r="CH71" i="30"/>
  <c r="B95" i="30"/>
  <c r="D95" i="30" s="1"/>
  <c r="AG190" i="31"/>
  <c r="AE176" i="28"/>
  <c r="J201" i="29"/>
  <c r="X201" i="29"/>
  <c r="C251" i="33"/>
  <c r="D251" i="33" s="1"/>
  <c r="CK62" i="30"/>
  <c r="CG62" i="30"/>
  <c r="CV61" i="30"/>
  <c r="CN62" i="30"/>
  <c r="CN108" i="30" s="1"/>
  <c r="CO62" i="30"/>
  <c r="CO108" i="30" s="1"/>
  <c r="AD173" i="28"/>
  <c r="AH173" i="28" s="1"/>
  <c r="V176" i="28"/>
  <c r="W177" i="31"/>
  <c r="AJ172" i="31"/>
  <c r="CM71" i="30"/>
  <c r="CM82" i="30" s="1"/>
  <c r="T247" i="31"/>
  <c r="X247" i="31" s="1"/>
  <c r="W168" i="28"/>
  <c r="CN60" i="30"/>
  <c r="CN106" i="30" s="1"/>
  <c r="S57" i="29"/>
  <c r="AE177" i="31"/>
  <c r="U172" i="31"/>
  <c r="CI60" i="30"/>
  <c r="CI106" i="30" s="1"/>
  <c r="CK60" i="30"/>
  <c r="V172" i="31"/>
  <c r="S58" i="29"/>
  <c r="AF177" i="31"/>
  <c r="AD174" i="31"/>
  <c r="AH174" i="31" s="1"/>
  <c r="V45" i="31"/>
  <c r="AD203" i="28"/>
  <c r="AH203" i="28" s="1"/>
  <c r="AF176" i="28"/>
  <c r="AG177" i="31"/>
  <c r="U169" i="31"/>
  <c r="CC71" i="30"/>
  <c r="AD180" i="31"/>
  <c r="AH180" i="31" s="1"/>
  <c r="AE196" i="31"/>
  <c r="AD183" i="28"/>
  <c r="AH183" i="28" s="1"/>
  <c r="L113" i="31"/>
  <c r="AD168" i="31"/>
  <c r="AH168" i="31" s="1"/>
  <c r="AD194" i="31"/>
  <c r="AH194" i="31" s="1"/>
  <c r="CF71" i="30"/>
  <c r="AE33" i="29"/>
  <c r="T240" i="31" s="1"/>
  <c r="T273" i="31" s="1"/>
  <c r="C41" i="33"/>
  <c r="D41" i="33" s="1"/>
  <c r="BC60" i="30"/>
  <c r="AD184" i="31"/>
  <c r="AH184" i="31" s="1"/>
  <c r="C53" i="29"/>
  <c r="C55" i="29" s="1"/>
  <c r="AE184" i="31"/>
  <c r="D288" i="33"/>
  <c r="C288" i="33"/>
  <c r="AD187" i="28"/>
  <c r="AJ187" i="28" s="1"/>
  <c r="Y62" i="29"/>
  <c r="Y63" i="29" s="1"/>
  <c r="Y49" i="29" s="1"/>
  <c r="Y54" i="29" s="1"/>
  <c r="AE201" i="31"/>
  <c r="AD19" i="29"/>
  <c r="AF19" i="29" s="1"/>
  <c r="AK20" i="29" s="1"/>
  <c r="AJ171" i="28"/>
  <c r="W207" i="28"/>
  <c r="AD182" i="28"/>
  <c r="AH182" i="28" s="1"/>
  <c r="BD108" i="31"/>
  <c r="AM108" i="31"/>
  <c r="CA100" i="31" s="1"/>
  <c r="AG171" i="28"/>
  <c r="AK108" i="31"/>
  <c r="CA98" i="31" s="1"/>
  <c r="BB108" i="31"/>
  <c r="BT108" i="31"/>
  <c r="AD171" i="28"/>
  <c r="AH171" i="28" s="1"/>
  <c r="AY60" i="30"/>
  <c r="BC74" i="30"/>
  <c r="BK62" i="30"/>
  <c r="BK108" i="30" s="1"/>
  <c r="CQ72" i="30"/>
  <c r="CR71" i="30"/>
  <c r="CR81" i="30" s="1"/>
  <c r="CG71" i="30"/>
  <c r="BB72" i="30"/>
  <c r="BB82" i="30" s="1"/>
  <c r="CN72" i="30"/>
  <c r="CN82" i="30" s="1"/>
  <c r="CT71" i="30"/>
  <c r="CT83" i="30" s="1"/>
  <c r="CH73" i="30"/>
  <c r="BK60" i="30"/>
  <c r="BQ74" i="30"/>
  <c r="BC72" i="30"/>
  <c r="BA74" i="30"/>
  <c r="BA84" i="30" s="1"/>
  <c r="CK72" i="30"/>
  <c r="CK84" i="30" s="1"/>
  <c r="BC108" i="31"/>
  <c r="AC108" i="31"/>
  <c r="CA90" i="31" s="1"/>
  <c r="AT108" i="31"/>
  <c r="CA107" i="31" s="1"/>
  <c r="AJ207" i="28"/>
  <c r="AE203" i="28"/>
  <c r="AJ108" i="31"/>
  <c r="CA97" i="31" s="1"/>
  <c r="BH108" i="31"/>
  <c r="V171" i="28"/>
  <c r="C34" i="29"/>
  <c r="BU101" i="31"/>
  <c r="AG108" i="31"/>
  <c r="CA94" i="31" s="1"/>
  <c r="AS108" i="31"/>
  <c r="CA106" i="31" s="1"/>
  <c r="BJ108" i="31"/>
  <c r="AZ108" i="31"/>
  <c r="CA113" i="31" s="1"/>
  <c r="BP108" i="31"/>
  <c r="AQ108" i="31"/>
  <c r="CA104" i="31" s="1"/>
  <c r="AO108" i="31"/>
  <c r="CA102" i="31" s="1"/>
  <c r="BA108" i="31"/>
  <c r="BR108" i="31"/>
  <c r="AR108" i="31"/>
  <c r="CA105" i="31" s="1"/>
  <c r="BF108" i="31"/>
  <c r="AH108" i="31"/>
  <c r="CA95" i="31" s="1"/>
  <c r="BV108" i="31"/>
  <c r="AX108" i="31"/>
  <c r="CA111" i="31" s="1"/>
  <c r="AD195" i="31"/>
  <c r="AH195" i="31" s="1"/>
  <c r="AW108" i="31"/>
  <c r="CA110" i="31" s="1"/>
  <c r="BI108" i="31"/>
  <c r="AF108" i="31"/>
  <c r="CA93" i="31" s="1"/>
  <c r="AT101" i="31"/>
  <c r="BZ107" i="31" s="1"/>
  <c r="AB108" i="31"/>
  <c r="CA89" i="31" s="1"/>
  <c r="AI108" i="31"/>
  <c r="CA96" i="31" s="1"/>
  <c r="AY108" i="31"/>
  <c r="CA112" i="31" s="1"/>
  <c r="AD174" i="28"/>
  <c r="AH174" i="28" s="1"/>
  <c r="AD166" i="31"/>
  <c r="AH166" i="31" s="1"/>
  <c r="BE108" i="31"/>
  <c r="BQ108" i="31"/>
  <c r="AN108" i="31"/>
  <c r="CA101" i="31" s="1"/>
  <c r="AQ101" i="31"/>
  <c r="BZ104" i="31" s="1"/>
  <c r="AE108" i="31"/>
  <c r="CA92" i="31" s="1"/>
  <c r="AU108" i="31"/>
  <c r="CA108" i="31" s="1"/>
  <c r="AP108" i="31"/>
  <c r="CA103" i="31" s="1"/>
  <c r="AD108" i="31"/>
  <c r="CA91" i="31" s="1"/>
  <c r="AV108" i="31"/>
  <c r="CA109" i="31" s="1"/>
  <c r="AG207" i="28"/>
  <c r="AG101" i="31"/>
  <c r="BZ94" i="31" s="1"/>
  <c r="BS108" i="31"/>
  <c r="BU108" i="31"/>
  <c r="AL108" i="31"/>
  <c r="CA99" i="31" s="1"/>
  <c r="BG108" i="31"/>
  <c r="AE199" i="28"/>
  <c r="AD206" i="31"/>
  <c r="AH206" i="31" s="1"/>
  <c r="AB94" i="31"/>
  <c r="BY89" i="31" s="1"/>
  <c r="AD167" i="28"/>
  <c r="AJ167" i="28" s="1"/>
  <c r="AD175" i="31"/>
  <c r="AH175" i="31" s="1"/>
  <c r="V199" i="28"/>
  <c r="C11" i="29"/>
  <c r="C13" i="29" s="1"/>
  <c r="AU94" i="31"/>
  <c r="BY108" i="31" s="1"/>
  <c r="AI94" i="31"/>
  <c r="BY96" i="31" s="1"/>
  <c r="AD199" i="28"/>
  <c r="AH199" i="28" s="1"/>
  <c r="AO101" i="31"/>
  <c r="BZ102" i="31" s="1"/>
  <c r="BC94" i="31"/>
  <c r="AQ94" i="31"/>
  <c r="BY104" i="31" s="1"/>
  <c r="AD170" i="28"/>
  <c r="AH170" i="28" s="1"/>
  <c r="AF207" i="28"/>
  <c r="AZ101" i="31"/>
  <c r="BZ113" i="31" s="1"/>
  <c r="AR101" i="31"/>
  <c r="BZ105" i="31" s="1"/>
  <c r="AV94" i="31"/>
  <c r="BY109" i="31" s="1"/>
  <c r="AG190" i="28"/>
  <c r="AC34" i="28"/>
  <c r="K39" i="28" s="1"/>
  <c r="C96" i="33" s="1"/>
  <c r="U207" i="28"/>
  <c r="AD178" i="31"/>
  <c r="AH178" i="31" s="1"/>
  <c r="AD171" i="31"/>
  <c r="AH171" i="31" s="1"/>
  <c r="BH101" i="31"/>
  <c r="AM94" i="31"/>
  <c r="BY100" i="31" s="1"/>
  <c r="AD94" i="31"/>
  <c r="BY91" i="31" s="1"/>
  <c r="BM94" i="31"/>
  <c r="AZ94" i="31"/>
  <c r="BY113" i="31" s="1"/>
  <c r="BM101" i="31"/>
  <c r="AL94" i="31"/>
  <c r="BY99" i="31" s="1"/>
  <c r="BH94" i="31"/>
  <c r="AF94" i="31"/>
  <c r="BY93" i="31" s="1"/>
  <c r="AE101" i="31"/>
  <c r="BZ92" i="31" s="1"/>
  <c r="BC101" i="31"/>
  <c r="AD206" i="28"/>
  <c r="AH206" i="28" s="1"/>
  <c r="AI203" i="28"/>
  <c r="AD197" i="28"/>
  <c r="AH197" i="28" s="1"/>
  <c r="AE207" i="28"/>
  <c r="BN101" i="31"/>
  <c r="AG203" i="28"/>
  <c r="W203" i="28"/>
  <c r="AD178" i="28"/>
  <c r="AH178" i="28" s="1"/>
  <c r="AI207" i="28"/>
  <c r="BJ101" i="31"/>
  <c r="AN101" i="31"/>
  <c r="BZ101" i="31" s="1"/>
  <c r="AL101" i="31"/>
  <c r="BZ99" i="31" s="1"/>
  <c r="BK101" i="31"/>
  <c r="BV101" i="31"/>
  <c r="AF101" i="31"/>
  <c r="BZ93" i="31" s="1"/>
  <c r="BG94" i="31"/>
  <c r="AD101" i="31"/>
  <c r="BZ91" i="31" s="1"/>
  <c r="AF203" i="28"/>
  <c r="U203" i="28"/>
  <c r="AG167" i="28"/>
  <c r="BD101" i="31"/>
  <c r="BO101" i="31"/>
  <c r="BS101" i="31"/>
  <c r="BU94" i="31"/>
  <c r="BQ94" i="31"/>
  <c r="BQ61" i="30"/>
  <c r="BQ107" i="30" s="1"/>
  <c r="AV63" i="30"/>
  <c r="AV109" i="30" s="1"/>
  <c r="CG73" i="30"/>
  <c r="AW61" i="30"/>
  <c r="AW107" i="30" s="1"/>
  <c r="AX69" i="30"/>
  <c r="AX101" i="31"/>
  <c r="BZ111" i="31" s="1"/>
  <c r="CO72" i="30"/>
  <c r="AD202" i="31"/>
  <c r="AH202" i="31" s="1"/>
  <c r="AO166" i="31"/>
  <c r="C76" i="33" s="1"/>
  <c r="BE101" i="31"/>
  <c r="BP101" i="31"/>
  <c r="AH101" i="31"/>
  <c r="BZ95" i="31" s="1"/>
  <c r="BD94" i="31"/>
  <c r="AT94" i="31"/>
  <c r="BY107" i="31" s="1"/>
  <c r="BK94" i="31"/>
  <c r="AH94" i="31"/>
  <c r="BY95" i="31" s="1"/>
  <c r="AY94" i="31"/>
  <c r="BY112" i="31" s="1"/>
  <c r="BP94" i="31"/>
  <c r="AK94" i="31"/>
  <c r="BY98" i="31" s="1"/>
  <c r="AY63" i="30"/>
  <c r="AY109" i="30" s="1"/>
  <c r="BA69" i="30"/>
  <c r="AC94" i="31"/>
  <c r="BY90" i="31" s="1"/>
  <c r="AV101" i="31"/>
  <c r="BZ109" i="31" s="1"/>
  <c r="BQ101" i="31"/>
  <c r="BT101" i="31"/>
  <c r="AU101" i="31"/>
  <c r="BZ108" i="31" s="1"/>
  <c r="AC101" i="31"/>
  <c r="BZ90" i="31" s="1"/>
  <c r="BB94" i="31"/>
  <c r="BS94" i="31"/>
  <c r="AP94" i="31"/>
  <c r="BY103" i="31" s="1"/>
  <c r="AS94" i="31"/>
  <c r="BY106" i="31" s="1"/>
  <c r="BS63" i="30"/>
  <c r="BS109" i="30" s="1"/>
  <c r="BS61" i="30"/>
  <c r="BS107" i="30" s="1"/>
  <c r="BA61" i="30"/>
  <c r="BA107" i="30" s="1"/>
  <c r="CY80" i="30"/>
  <c r="BD80" i="30"/>
  <c r="CY71" i="30"/>
  <c r="BS69" i="30"/>
  <c r="AZ61" i="30"/>
  <c r="AZ107" i="30" s="1"/>
  <c r="CQ73" i="30"/>
  <c r="CW71" i="30"/>
  <c r="BR61" i="30"/>
  <c r="BR107" i="30" s="1"/>
  <c r="AY101" i="31"/>
  <c r="BZ112" i="31" s="1"/>
  <c r="BT94" i="31"/>
  <c r="CJ80" i="30"/>
  <c r="CJ81" i="30" s="1"/>
  <c r="BD74" i="30"/>
  <c r="AX63" i="30"/>
  <c r="AX109" i="30" s="1"/>
  <c r="BG101" i="31"/>
  <c r="AI101" i="31"/>
  <c r="BZ96" i="31" s="1"/>
  <c r="AK101" i="31"/>
  <c r="BZ98" i="31" s="1"/>
  <c r="BJ94" i="31"/>
  <c r="AG94" i="31"/>
  <c r="BY94" i="31" s="1"/>
  <c r="AX94" i="31"/>
  <c r="BY111" i="31" s="1"/>
  <c r="BO94" i="31"/>
  <c r="AW101" i="31"/>
  <c r="BZ110" i="31" s="1"/>
  <c r="AB101" i="31"/>
  <c r="BZ89" i="31" s="1"/>
  <c r="AS101" i="31"/>
  <c r="BZ106" i="31" s="1"/>
  <c r="BL101" i="31"/>
  <c r="BR94" i="31"/>
  <c r="AO94" i="31"/>
  <c r="BY102" i="31" s="1"/>
  <c r="BF94" i="31"/>
  <c r="BC62" i="30"/>
  <c r="BC108" i="30" s="1"/>
  <c r="DJ117" i="30"/>
  <c r="L7" i="30" s="1"/>
  <c r="AV80" i="30"/>
  <c r="AV84" i="30" s="1"/>
  <c r="CQ71" i="30"/>
  <c r="BK69" i="30"/>
  <c r="CI73" i="30"/>
  <c r="CO71" i="30"/>
  <c r="CS72" i="30"/>
  <c r="CS82" i="30" s="1"/>
  <c r="CW73" i="30"/>
  <c r="AW63" i="30"/>
  <c r="AW109" i="30" s="1"/>
  <c r="CB80" i="30"/>
  <c r="CB82" i="30" s="1"/>
  <c r="AD204" i="31"/>
  <c r="AH204" i="31" s="1"/>
  <c r="AC228" i="31"/>
  <c r="C73" i="33" s="1"/>
  <c r="AM101" i="31"/>
  <c r="BZ100" i="31" s="1"/>
  <c r="BR101" i="31"/>
  <c r="AJ101" i="31"/>
  <c r="BZ97" i="31" s="1"/>
  <c r="BA101" i="31"/>
  <c r="BB101" i="31"/>
  <c r="AE94" i="31"/>
  <c r="BY92" i="31" s="1"/>
  <c r="AW94" i="31"/>
  <c r="BY110" i="31" s="1"/>
  <c r="BN94" i="31"/>
  <c r="AJ94" i="31"/>
  <c r="BY97" i="31" s="1"/>
  <c r="BO63" i="30"/>
  <c r="BO109" i="30" s="1"/>
  <c r="BG60" i="30"/>
  <c r="BQ69" i="30"/>
  <c r="BI94" i="31"/>
  <c r="AN94" i="31"/>
  <c r="BY101" i="31" s="1"/>
  <c r="AD187" i="31"/>
  <c r="AI187" i="31" s="1"/>
  <c r="AD176" i="31"/>
  <c r="AH176" i="31" s="1"/>
  <c r="AI147" i="31"/>
  <c r="W126" i="31" s="1"/>
  <c r="BF101" i="31"/>
  <c r="BI101" i="31"/>
  <c r="AP101" i="31"/>
  <c r="BZ103" i="31" s="1"/>
  <c r="BA94" i="31"/>
  <c r="BE94" i="31"/>
  <c r="BV94" i="31"/>
  <c r="AR94" i="31"/>
  <c r="BY105" i="31" s="1"/>
  <c r="BL94" i="31"/>
  <c r="AB228" i="31"/>
  <c r="R34" i="31" s="1"/>
  <c r="B39" i="31" s="1"/>
  <c r="C95" i="33" s="1"/>
  <c r="AD182" i="31"/>
  <c r="AH182" i="31" s="1"/>
  <c r="AF180" i="31"/>
  <c r="AE180" i="31"/>
  <c r="W180" i="31"/>
  <c r="V180" i="31"/>
  <c r="U180" i="31"/>
  <c r="AJ180" i="31"/>
  <c r="AI180" i="31"/>
  <c r="AG180" i="31"/>
  <c r="AE169" i="31"/>
  <c r="AG182" i="31"/>
  <c r="AF182" i="31"/>
  <c r="AE182" i="31"/>
  <c r="W182" i="31"/>
  <c r="V182" i="31"/>
  <c r="U182" i="31"/>
  <c r="AJ182" i="31"/>
  <c r="AI182" i="31"/>
  <c r="AG166" i="31"/>
  <c r="AF166" i="31"/>
  <c r="AE166" i="31"/>
  <c r="W166" i="31"/>
  <c r="V166" i="31"/>
  <c r="U166" i="31"/>
  <c r="DV117" i="30"/>
  <c r="X7" i="30" s="1"/>
  <c r="DC114" i="30"/>
  <c r="DC79" i="30"/>
  <c r="BZ109" i="30"/>
  <c r="BZ74" i="30"/>
  <c r="CF83" i="30"/>
  <c r="CF81" i="30"/>
  <c r="CF84" i="30"/>
  <c r="CF82" i="30"/>
  <c r="DH117" i="30"/>
  <c r="J7" i="30" s="1"/>
  <c r="BZ115" i="30"/>
  <c r="BZ80" i="30"/>
  <c r="BJ82" i="30"/>
  <c r="BJ81" i="30"/>
  <c r="BJ84" i="30"/>
  <c r="BJ83" i="30"/>
  <c r="DW83" i="30"/>
  <c r="DW82" i="30"/>
  <c r="DW81" i="30"/>
  <c r="DW84" i="30"/>
  <c r="CM84" i="30"/>
  <c r="CM83" i="30"/>
  <c r="AZ83" i="30"/>
  <c r="AZ81" i="30"/>
  <c r="AZ84" i="30"/>
  <c r="AZ82" i="30"/>
  <c r="DU82" i="30"/>
  <c r="DU81" i="30"/>
  <c r="DU84" i="30"/>
  <c r="DU83" i="30"/>
  <c r="AX83" i="30"/>
  <c r="AX82" i="30"/>
  <c r="AX81" i="30"/>
  <c r="AX84" i="30"/>
  <c r="DT83" i="30"/>
  <c r="DT82" i="30"/>
  <c r="DT81" i="30"/>
  <c r="DT84" i="30"/>
  <c r="CB83" i="30"/>
  <c r="U204" i="31"/>
  <c r="AG204" i="31"/>
  <c r="AJ204" i="31"/>
  <c r="AI204" i="31"/>
  <c r="W204" i="31"/>
  <c r="AF204" i="31"/>
  <c r="V204" i="31"/>
  <c r="AE204" i="31"/>
  <c r="AD192" i="31"/>
  <c r="AH192" i="31" s="1"/>
  <c r="AE202" i="31"/>
  <c r="DV84" i="30"/>
  <c r="DV83" i="30"/>
  <c r="DV81" i="30"/>
  <c r="DV82" i="30"/>
  <c r="CL83" i="30"/>
  <c r="CL82" i="30"/>
  <c r="CL81" i="30"/>
  <c r="CL84" i="30"/>
  <c r="AY84" i="30"/>
  <c r="AY83" i="30"/>
  <c r="AY82" i="30"/>
  <c r="AY81" i="30"/>
  <c r="DC112" i="30"/>
  <c r="DC77" i="30"/>
  <c r="BZ112" i="30"/>
  <c r="BZ77" i="30"/>
  <c r="BK83" i="30"/>
  <c r="BK84" i="30"/>
  <c r="BK82" i="30"/>
  <c r="BK81" i="30"/>
  <c r="DX117" i="30"/>
  <c r="Z7" i="30" s="1"/>
  <c r="DH84" i="30"/>
  <c r="DH83" i="30"/>
  <c r="DH82" i="30"/>
  <c r="DH81" i="30"/>
  <c r="EA82" i="30"/>
  <c r="EA81" i="30"/>
  <c r="EA84" i="30"/>
  <c r="EA83" i="30"/>
  <c r="DY83" i="30"/>
  <c r="DY81" i="30"/>
  <c r="DY84" i="30"/>
  <c r="DY82" i="30"/>
  <c r="CO84" i="30"/>
  <c r="BB81" i="30"/>
  <c r="BB83" i="30"/>
  <c r="DO117" i="30"/>
  <c r="Q7" i="30" s="1"/>
  <c r="DM117" i="30"/>
  <c r="O7" i="30" s="1"/>
  <c r="DL83" i="30"/>
  <c r="DL84" i="30"/>
  <c r="DL82" i="30"/>
  <c r="DL81" i="30"/>
  <c r="AJ207" i="31"/>
  <c r="AF207" i="31"/>
  <c r="AI207" i="31"/>
  <c r="W207" i="31"/>
  <c r="AG207" i="31"/>
  <c r="AE207" i="31"/>
  <c r="V207" i="31"/>
  <c r="U207" i="31"/>
  <c r="AO169" i="31"/>
  <c r="C77" i="33" s="1"/>
  <c r="AD186" i="31"/>
  <c r="AJ186" i="31" s="1"/>
  <c r="AE172" i="31"/>
  <c r="AD172" i="31"/>
  <c r="AH172" i="31" s="1"/>
  <c r="AJ191" i="31"/>
  <c r="AF191" i="31"/>
  <c r="W191" i="31"/>
  <c r="AG191" i="31"/>
  <c r="V191" i="31"/>
  <c r="AE191" i="31"/>
  <c r="U191" i="31"/>
  <c r="AD199" i="31"/>
  <c r="AH199" i="31" s="1"/>
  <c r="DN117" i="30"/>
  <c r="P7" i="30" s="1"/>
  <c r="DC107" i="30"/>
  <c r="DC72" i="30"/>
  <c r="DZ117" i="30"/>
  <c r="AB7" i="30" s="1"/>
  <c r="DX84" i="30"/>
  <c r="DX83" i="30"/>
  <c r="DX82" i="30"/>
  <c r="DX81" i="30"/>
  <c r="EA117" i="30"/>
  <c r="AC7" i="30" s="1"/>
  <c r="DY117" i="30"/>
  <c r="AA7" i="30" s="1"/>
  <c r="DO83" i="30"/>
  <c r="DO82" i="30"/>
  <c r="DO81" i="30"/>
  <c r="DO84" i="30"/>
  <c r="CE84" i="30"/>
  <c r="CE83" i="30"/>
  <c r="CE82" i="30"/>
  <c r="CE81" i="30"/>
  <c r="DM82" i="30"/>
  <c r="DM81" i="30"/>
  <c r="DM84" i="30"/>
  <c r="DM83" i="30"/>
  <c r="CC84" i="30"/>
  <c r="CC83" i="30"/>
  <c r="CC81" i="30"/>
  <c r="CC82" i="30"/>
  <c r="DL117" i="30"/>
  <c r="N7" i="30" s="1"/>
  <c r="BM84" i="30"/>
  <c r="BM82" i="30"/>
  <c r="BM83" i="30"/>
  <c r="BM81" i="30"/>
  <c r="AO170" i="31"/>
  <c r="AD170" i="31"/>
  <c r="AH170" i="31" s="1"/>
  <c r="AD188" i="31"/>
  <c r="AH188" i="31" s="1"/>
  <c r="AE186" i="31"/>
  <c r="AD169" i="31"/>
  <c r="AH169" i="31" s="1"/>
  <c r="DN84" i="30"/>
  <c r="DN82" i="30"/>
  <c r="DN83" i="30"/>
  <c r="DN81" i="30"/>
  <c r="CD83" i="30"/>
  <c r="CD82" i="30"/>
  <c r="CD81" i="30"/>
  <c r="CD84" i="30"/>
  <c r="DC110" i="30"/>
  <c r="DC75" i="30"/>
  <c r="DZ83" i="30"/>
  <c r="DZ82" i="30"/>
  <c r="DZ81" i="30"/>
  <c r="DZ84" i="30"/>
  <c r="CP82" i="30"/>
  <c r="CP81" i="30"/>
  <c r="CP84" i="30"/>
  <c r="CP83" i="30"/>
  <c r="DC115" i="30"/>
  <c r="DC80" i="30"/>
  <c r="DP117" i="30"/>
  <c r="R7" i="30" s="1"/>
  <c r="CN84" i="30"/>
  <c r="DS82" i="30"/>
  <c r="DS81" i="30"/>
  <c r="DS84" i="30"/>
  <c r="DS83" i="30"/>
  <c r="CI83" i="30"/>
  <c r="CI84" i="30"/>
  <c r="CI82" i="30"/>
  <c r="CI81" i="30"/>
  <c r="DQ82" i="30"/>
  <c r="DQ83" i="30"/>
  <c r="DQ81" i="30"/>
  <c r="DQ84" i="30"/>
  <c r="DG117" i="30"/>
  <c r="I7" i="30" s="1"/>
  <c r="DE117" i="30"/>
  <c r="G7" i="30" s="1"/>
  <c r="AF195" i="31"/>
  <c r="AJ195" i="31"/>
  <c r="AE195" i="31"/>
  <c r="U195" i="31"/>
  <c r="AI195" i="31"/>
  <c r="V195" i="31"/>
  <c r="AG195" i="31"/>
  <c r="W195" i="31"/>
  <c r="M113" i="31"/>
  <c r="M110" i="31"/>
  <c r="J110" i="31" s="1"/>
  <c r="AG171" i="31"/>
  <c r="AF171" i="31"/>
  <c r="AE171" i="31"/>
  <c r="W171" i="31"/>
  <c r="V171" i="31"/>
  <c r="U171" i="31"/>
  <c r="AJ171" i="31"/>
  <c r="AI171" i="31"/>
  <c r="M111" i="31"/>
  <c r="J111" i="31" s="1"/>
  <c r="AJ199" i="31"/>
  <c r="AF199" i="31"/>
  <c r="AI199" i="31"/>
  <c r="W199" i="31"/>
  <c r="AG199" i="31"/>
  <c r="V199" i="31"/>
  <c r="AE199" i="31"/>
  <c r="U199" i="31"/>
  <c r="AF185" i="31"/>
  <c r="AE185" i="31"/>
  <c r="W185" i="31"/>
  <c r="V185" i="31"/>
  <c r="U185" i="31"/>
  <c r="AJ185" i="31"/>
  <c r="AI185" i="31"/>
  <c r="AG185" i="31"/>
  <c r="DF117" i="30"/>
  <c r="H7" i="30" s="1"/>
  <c r="BZ107" i="30"/>
  <c r="BZ72" i="30"/>
  <c r="DR117" i="30"/>
  <c r="T7" i="30" s="1"/>
  <c r="DC113" i="30"/>
  <c r="DC78" i="30"/>
  <c r="DP84" i="30"/>
  <c r="DP83" i="30"/>
  <c r="DP82" i="30"/>
  <c r="DP81" i="30"/>
  <c r="BA81" i="30"/>
  <c r="DS117" i="30"/>
  <c r="U7" i="30" s="1"/>
  <c r="DQ117" i="30"/>
  <c r="S7" i="30" s="1"/>
  <c r="DG83" i="30"/>
  <c r="DG82" i="30"/>
  <c r="DG81" i="30"/>
  <c r="DG84" i="30"/>
  <c r="DE82" i="30"/>
  <c r="DE81" i="30"/>
  <c r="DE84" i="30"/>
  <c r="DE83" i="30"/>
  <c r="BN83" i="30"/>
  <c r="BN82" i="30"/>
  <c r="BN81" i="30"/>
  <c r="BN84" i="30"/>
  <c r="CR82" i="30"/>
  <c r="BE84" i="30"/>
  <c r="BE81" i="30"/>
  <c r="BE82" i="30"/>
  <c r="BE83" i="30"/>
  <c r="AE198" i="31"/>
  <c r="W198" i="31"/>
  <c r="AI198" i="31"/>
  <c r="AJ198" i="31"/>
  <c r="AG198" i="31"/>
  <c r="V198" i="31"/>
  <c r="AF198" i="31"/>
  <c r="U198" i="31"/>
  <c r="AO28" i="31"/>
  <c r="AP28" i="31" s="1"/>
  <c r="AO27" i="31"/>
  <c r="AP27" i="31" s="1"/>
  <c r="DC108" i="30"/>
  <c r="DC73" i="30"/>
  <c r="DF84" i="30"/>
  <c r="DF83" i="30"/>
  <c r="DF81" i="30"/>
  <c r="DF82" i="30"/>
  <c r="DR83" i="30"/>
  <c r="DR82" i="30"/>
  <c r="DR81" i="30"/>
  <c r="DR84" i="30"/>
  <c r="BI83" i="30"/>
  <c r="BI82" i="30"/>
  <c r="BI81" i="30"/>
  <c r="BI84" i="30"/>
  <c r="DK82" i="30"/>
  <c r="DK81" i="30"/>
  <c r="DK84" i="30"/>
  <c r="DK83" i="30"/>
  <c r="BL82" i="30"/>
  <c r="BL81" i="30"/>
  <c r="BL84" i="30"/>
  <c r="BL83" i="30"/>
  <c r="DI117" i="30"/>
  <c r="K7" i="30" s="1"/>
  <c r="EB117" i="30"/>
  <c r="AD7" i="30" s="1"/>
  <c r="CV83" i="30"/>
  <c r="CV81" i="30"/>
  <c r="CV84" i="30"/>
  <c r="CV82" i="30"/>
  <c r="DK117" i="30"/>
  <c r="M7" i="30" s="1"/>
  <c r="DI84" i="30"/>
  <c r="DI82" i="30"/>
  <c r="DI81" i="30"/>
  <c r="DI83" i="30"/>
  <c r="CU84" i="30"/>
  <c r="CU83" i="30"/>
  <c r="CU82" i="30"/>
  <c r="CU81" i="30"/>
  <c r="BH84" i="30"/>
  <c r="BH82" i="30"/>
  <c r="BH83" i="30"/>
  <c r="BH81" i="30"/>
  <c r="CS84" i="30"/>
  <c r="BF83" i="30"/>
  <c r="BF82" i="30"/>
  <c r="BF81" i="30"/>
  <c r="BF84" i="30"/>
  <c r="EB83" i="30"/>
  <c r="EB81" i="30"/>
  <c r="EB84" i="30"/>
  <c r="EB82" i="30"/>
  <c r="CJ82" i="30"/>
  <c r="CJ84" i="30"/>
  <c r="CJ83" i="30"/>
  <c r="AW84" i="30"/>
  <c r="AW83" i="30"/>
  <c r="AW81" i="30"/>
  <c r="AW82" i="30"/>
  <c r="AF203" i="31"/>
  <c r="AJ203" i="31"/>
  <c r="W203" i="31"/>
  <c r="AG203" i="31"/>
  <c r="V203" i="31"/>
  <c r="AE203" i="31"/>
  <c r="U203" i="31"/>
  <c r="AI203" i="31"/>
  <c r="AG192" i="31"/>
  <c r="U192" i="31"/>
  <c r="AI192" i="31"/>
  <c r="W192" i="31"/>
  <c r="AF192" i="31"/>
  <c r="V192" i="31"/>
  <c r="AE192" i="31"/>
  <c r="AD198" i="31"/>
  <c r="AH198" i="31" s="1"/>
  <c r="AA228" i="31"/>
  <c r="C72" i="33" s="1"/>
  <c r="AO167" i="31"/>
  <c r="AD200" i="31"/>
  <c r="AH200" i="31" s="1"/>
  <c r="BG84" i="30"/>
  <c r="BG83" i="30"/>
  <c r="BG82" i="30"/>
  <c r="BG81" i="30"/>
  <c r="BZ106" i="30"/>
  <c r="BZ71" i="30"/>
  <c r="DC111" i="30"/>
  <c r="DC76" i="30"/>
  <c r="BZ114" i="30"/>
  <c r="BZ79" i="30"/>
  <c r="DC109" i="30"/>
  <c r="DC74" i="30"/>
  <c r="BZ111" i="30"/>
  <c r="BZ76" i="30"/>
  <c r="DJ83" i="30"/>
  <c r="DJ82" i="30"/>
  <c r="DJ81" i="30"/>
  <c r="DJ84" i="30"/>
  <c r="BZ113" i="30"/>
  <c r="BZ78" i="30"/>
  <c r="BD82" i="30"/>
  <c r="BD84" i="30"/>
  <c r="DW117" i="30"/>
  <c r="Y7" i="30" s="1"/>
  <c r="DU117" i="30"/>
  <c r="W7" i="30" s="1"/>
  <c r="DT117" i="30"/>
  <c r="V7" i="30" s="1"/>
  <c r="BL4" i="29"/>
  <c r="BK4" i="29"/>
  <c r="BH4" i="29"/>
  <c r="BJ4" i="29"/>
  <c r="BG4" i="29"/>
  <c r="W41" i="29"/>
  <c r="W42" i="29" s="1"/>
  <c r="W28" i="29" s="1"/>
  <c r="W33" i="29" s="1"/>
  <c r="W38" i="29"/>
  <c r="W36" i="29"/>
  <c r="W40" i="29"/>
  <c r="W27" i="29" s="1"/>
  <c r="W31" i="29" s="1"/>
  <c r="W37" i="29"/>
  <c r="S63" i="29"/>
  <c r="S49" i="29" s="1"/>
  <c r="S54" i="29" s="1"/>
  <c r="C38" i="29"/>
  <c r="C36" i="29"/>
  <c r="C37" i="29"/>
  <c r="K41" i="29"/>
  <c r="K38" i="29"/>
  <c r="K36" i="29"/>
  <c r="K40" i="29"/>
  <c r="K27" i="29" s="1"/>
  <c r="K37" i="29"/>
  <c r="S41" i="29"/>
  <c r="S38" i="29"/>
  <c r="S36" i="29"/>
  <c r="S40" i="29"/>
  <c r="S27" i="29" s="1"/>
  <c r="S31" i="29" s="1"/>
  <c r="S37" i="29"/>
  <c r="G41" i="29"/>
  <c r="G40" i="29"/>
  <c r="G27" i="29" s="1"/>
  <c r="G31" i="29" s="1"/>
  <c r="G36" i="29"/>
  <c r="G37" i="29"/>
  <c r="G38" i="29"/>
  <c r="T62" i="29"/>
  <c r="T61" i="29"/>
  <c r="T48" i="29" s="1"/>
  <c r="T59" i="29"/>
  <c r="T58" i="29"/>
  <c r="T57" i="29"/>
  <c r="Z62" i="29"/>
  <c r="Z61" i="29"/>
  <c r="Z48" i="29" s="1"/>
  <c r="Z59" i="29"/>
  <c r="Z58" i="29"/>
  <c r="Z57" i="29"/>
  <c r="N40" i="29"/>
  <c r="N27" i="29" s="1"/>
  <c r="N31" i="29" s="1"/>
  <c r="N36" i="29"/>
  <c r="N38" i="29"/>
  <c r="N41" i="29"/>
  <c r="N37" i="29"/>
  <c r="L62" i="29"/>
  <c r="L61" i="29"/>
  <c r="L48" i="29" s="1"/>
  <c r="L59" i="29"/>
  <c r="L58" i="29"/>
  <c r="L57" i="29"/>
  <c r="R62" i="29"/>
  <c r="R61" i="29"/>
  <c r="R48" i="29" s="1"/>
  <c r="R59" i="29"/>
  <c r="R58" i="29"/>
  <c r="R57" i="29"/>
  <c r="S60" i="29"/>
  <c r="D62" i="29"/>
  <c r="D61" i="29"/>
  <c r="D48" i="29" s="1"/>
  <c r="D59" i="29"/>
  <c r="D58" i="29"/>
  <c r="D57" i="29"/>
  <c r="J62" i="29"/>
  <c r="J61" i="29"/>
  <c r="J48" i="29" s="1"/>
  <c r="J59" i="29"/>
  <c r="J58" i="29"/>
  <c r="J57" i="29"/>
  <c r="E62" i="29"/>
  <c r="E61" i="29"/>
  <c r="E48" i="29" s="1"/>
  <c r="E59" i="29"/>
  <c r="E58" i="29"/>
  <c r="E57" i="29"/>
  <c r="V57" i="29"/>
  <c r="V59" i="29"/>
  <c r="V61" i="29"/>
  <c r="V48" i="29" s="1"/>
  <c r="V58" i="29"/>
  <c r="V62" i="29"/>
  <c r="M41" i="29"/>
  <c r="M40" i="29"/>
  <c r="M27" i="29" s="1"/>
  <c r="M31" i="29" s="1"/>
  <c r="M38" i="29"/>
  <c r="M37" i="29"/>
  <c r="M36" i="29"/>
  <c r="P40" i="29"/>
  <c r="P27" i="29" s="1"/>
  <c r="P31" i="29" s="1"/>
  <c r="P36" i="29"/>
  <c r="P37" i="29"/>
  <c r="P41" i="29"/>
  <c r="P38" i="29"/>
  <c r="Y41" i="29"/>
  <c r="Y40" i="29"/>
  <c r="Y27" i="29" s="1"/>
  <c r="Y31" i="29" s="1"/>
  <c r="Y38" i="29"/>
  <c r="Y37" i="29"/>
  <c r="Y36" i="29"/>
  <c r="F40" i="29"/>
  <c r="F27" i="29" s="1"/>
  <c r="F31" i="29" s="1"/>
  <c r="F41" i="29"/>
  <c r="F36" i="29"/>
  <c r="F37" i="29"/>
  <c r="F38" i="29"/>
  <c r="X41" i="29"/>
  <c r="X38" i="29"/>
  <c r="X40" i="29"/>
  <c r="X27" i="29" s="1"/>
  <c r="X31" i="29" s="1"/>
  <c r="X37" i="29"/>
  <c r="X36" i="29"/>
  <c r="O62" i="29"/>
  <c r="O61" i="29"/>
  <c r="O48" i="29" s="1"/>
  <c r="O59" i="29"/>
  <c r="O58" i="29"/>
  <c r="O57" i="29"/>
  <c r="E41" i="29"/>
  <c r="E40" i="29"/>
  <c r="E27" i="29" s="1"/>
  <c r="E31" i="29" s="1"/>
  <c r="E38" i="29"/>
  <c r="E37" i="29"/>
  <c r="E36" i="29"/>
  <c r="N62" i="29"/>
  <c r="N57" i="29"/>
  <c r="N59" i="29"/>
  <c r="N61" i="29"/>
  <c r="N48" i="29" s="1"/>
  <c r="N58" i="29"/>
  <c r="H36" i="29"/>
  <c r="H41" i="29"/>
  <c r="H37" i="29"/>
  <c r="H38" i="29"/>
  <c r="H40" i="29"/>
  <c r="H27" i="29" s="1"/>
  <c r="H31" i="29" s="1"/>
  <c r="Q41" i="29"/>
  <c r="Q40" i="29"/>
  <c r="Q27" i="29" s="1"/>
  <c r="Q31" i="29" s="1"/>
  <c r="Q38" i="29"/>
  <c r="Q37" i="29"/>
  <c r="Q36" i="29"/>
  <c r="G62" i="29"/>
  <c r="G61" i="29"/>
  <c r="G48" i="29" s="1"/>
  <c r="G59" i="29"/>
  <c r="G58" i="29"/>
  <c r="G57" i="29"/>
  <c r="F62" i="29"/>
  <c r="F57" i="29"/>
  <c r="F59" i="29"/>
  <c r="F61" i="29"/>
  <c r="F48" i="29" s="1"/>
  <c r="F58" i="29"/>
  <c r="T40" i="29"/>
  <c r="T27" i="29" s="1"/>
  <c r="T31" i="29" s="1"/>
  <c r="T36" i="29"/>
  <c r="T37" i="29"/>
  <c r="T41" i="29"/>
  <c r="T38" i="29"/>
  <c r="Z41" i="29"/>
  <c r="Z40" i="29"/>
  <c r="Z27" i="29" s="1"/>
  <c r="Z31" i="29" s="1"/>
  <c r="Z38" i="29"/>
  <c r="Z37" i="29"/>
  <c r="Z36" i="29"/>
  <c r="X62" i="29"/>
  <c r="X61" i="29"/>
  <c r="X48" i="29" s="1"/>
  <c r="X59" i="29"/>
  <c r="X58" i="29"/>
  <c r="X57" i="29"/>
  <c r="I41" i="29"/>
  <c r="I40" i="29"/>
  <c r="I27" i="29" s="1"/>
  <c r="I38" i="29"/>
  <c r="I37" i="29"/>
  <c r="I36" i="29"/>
  <c r="W62" i="29"/>
  <c r="W61" i="29"/>
  <c r="W48" i="29" s="1"/>
  <c r="W59" i="29"/>
  <c r="W58" i="29"/>
  <c r="W57" i="29"/>
  <c r="K62" i="29"/>
  <c r="K61" i="29"/>
  <c r="K48" i="29" s="1"/>
  <c r="K59" i="29"/>
  <c r="K58" i="29"/>
  <c r="K57" i="29"/>
  <c r="C59" i="29"/>
  <c r="C58" i="29"/>
  <c r="C57" i="29"/>
  <c r="U41" i="29"/>
  <c r="U40" i="29"/>
  <c r="U27" i="29" s="1"/>
  <c r="U31" i="29" s="1"/>
  <c r="U38" i="29"/>
  <c r="U37" i="29"/>
  <c r="U36" i="29"/>
  <c r="L38" i="29"/>
  <c r="L40" i="29"/>
  <c r="L27" i="29" s="1"/>
  <c r="L41" i="29"/>
  <c r="L37" i="29"/>
  <c r="L36" i="29"/>
  <c r="Y61" i="29"/>
  <c r="Y48" i="29" s="1"/>
  <c r="Y59" i="29"/>
  <c r="Y58" i="29"/>
  <c r="Y57" i="29"/>
  <c r="R41" i="29"/>
  <c r="R40" i="29"/>
  <c r="R27" i="29" s="1"/>
  <c r="R31" i="29" s="1"/>
  <c r="R38" i="29"/>
  <c r="R37" i="29"/>
  <c r="R36" i="29"/>
  <c r="P62" i="29"/>
  <c r="P61" i="29"/>
  <c r="P48" i="29" s="1"/>
  <c r="P59" i="29"/>
  <c r="P58" i="29"/>
  <c r="P57" i="29"/>
  <c r="O41" i="29"/>
  <c r="O40" i="29"/>
  <c r="O27" i="29" s="1"/>
  <c r="O31" i="29" s="1"/>
  <c r="O36" i="29"/>
  <c r="O37" i="29"/>
  <c r="O38" i="29"/>
  <c r="D40" i="29"/>
  <c r="D27" i="29" s="1"/>
  <c r="D31" i="29" s="1"/>
  <c r="D41" i="29"/>
  <c r="D36" i="29"/>
  <c r="D37" i="29"/>
  <c r="D38" i="29"/>
  <c r="Q62" i="29"/>
  <c r="Q61" i="29"/>
  <c r="Q48" i="29" s="1"/>
  <c r="Q59" i="29"/>
  <c r="Q58" i="29"/>
  <c r="Q57" i="29"/>
  <c r="J41" i="29"/>
  <c r="J40" i="29"/>
  <c r="J27" i="29" s="1"/>
  <c r="J31" i="29" s="1"/>
  <c r="J38" i="29"/>
  <c r="J37" i="29"/>
  <c r="J36" i="29"/>
  <c r="H62" i="29"/>
  <c r="H61" i="29"/>
  <c r="H48" i="29" s="1"/>
  <c r="H59" i="29"/>
  <c r="H58" i="29"/>
  <c r="H57" i="29"/>
  <c r="U62" i="29"/>
  <c r="U61" i="29"/>
  <c r="U48" i="29" s="1"/>
  <c r="U59" i="29"/>
  <c r="U58" i="29"/>
  <c r="U57" i="29"/>
  <c r="M62" i="29"/>
  <c r="M61" i="29"/>
  <c r="M48" i="29" s="1"/>
  <c r="M59" i="29"/>
  <c r="M58" i="29"/>
  <c r="M57" i="29"/>
  <c r="V36" i="29"/>
  <c r="V37" i="29"/>
  <c r="V41" i="29"/>
  <c r="V38" i="29"/>
  <c r="V40" i="29"/>
  <c r="V27" i="29" s="1"/>
  <c r="I62" i="29"/>
  <c r="I61" i="29"/>
  <c r="I48" i="29" s="1"/>
  <c r="I59" i="29"/>
  <c r="I58" i="29"/>
  <c r="I57" i="29"/>
  <c r="AI199" i="28"/>
  <c r="AE171" i="28"/>
  <c r="AE187" i="28"/>
  <c r="AJ199" i="28"/>
  <c r="V203" i="28"/>
  <c r="AJ203" i="28"/>
  <c r="U187" i="28"/>
  <c r="W187" i="28"/>
  <c r="V187" i="28"/>
  <c r="AF187" i="28"/>
  <c r="AG187" i="28"/>
  <c r="AD191" i="28"/>
  <c r="AH191" i="28" s="1"/>
  <c r="U199" i="28"/>
  <c r="AD194" i="28"/>
  <c r="AH194" i="28" s="1"/>
  <c r="AG199" i="28"/>
  <c r="AF199" i="28"/>
  <c r="AD181" i="28"/>
  <c r="AH181" i="28" s="1"/>
  <c r="AE206" i="28"/>
  <c r="W199" i="28"/>
  <c r="AF171" i="28"/>
  <c r="W171" i="28"/>
  <c r="AI171" i="28"/>
  <c r="AD193" i="28"/>
  <c r="AH193" i="28" s="1"/>
  <c r="AD179" i="28"/>
  <c r="AH179" i="28" s="1"/>
  <c r="AB228" i="28"/>
  <c r="AD189" i="28"/>
  <c r="AH189" i="28" s="1"/>
  <c r="AF193" i="28"/>
  <c r="U193" i="28"/>
  <c r="AG193" i="28"/>
  <c r="AJ193" i="28"/>
  <c r="W193" i="28"/>
  <c r="AE193" i="28"/>
  <c r="V193" i="28"/>
  <c r="AI193" i="28"/>
  <c r="AF186" i="28"/>
  <c r="AE186" i="28"/>
  <c r="W186" i="28"/>
  <c r="U186" i="28"/>
  <c r="V186" i="28"/>
  <c r="AI186" i="28"/>
  <c r="AG186" i="28"/>
  <c r="AF178" i="28"/>
  <c r="U178" i="28"/>
  <c r="AG178" i="28"/>
  <c r="V178" i="28"/>
  <c r="AE178" i="28"/>
  <c r="AJ178" i="28"/>
  <c r="AI178" i="28"/>
  <c r="W178" i="28"/>
  <c r="AG175" i="28"/>
  <c r="AF175" i="28"/>
  <c r="AE175" i="28"/>
  <c r="W175" i="28"/>
  <c r="AJ175" i="28"/>
  <c r="V175" i="28"/>
  <c r="AI175" i="28"/>
  <c r="U175" i="28"/>
  <c r="Y34" i="28"/>
  <c r="K36" i="28" s="1"/>
  <c r="C92" i="33" s="1"/>
  <c r="AD196" i="28"/>
  <c r="AH196" i="28" s="1"/>
  <c r="AI200" i="28"/>
  <c r="AF200" i="28"/>
  <c r="AJ200" i="28"/>
  <c r="W200" i="28"/>
  <c r="V200" i="28"/>
  <c r="AE200" i="28"/>
  <c r="U200" i="28"/>
  <c r="AG200" i="28"/>
  <c r="AO170" i="28"/>
  <c r="AG164" i="28"/>
  <c r="AF164" i="28"/>
  <c r="U164" i="28"/>
  <c r="V164" i="28"/>
  <c r="AE164" i="28"/>
  <c r="W164" i="28"/>
  <c r="AI164" i="28"/>
  <c r="AB34" i="28"/>
  <c r="K32" i="28" s="1"/>
  <c r="C89" i="33" s="1"/>
  <c r="AC228" i="28"/>
  <c r="K40" i="28" s="1"/>
  <c r="B52" i="30" s="1"/>
  <c r="C52" i="30" s="1"/>
  <c r="AD198" i="28"/>
  <c r="AH198" i="28" s="1"/>
  <c r="AO169" i="28"/>
  <c r="AD186" i="28"/>
  <c r="AJ186" i="28" s="1"/>
  <c r="AI177" i="28"/>
  <c r="AF177" i="28"/>
  <c r="AJ177" i="28"/>
  <c r="V177" i="28"/>
  <c r="U177" i="28"/>
  <c r="AG177" i="28"/>
  <c r="AE177" i="28"/>
  <c r="W177" i="28"/>
  <c r="AI192" i="28"/>
  <c r="AF192" i="28"/>
  <c r="AE192" i="28"/>
  <c r="W192" i="28"/>
  <c r="V192" i="28"/>
  <c r="AG192" i="28"/>
  <c r="U192" i="28"/>
  <c r="W34" i="28"/>
  <c r="K34" i="28" s="1"/>
  <c r="C90" i="33" s="1"/>
  <c r="AJ197" i="28"/>
  <c r="AG197" i="28"/>
  <c r="U197" i="28"/>
  <c r="V197" i="28"/>
  <c r="AF197" i="28"/>
  <c r="AE197" i="28"/>
  <c r="AI197" i="28"/>
  <c r="W197" i="28"/>
  <c r="AG189" i="28"/>
  <c r="U189" i="28"/>
  <c r="AI189" i="28"/>
  <c r="W189" i="28"/>
  <c r="V189" i="28"/>
  <c r="AF189" i="28"/>
  <c r="AE189" i="28"/>
  <c r="AE196" i="28"/>
  <c r="W196" i="28"/>
  <c r="AJ196" i="28"/>
  <c r="AF196" i="28"/>
  <c r="AI196" i="28"/>
  <c r="V196" i="28"/>
  <c r="U196" i="28"/>
  <c r="AG196" i="28"/>
  <c r="AJ205" i="28"/>
  <c r="AG205" i="28"/>
  <c r="U205" i="28"/>
  <c r="V205" i="28"/>
  <c r="AF205" i="28"/>
  <c r="AI205" i="28"/>
  <c r="AE205" i="28"/>
  <c r="W205" i="28"/>
  <c r="Z34" i="28"/>
  <c r="K37" i="28" s="1"/>
  <c r="C93" i="33" s="1"/>
  <c r="AE204" i="28"/>
  <c r="W204" i="28"/>
  <c r="AJ204" i="28"/>
  <c r="AF204" i="28"/>
  <c r="AG204" i="28"/>
  <c r="U204" i="28"/>
  <c r="AI204" i="28"/>
  <c r="V204" i="28"/>
  <c r="AA34" i="28"/>
  <c r="K38" i="28" s="1"/>
  <c r="C94" i="33" s="1"/>
  <c r="X34" i="28"/>
  <c r="K35" i="28" s="1"/>
  <c r="C91" i="33" s="1"/>
  <c r="AJ182" i="28"/>
  <c r="AI182" i="28"/>
  <c r="AG182" i="28"/>
  <c r="V182" i="28"/>
  <c r="AF182" i="28"/>
  <c r="U182" i="28"/>
  <c r="W182" i="28"/>
  <c r="AE182" i="28"/>
  <c r="AO166" i="28"/>
  <c r="AD205" i="28"/>
  <c r="AH205" i="28" s="1"/>
  <c r="AD202" i="28"/>
  <c r="AH202" i="28" s="1"/>
  <c r="V191" i="28"/>
  <c r="AE191" i="28"/>
  <c r="W191" i="28"/>
  <c r="U191" i="28"/>
  <c r="AG191" i="28"/>
  <c r="AF191" i="28"/>
  <c r="AJ174" i="28"/>
  <c r="U174" i="28"/>
  <c r="AE174" i="28"/>
  <c r="W174" i="28"/>
  <c r="AI174" i="28"/>
  <c r="V174" i="28"/>
  <c r="AG174" i="28"/>
  <c r="AF174" i="28"/>
  <c r="AD201" i="28"/>
  <c r="AH201" i="28" s="1"/>
  <c r="AE181" i="28"/>
  <c r="W181" i="28"/>
  <c r="V181" i="28"/>
  <c r="AJ181" i="28"/>
  <c r="AI181" i="28"/>
  <c r="U181" i="28"/>
  <c r="AF181" i="28"/>
  <c r="AG181" i="28"/>
  <c r="AA228" i="28"/>
  <c r="K42" i="28" s="1"/>
  <c r="AO167" i="28"/>
  <c r="AD190" i="28"/>
  <c r="AD164" i="28"/>
  <c r="AH164" i="28" s="1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T39" i="23"/>
  <c r="AS39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BP37" i="23"/>
  <c r="BO37" i="23"/>
  <c r="BH37" i="23"/>
  <c r="BG37" i="23"/>
  <c r="BF37" i="23"/>
  <c r="BE37" i="23"/>
  <c r="BD37" i="23"/>
  <c r="BC37" i="23"/>
  <c r="BB37" i="23"/>
  <c r="BA37" i="23"/>
  <c r="AZ37" i="23"/>
  <c r="AY37" i="23"/>
  <c r="AX37" i="23"/>
  <c r="AW37" i="23"/>
  <c r="AV37" i="23"/>
  <c r="AU37" i="23"/>
  <c r="AT37" i="23"/>
  <c r="AS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BP29" i="23"/>
  <c r="BO29" i="23"/>
  <c r="BH29" i="23"/>
  <c r="BG29" i="23"/>
  <c r="BF29" i="23"/>
  <c r="BE29" i="23"/>
  <c r="BD29" i="23"/>
  <c r="BC29" i="23"/>
  <c r="BB29" i="23"/>
  <c r="BA29" i="23"/>
  <c r="AZ29" i="23"/>
  <c r="AY29" i="23"/>
  <c r="AX29" i="23"/>
  <c r="AW29" i="23"/>
  <c r="AV29" i="23"/>
  <c r="AU29" i="23"/>
  <c r="AT29" i="23"/>
  <c r="AS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BP21" i="23"/>
  <c r="BO21" i="23"/>
  <c r="BH21" i="23"/>
  <c r="BG21" i="23"/>
  <c r="BF21" i="23"/>
  <c r="BE21" i="23"/>
  <c r="BD21" i="23"/>
  <c r="BC21" i="23"/>
  <c r="BB21" i="23"/>
  <c r="BA21" i="23"/>
  <c r="AZ21" i="23"/>
  <c r="AY21" i="23"/>
  <c r="AX21" i="23"/>
  <c r="AW21" i="23"/>
  <c r="AV21" i="23"/>
  <c r="AU21" i="23"/>
  <c r="AT21" i="23"/>
  <c r="AS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1" i="23"/>
  <c r="BA82" i="30" l="1"/>
  <c r="BA83" i="30"/>
  <c r="BA85" i="30" s="1"/>
  <c r="BD81" i="30"/>
  <c r="BB84" i="30"/>
  <c r="S64" i="29"/>
  <c r="F72" i="30"/>
  <c r="AI187" i="28"/>
  <c r="AI166" i="31"/>
  <c r="AI188" i="28"/>
  <c r="AI188" i="31"/>
  <c r="AJ166" i="31"/>
  <c r="AH166" i="28"/>
  <c r="AJ166" i="28"/>
  <c r="CX83" i="30"/>
  <c r="CM81" i="30"/>
  <c r="AF28" i="31"/>
  <c r="AG28" i="31" s="1"/>
  <c r="AG29" i="31" s="1"/>
  <c r="J37" i="31" s="1"/>
  <c r="C203" i="33" s="1"/>
  <c r="AI36" i="31"/>
  <c r="CX84" i="30"/>
  <c r="CX81" i="30"/>
  <c r="CX85" i="30" s="1"/>
  <c r="AB29" i="31"/>
  <c r="AC29" i="31" s="1"/>
  <c r="AB28" i="31"/>
  <c r="AC28" i="31" s="1"/>
  <c r="AB27" i="31"/>
  <c r="AC27" i="31" s="1"/>
  <c r="AI167" i="31"/>
  <c r="AI166" i="28"/>
  <c r="AI167" i="28"/>
  <c r="AI168" i="31"/>
  <c r="AI191" i="31"/>
  <c r="AH167" i="31"/>
  <c r="AJ192" i="31"/>
  <c r="AJ192" i="28"/>
  <c r="AH168" i="28"/>
  <c r="AJ168" i="28"/>
  <c r="AJ168" i="31"/>
  <c r="AJ169" i="28"/>
  <c r="AJ169" i="31"/>
  <c r="AI191" i="28"/>
  <c r="AJ191" i="28"/>
  <c r="AI186" i="31"/>
  <c r="AJ170" i="28"/>
  <c r="AJ170" i="31"/>
  <c r="AH165" i="31"/>
  <c r="AJ165" i="31"/>
  <c r="AJ165" i="28"/>
  <c r="AH187" i="28"/>
  <c r="AJ189" i="28"/>
  <c r="AJ188" i="31"/>
  <c r="AJ188" i="28"/>
  <c r="AJ189" i="31"/>
  <c r="CQ81" i="30"/>
  <c r="CH82" i="30"/>
  <c r="X240" i="31"/>
  <c r="I75" i="23"/>
  <c r="CY83" i="30"/>
  <c r="AH164" i="31"/>
  <c r="AH167" i="28"/>
  <c r="AH190" i="31"/>
  <c r="C214" i="29"/>
  <c r="J212" i="29"/>
  <c r="U212" i="29"/>
  <c r="I212" i="29"/>
  <c r="N212" i="29"/>
  <c r="G212" i="29"/>
  <c r="V212" i="29"/>
  <c r="D212" i="29"/>
  <c r="S212" i="29"/>
  <c r="Y212" i="29"/>
  <c r="Z212" i="29"/>
  <c r="C203" i="29"/>
  <c r="O212" i="29"/>
  <c r="Q212" i="29"/>
  <c r="W212" i="29"/>
  <c r="R212" i="29"/>
  <c r="P212" i="29"/>
  <c r="L212" i="29"/>
  <c r="M212" i="29"/>
  <c r="F212" i="29"/>
  <c r="K212" i="29"/>
  <c r="X212" i="29"/>
  <c r="H212" i="29"/>
  <c r="T212" i="29"/>
  <c r="BE117" i="30"/>
  <c r="P5" i="30" s="1"/>
  <c r="B98" i="30"/>
  <c r="CO83" i="30"/>
  <c r="S55" i="29"/>
  <c r="BC83" i="30"/>
  <c r="J113" i="31"/>
  <c r="C186" i="33"/>
  <c r="D186" i="33" s="1"/>
  <c r="AJ217" i="33" s="1"/>
  <c r="X273" i="31"/>
  <c r="BI117" i="30"/>
  <c r="T5" i="30" s="1"/>
  <c r="BD83" i="30"/>
  <c r="CT84" i="30"/>
  <c r="CQ84" i="30"/>
  <c r="CT81" i="30"/>
  <c r="BC82" i="30"/>
  <c r="CO81" i="30"/>
  <c r="CY84" i="30"/>
  <c r="CT82" i="30"/>
  <c r="CN81" i="30"/>
  <c r="CN85" i="30" s="1"/>
  <c r="BC84" i="30"/>
  <c r="CO82" i="30"/>
  <c r="CY117" i="30"/>
  <c r="AD6" i="30" s="1"/>
  <c r="CN83" i="30"/>
  <c r="BC81" i="30"/>
  <c r="Q60" i="29"/>
  <c r="C75" i="33"/>
  <c r="B53" i="30"/>
  <c r="C53" i="30" s="1"/>
  <c r="K253" i="33"/>
  <c r="L253" i="33" s="1"/>
  <c r="CK81" i="30"/>
  <c r="CH83" i="30"/>
  <c r="CK83" i="30"/>
  <c r="DJ85" i="30"/>
  <c r="CH84" i="30"/>
  <c r="CK82" i="30"/>
  <c r="BL117" i="30"/>
  <c r="W5" i="30" s="1"/>
  <c r="CS81" i="30"/>
  <c r="CH81" i="30"/>
  <c r="CR83" i="30"/>
  <c r="CW82" i="30"/>
  <c r="AV82" i="30"/>
  <c r="E60" i="29"/>
  <c r="CS83" i="30"/>
  <c r="CR84" i="30"/>
  <c r="U39" i="29"/>
  <c r="K60" i="29"/>
  <c r="Z39" i="29"/>
  <c r="Q39" i="29"/>
  <c r="O60" i="29"/>
  <c r="CH117" i="30"/>
  <c r="M6" i="30" s="1"/>
  <c r="CT117" i="30"/>
  <c r="Y6" i="30" s="1"/>
  <c r="BC117" i="30"/>
  <c r="N5" i="30" s="1"/>
  <c r="CF117" i="30"/>
  <c r="K6" i="30" s="1"/>
  <c r="BB117" i="30"/>
  <c r="M5" i="30" s="1"/>
  <c r="CO117" i="30"/>
  <c r="T6" i="30" s="1"/>
  <c r="CG117" i="30"/>
  <c r="L6" i="30" s="1"/>
  <c r="AV117" i="30"/>
  <c r="G5" i="30" s="1"/>
  <c r="CK117" i="30"/>
  <c r="P6" i="30" s="1"/>
  <c r="CP117" i="30"/>
  <c r="U6" i="30" s="1"/>
  <c r="CD117" i="30"/>
  <c r="I6" i="30" s="1"/>
  <c r="BH117" i="30"/>
  <c r="S5" i="30" s="1"/>
  <c r="BG117" i="30"/>
  <c r="R5" i="30" s="1"/>
  <c r="CV117" i="30"/>
  <c r="AA6" i="30" s="1"/>
  <c r="CQ117" i="30"/>
  <c r="V6" i="30" s="1"/>
  <c r="BJ117" i="30"/>
  <c r="U5" i="30" s="1"/>
  <c r="AZ117" i="30"/>
  <c r="K5" i="30" s="1"/>
  <c r="BA117" i="30"/>
  <c r="L5" i="30" s="1"/>
  <c r="CC117" i="30"/>
  <c r="H6" i="30" s="1"/>
  <c r="BN117" i="30"/>
  <c r="Y5" i="30" s="1"/>
  <c r="CR117" i="30"/>
  <c r="W6" i="30" s="1"/>
  <c r="BM117" i="30"/>
  <c r="X5" i="30" s="1"/>
  <c r="CL117" i="30"/>
  <c r="Q6" i="30" s="1"/>
  <c r="CW117" i="30"/>
  <c r="AB6" i="30" s="1"/>
  <c r="CB117" i="30"/>
  <c r="G6" i="30" s="1"/>
  <c r="CX117" i="30"/>
  <c r="AC6" i="30" s="1"/>
  <c r="CI117" i="30"/>
  <c r="N6" i="30" s="1"/>
  <c r="BD117" i="30"/>
  <c r="O5" i="30" s="1"/>
  <c r="CN117" i="30"/>
  <c r="S6" i="30" s="1"/>
  <c r="AW117" i="30"/>
  <c r="H5" i="30" s="1"/>
  <c r="AX117" i="30"/>
  <c r="I5" i="30" s="1"/>
  <c r="BK117" i="30"/>
  <c r="V5" i="30" s="1"/>
  <c r="CU117" i="30"/>
  <c r="Z6" i="30" s="1"/>
  <c r="CJ117" i="30"/>
  <c r="O6" i="30" s="1"/>
  <c r="CE117" i="30"/>
  <c r="J6" i="30" s="1"/>
  <c r="CW83" i="30"/>
  <c r="CY81" i="30"/>
  <c r="CY85" i="30" s="1"/>
  <c r="CS117" i="30"/>
  <c r="X6" i="30" s="1"/>
  <c r="CW84" i="30"/>
  <c r="CW81" i="30"/>
  <c r="CY82" i="30"/>
  <c r="CB84" i="30"/>
  <c r="CB81" i="30"/>
  <c r="CB85" i="30" s="1"/>
  <c r="CM117" i="30"/>
  <c r="R6" i="30" s="1"/>
  <c r="CQ82" i="30"/>
  <c r="CQ85" i="30" s="1"/>
  <c r="AY117" i="30"/>
  <c r="J5" i="30" s="1"/>
  <c r="CG83" i="30"/>
  <c r="CQ83" i="30"/>
  <c r="CG84" i="30"/>
  <c r="CG81" i="30"/>
  <c r="CG85" i="30" s="1"/>
  <c r="CG82" i="30"/>
  <c r="BL31" i="29"/>
  <c r="B40" i="31"/>
  <c r="J40" i="31" s="1"/>
  <c r="C205" i="33" s="1"/>
  <c r="B59" i="30"/>
  <c r="F59" i="30" s="1"/>
  <c r="C271" i="33" s="1"/>
  <c r="BK31" i="29"/>
  <c r="AQ6" i="29" s="1"/>
  <c r="B51" i="30"/>
  <c r="C51" i="30" s="1"/>
  <c r="BJ31" i="29"/>
  <c r="B50" i="30"/>
  <c r="C50" i="30" s="1"/>
  <c r="F52" i="30"/>
  <c r="C264" i="33" s="1"/>
  <c r="C39" i="29"/>
  <c r="C43" i="29" s="1"/>
  <c r="CV85" i="30"/>
  <c r="P39" i="29"/>
  <c r="CE85" i="30"/>
  <c r="T39" i="29"/>
  <c r="F39" i="29"/>
  <c r="S39" i="29"/>
  <c r="AV81" i="30"/>
  <c r="AV85" i="30" s="1"/>
  <c r="AV83" i="30"/>
  <c r="CU85" i="30"/>
  <c r="DM85" i="30"/>
  <c r="BK85" i="30"/>
  <c r="U228" i="31"/>
  <c r="C85" i="33" s="1"/>
  <c r="AE228" i="31"/>
  <c r="C135" i="31" s="1"/>
  <c r="J135" i="31" s="1"/>
  <c r="DL85" i="30"/>
  <c r="AX85" i="30"/>
  <c r="AF228" i="31"/>
  <c r="C136" i="31" s="1"/>
  <c r="J136" i="31" s="1"/>
  <c r="BI85" i="30"/>
  <c r="DR85" i="30"/>
  <c r="DF85" i="30"/>
  <c r="AG228" i="31"/>
  <c r="C137" i="31" s="1"/>
  <c r="J137" i="31" s="1"/>
  <c r="DZ85" i="30"/>
  <c r="AY85" i="30"/>
  <c r="BF85" i="30"/>
  <c r="AP29" i="31"/>
  <c r="J35" i="31" s="1"/>
  <c r="C202" i="33" s="1"/>
  <c r="W228" i="31"/>
  <c r="C87" i="33" s="1"/>
  <c r="DG85" i="30"/>
  <c r="V228" i="31"/>
  <c r="C86" i="33" s="1"/>
  <c r="DO85" i="30"/>
  <c r="AH187" i="31"/>
  <c r="AJ187" i="31"/>
  <c r="AW85" i="30"/>
  <c r="BN85" i="30"/>
  <c r="DQ85" i="30"/>
  <c r="DT85" i="30"/>
  <c r="DW85" i="30"/>
  <c r="J39" i="31"/>
  <c r="C204" i="33" s="1"/>
  <c r="EB85" i="30"/>
  <c r="BE85" i="30"/>
  <c r="DS85" i="30"/>
  <c r="CP85" i="30"/>
  <c r="BM85" i="30"/>
  <c r="AO168" i="31"/>
  <c r="C79" i="33" s="1"/>
  <c r="AH186" i="31"/>
  <c r="BB85" i="30"/>
  <c r="DY85" i="30"/>
  <c r="DH85" i="30"/>
  <c r="CL85" i="30"/>
  <c r="AZ85" i="30"/>
  <c r="CD85" i="30"/>
  <c r="DX85" i="30"/>
  <c r="C138" i="31"/>
  <c r="J138" i="31" s="1"/>
  <c r="T42" i="31"/>
  <c r="V44" i="31" s="1"/>
  <c r="V46" i="31" s="1"/>
  <c r="AJ36" i="31" s="1"/>
  <c r="AJ40" i="31" s="1"/>
  <c r="BG85" i="30"/>
  <c r="BH85" i="30"/>
  <c r="DK85" i="30"/>
  <c r="DP85" i="30"/>
  <c r="F7" i="30"/>
  <c r="C247" i="33" s="1"/>
  <c r="CI85" i="30"/>
  <c r="CM85" i="30"/>
  <c r="CJ85" i="30"/>
  <c r="DI85" i="30"/>
  <c r="CR85" i="30"/>
  <c r="DE85" i="30"/>
  <c r="BC85" i="30"/>
  <c r="DN85" i="30"/>
  <c r="DV85" i="30"/>
  <c r="DU85" i="30"/>
  <c r="BJ85" i="30"/>
  <c r="AO165" i="31"/>
  <c r="C78" i="33" s="1"/>
  <c r="BD85" i="30"/>
  <c r="BL85" i="30"/>
  <c r="CC85" i="30"/>
  <c r="EA85" i="30"/>
  <c r="CF85" i="30"/>
  <c r="AD228" i="31"/>
  <c r="V39" i="29"/>
  <c r="Q63" i="29"/>
  <c r="Q49" i="29" s="1"/>
  <c r="Q54" i="29" s="1"/>
  <c r="O39" i="29"/>
  <c r="M60" i="29"/>
  <c r="U63" i="29"/>
  <c r="U49" i="29" s="1"/>
  <c r="U54" i="29" s="1"/>
  <c r="P63" i="29"/>
  <c r="P49" i="29" s="1"/>
  <c r="P54" i="29" s="1"/>
  <c r="C60" i="29"/>
  <c r="C64" i="29" s="1"/>
  <c r="W63" i="29"/>
  <c r="W49" i="29" s="1"/>
  <c r="W54" i="29" s="1"/>
  <c r="F60" i="29"/>
  <c r="N60" i="29"/>
  <c r="F42" i="29"/>
  <c r="F28" i="29" s="1"/>
  <c r="F33" i="29" s="1"/>
  <c r="R63" i="29"/>
  <c r="R49" i="29" s="1"/>
  <c r="R54" i="29" s="1"/>
  <c r="T63" i="29"/>
  <c r="T49" i="29" s="1"/>
  <c r="T54" i="29" s="1"/>
  <c r="S32" i="29"/>
  <c r="F63" i="29"/>
  <c r="F49" i="29" s="1"/>
  <c r="F54" i="29" s="1"/>
  <c r="I63" i="29"/>
  <c r="I49" i="29" s="1"/>
  <c r="I54" i="29" s="1"/>
  <c r="J42" i="29"/>
  <c r="J28" i="29" s="1"/>
  <c r="J33" i="29" s="1"/>
  <c r="X63" i="29"/>
  <c r="X49" i="29" s="1"/>
  <c r="X54" i="29" s="1"/>
  <c r="E42" i="29"/>
  <c r="E28" i="29" s="1"/>
  <c r="E33" i="29" s="1"/>
  <c r="D63" i="29"/>
  <c r="D49" i="29" s="1"/>
  <c r="D54" i="29" s="1"/>
  <c r="K39" i="29"/>
  <c r="Y42" i="29"/>
  <c r="Y28" i="29" s="1"/>
  <c r="Y33" i="29" s="1"/>
  <c r="Z63" i="29"/>
  <c r="Z49" i="29" s="1"/>
  <c r="Z54" i="29" s="1"/>
  <c r="S42" i="29"/>
  <c r="S28" i="29" s="1"/>
  <c r="S33" i="29" s="1"/>
  <c r="K32" i="29"/>
  <c r="D42" i="29"/>
  <c r="D28" i="29" s="1"/>
  <c r="D33" i="29" s="1"/>
  <c r="H42" i="29"/>
  <c r="H28" i="29" s="1"/>
  <c r="H33" i="29" s="1"/>
  <c r="M63" i="29"/>
  <c r="M49" i="29" s="1"/>
  <c r="M54" i="29" s="1"/>
  <c r="L42" i="29"/>
  <c r="L28" i="29" s="1"/>
  <c r="L33" i="29" s="1"/>
  <c r="H39" i="29"/>
  <c r="X42" i="29"/>
  <c r="X28" i="29" s="1"/>
  <c r="X33" i="29" s="1"/>
  <c r="K42" i="29"/>
  <c r="K28" i="29" s="1"/>
  <c r="K33" i="29" s="1"/>
  <c r="V42" i="29"/>
  <c r="V28" i="29" s="1"/>
  <c r="V33" i="29" s="1"/>
  <c r="H63" i="29"/>
  <c r="H49" i="29" s="1"/>
  <c r="H54" i="29" s="1"/>
  <c r="R42" i="29"/>
  <c r="R28" i="29" s="1"/>
  <c r="R33" i="29" s="1"/>
  <c r="I42" i="29"/>
  <c r="I28" i="29" s="1"/>
  <c r="I33" i="29" s="1"/>
  <c r="P42" i="29"/>
  <c r="P28" i="29" s="1"/>
  <c r="P33" i="29" s="1"/>
  <c r="M42" i="29"/>
  <c r="M28" i="29" s="1"/>
  <c r="M33" i="29" s="1"/>
  <c r="J63" i="29"/>
  <c r="J49" i="29" s="1"/>
  <c r="J54" i="29" s="1"/>
  <c r="L63" i="29"/>
  <c r="L49" i="29" s="1"/>
  <c r="L54" i="29" s="1"/>
  <c r="G42" i="29"/>
  <c r="G28" i="29" s="1"/>
  <c r="G33" i="29" s="1"/>
  <c r="W32" i="29"/>
  <c r="W34" i="29" s="1"/>
  <c r="O42" i="29"/>
  <c r="N63" i="29"/>
  <c r="N49" i="29" s="1"/>
  <c r="N54" i="29" s="1"/>
  <c r="G63" i="29"/>
  <c r="G49" i="29" s="1"/>
  <c r="G54" i="29" s="1"/>
  <c r="V63" i="29"/>
  <c r="V49" i="29" s="1"/>
  <c r="V54" i="29" s="1"/>
  <c r="W39" i="29"/>
  <c r="W43" i="29" s="1"/>
  <c r="T42" i="29"/>
  <c r="U42" i="29"/>
  <c r="U28" i="29" s="1"/>
  <c r="U33" i="29" s="1"/>
  <c r="K63" i="29"/>
  <c r="Z42" i="29"/>
  <c r="Q42" i="29"/>
  <c r="O63" i="29"/>
  <c r="O49" i="29" s="1"/>
  <c r="O54" i="29" s="1"/>
  <c r="E63" i="29"/>
  <c r="E49" i="29" s="1"/>
  <c r="E54" i="29" s="1"/>
  <c r="N42" i="29"/>
  <c r="N28" i="29" s="1"/>
  <c r="N33" i="29" s="1"/>
  <c r="Z60" i="29"/>
  <c r="H32" i="29"/>
  <c r="P32" i="29"/>
  <c r="D39" i="29"/>
  <c r="L39" i="29"/>
  <c r="G60" i="29"/>
  <c r="G64" i="29" s="1"/>
  <c r="X32" i="29"/>
  <c r="Y32" i="29"/>
  <c r="V60" i="29"/>
  <c r="J60" i="29"/>
  <c r="D53" i="29"/>
  <c r="L60" i="29"/>
  <c r="L64" i="29" s="1"/>
  <c r="N39" i="29"/>
  <c r="N32" i="29"/>
  <c r="U60" i="29"/>
  <c r="H53" i="29"/>
  <c r="D32" i="29"/>
  <c r="P60" i="29"/>
  <c r="R32" i="29"/>
  <c r="W60" i="29"/>
  <c r="I32" i="29"/>
  <c r="T32" i="29"/>
  <c r="M32" i="29"/>
  <c r="G39" i="29"/>
  <c r="M53" i="29"/>
  <c r="L32" i="29"/>
  <c r="G53" i="29"/>
  <c r="J53" i="29"/>
  <c r="R60" i="29"/>
  <c r="L53" i="29"/>
  <c r="T60" i="29"/>
  <c r="G32" i="29"/>
  <c r="V32" i="29"/>
  <c r="Z53" i="29"/>
  <c r="I60" i="29"/>
  <c r="I64" i="29" s="1"/>
  <c r="J39" i="29"/>
  <c r="Q53" i="29"/>
  <c r="Y60" i="29"/>
  <c r="Y64" i="29" s="1"/>
  <c r="U32" i="29"/>
  <c r="K53" i="29"/>
  <c r="X60" i="29"/>
  <c r="Z32" i="29"/>
  <c r="F53" i="29"/>
  <c r="Q32" i="29"/>
  <c r="N53" i="29"/>
  <c r="E39" i="29"/>
  <c r="O53" i="29"/>
  <c r="E53" i="29"/>
  <c r="U53" i="29"/>
  <c r="P53" i="29"/>
  <c r="W53" i="29"/>
  <c r="Y39" i="29"/>
  <c r="D60" i="29"/>
  <c r="T53" i="29"/>
  <c r="O32" i="29"/>
  <c r="X39" i="29"/>
  <c r="V53" i="29"/>
  <c r="R53" i="29"/>
  <c r="I53" i="29"/>
  <c r="H60" i="29"/>
  <c r="J32" i="29"/>
  <c r="R39" i="29"/>
  <c r="Y53" i="29"/>
  <c r="Y55" i="29"/>
  <c r="I39" i="29"/>
  <c r="X53" i="29"/>
  <c r="E32" i="29"/>
  <c r="F32" i="29"/>
  <c r="M39" i="29"/>
  <c r="AJ164" i="28"/>
  <c r="AH190" i="28"/>
  <c r="AJ190" i="28"/>
  <c r="AO168" i="28"/>
  <c r="AE228" i="28"/>
  <c r="V228" i="28"/>
  <c r="M29" i="28" s="1"/>
  <c r="B56" i="30" s="1"/>
  <c r="C56" i="30" s="1"/>
  <c r="W228" i="28"/>
  <c r="M30" i="28" s="1"/>
  <c r="B57" i="30" s="1"/>
  <c r="C57" i="30" s="1"/>
  <c r="U228" i="28"/>
  <c r="M28" i="28" s="1"/>
  <c r="AD228" i="28"/>
  <c r="K41" i="28" s="1"/>
  <c r="B54" i="30" s="1"/>
  <c r="C54" i="30" s="1"/>
  <c r="AO165" i="28"/>
  <c r="K33" i="28"/>
  <c r="AF228" i="28"/>
  <c r="AH186" i="28"/>
  <c r="AG228" i="28"/>
  <c r="BR24" i="23"/>
  <c r="BR40" i="23"/>
  <c r="BR32" i="23"/>
  <c r="E188" i="23"/>
  <c r="CY86" i="30" l="1"/>
  <c r="CY87" i="30"/>
  <c r="CX87" i="30"/>
  <c r="CX86" i="30"/>
  <c r="CD86" i="30"/>
  <c r="CD87" i="30"/>
  <c r="CC86" i="30"/>
  <c r="CC87" i="30"/>
  <c r="CF87" i="30"/>
  <c r="CF86" i="30"/>
  <c r="CE86" i="30"/>
  <c r="CE87" i="30"/>
  <c r="CB87" i="30"/>
  <c r="CB86" i="30"/>
  <c r="C191" i="33"/>
  <c r="B109" i="30"/>
  <c r="B112" i="30" s="1"/>
  <c r="BD86" i="30"/>
  <c r="BD87" i="30"/>
  <c r="AX86" i="30"/>
  <c r="AX87" i="30"/>
  <c r="BC87" i="30"/>
  <c r="BC86" i="30"/>
  <c r="AZ87" i="30"/>
  <c r="AZ86" i="30"/>
  <c r="BA87" i="30"/>
  <c r="BA86" i="30"/>
  <c r="AV86" i="30"/>
  <c r="AV87" i="30"/>
  <c r="AY86" i="30"/>
  <c r="AY87" i="30"/>
  <c r="BB86" i="30"/>
  <c r="BB87" i="30"/>
  <c r="AW87" i="30"/>
  <c r="AW86" i="30"/>
  <c r="Q43" i="29"/>
  <c r="C71" i="33"/>
  <c r="K48" i="28"/>
  <c r="B154" i="31" s="1"/>
  <c r="B155" i="31" s="1"/>
  <c r="I155" i="31" s="1"/>
  <c r="C304" i="33"/>
  <c r="AQ3" i="29"/>
  <c r="C305" i="33"/>
  <c r="AA240" i="31"/>
  <c r="AB240" i="31" s="1"/>
  <c r="C310" i="33"/>
  <c r="BK86" i="30"/>
  <c r="BK87" i="30"/>
  <c r="BM86" i="30"/>
  <c r="BM87" i="30"/>
  <c r="BI86" i="30"/>
  <c r="BI87" i="30"/>
  <c r="BL86" i="30"/>
  <c r="BL87" i="30"/>
  <c r="BN87" i="30"/>
  <c r="BN86" i="30"/>
  <c r="BH86" i="30"/>
  <c r="BH87" i="30"/>
  <c r="BF87" i="30"/>
  <c r="BF86" i="30"/>
  <c r="BG87" i="30"/>
  <c r="BG86" i="30"/>
  <c r="BJ86" i="30"/>
  <c r="BJ87" i="30"/>
  <c r="BE87" i="30"/>
  <c r="BE86" i="30"/>
  <c r="F43" i="29"/>
  <c r="Z43" i="29"/>
  <c r="CO85" i="30"/>
  <c r="AC30" i="31"/>
  <c r="J34" i="31" s="1"/>
  <c r="C201" i="33" s="1"/>
  <c r="AI228" i="28"/>
  <c r="AI228" i="31"/>
  <c r="C133" i="31" s="1"/>
  <c r="J133" i="31" s="1"/>
  <c r="AJ228" i="31"/>
  <c r="C134" i="31" s="1"/>
  <c r="J134" i="31" s="1"/>
  <c r="H43" i="29"/>
  <c r="AN217" i="33"/>
  <c r="CS85" i="30"/>
  <c r="G55" i="29"/>
  <c r="L55" i="29"/>
  <c r="I55" i="29"/>
  <c r="W55" i="29"/>
  <c r="E55" i="29"/>
  <c r="V55" i="29"/>
  <c r="J55" i="29"/>
  <c r="Z55" i="29"/>
  <c r="F55" i="29"/>
  <c r="O55" i="29"/>
  <c r="Y34" i="29"/>
  <c r="P55" i="29"/>
  <c r="T55" i="29"/>
  <c r="U55" i="29"/>
  <c r="CK85" i="30"/>
  <c r="N55" i="29"/>
  <c r="M55" i="29"/>
  <c r="R55" i="29"/>
  <c r="CT85" i="30"/>
  <c r="E34" i="29"/>
  <c r="F34" i="29"/>
  <c r="H55" i="29"/>
  <c r="X55" i="29"/>
  <c r="Q55" i="29"/>
  <c r="AK231" i="33"/>
  <c r="AO231" i="33" s="1"/>
  <c r="AR231" i="33" s="1"/>
  <c r="AS231" i="33" s="1"/>
  <c r="AT231" i="33" s="1"/>
  <c r="AW231" i="33" s="1"/>
  <c r="F53" i="30"/>
  <c r="C265" i="33" s="1"/>
  <c r="F57" i="30"/>
  <c r="C269" i="33" s="1"/>
  <c r="F56" i="30"/>
  <c r="C268" i="33" s="1"/>
  <c r="F6" i="30"/>
  <c r="C246" i="33" s="1"/>
  <c r="K64" i="29"/>
  <c r="Z64" i="29"/>
  <c r="T43" i="29"/>
  <c r="CW85" i="30"/>
  <c r="I43" i="29"/>
  <c r="CH85" i="30"/>
  <c r="C74" i="33"/>
  <c r="D262" i="33"/>
  <c r="D247" i="33"/>
  <c r="C97" i="33"/>
  <c r="X64" i="29"/>
  <c r="V64" i="29"/>
  <c r="Q64" i="29"/>
  <c r="AJ228" i="28"/>
  <c r="AH228" i="31"/>
  <c r="C132" i="31" s="1"/>
  <c r="J132" i="31" s="1"/>
  <c r="M43" i="29"/>
  <c r="P64" i="29"/>
  <c r="W64" i="29"/>
  <c r="X43" i="29"/>
  <c r="R64" i="29"/>
  <c r="N64" i="29"/>
  <c r="M64" i="29"/>
  <c r="F64" i="29"/>
  <c r="E64" i="29"/>
  <c r="AQ4" i="29"/>
  <c r="W153" i="31"/>
  <c r="Y153" i="31" s="1"/>
  <c r="Y156" i="31" s="1"/>
  <c r="Z156" i="31" s="1"/>
  <c r="B161" i="31" s="1"/>
  <c r="J161" i="31" s="1"/>
  <c r="C233" i="33" s="1"/>
  <c r="W155" i="31"/>
  <c r="Y155" i="31" s="1"/>
  <c r="Z155" i="31" s="1"/>
  <c r="B160" i="31" s="1"/>
  <c r="J160" i="31" s="1"/>
  <c r="C232" i="33" s="1"/>
  <c r="F54" i="30"/>
  <c r="C266" i="33" s="1"/>
  <c r="AH228" i="28"/>
  <c r="F50" i="30"/>
  <c r="C262" i="33" s="1"/>
  <c r="F51" i="30"/>
  <c r="C263" i="33" s="1"/>
  <c r="K43" i="28"/>
  <c r="C88" i="33" s="1"/>
  <c r="B55" i="30"/>
  <c r="C55" i="30" s="1"/>
  <c r="P34" i="29"/>
  <c r="S43" i="29"/>
  <c r="N34" i="29"/>
  <c r="S34" i="29"/>
  <c r="V34" i="29"/>
  <c r="V43" i="29"/>
  <c r="J43" i="29"/>
  <c r="R34" i="29"/>
  <c r="Z28" i="29"/>
  <c r="Z33" i="29" s="1"/>
  <c r="P43" i="29"/>
  <c r="J34" i="29"/>
  <c r="O43" i="29"/>
  <c r="I34" i="29"/>
  <c r="K34" i="29"/>
  <c r="G34" i="29"/>
  <c r="X34" i="29"/>
  <c r="G43" i="29"/>
  <c r="H34" i="29"/>
  <c r="L34" i="29"/>
  <c r="W154" i="31"/>
  <c r="Z38" i="31"/>
  <c r="Z39" i="31" s="1"/>
  <c r="B42" i="31"/>
  <c r="D55" i="29"/>
  <c r="D34" i="29"/>
  <c r="U34" i="29"/>
  <c r="M34" i="29"/>
  <c r="D64" i="29"/>
  <c r="T28" i="29"/>
  <c r="T33" i="29" s="1"/>
  <c r="H64" i="29"/>
  <c r="D43" i="29"/>
  <c r="O28" i="29"/>
  <c r="O33" i="29" s="1"/>
  <c r="Y43" i="29"/>
  <c r="E43" i="29"/>
  <c r="J64" i="29"/>
  <c r="U64" i="29"/>
  <c r="O64" i="29"/>
  <c r="K49" i="29"/>
  <c r="K54" i="29" s="1"/>
  <c r="Q28" i="29"/>
  <c r="Q33" i="29" s="1"/>
  <c r="R43" i="29"/>
  <c r="U43" i="29"/>
  <c r="T64" i="29"/>
  <c r="N43" i="29"/>
  <c r="L43" i="29"/>
  <c r="K43" i="29"/>
  <c r="B113" i="27"/>
  <c r="T113" i="27"/>
  <c r="B137" i="27"/>
  <c r="C137" i="27"/>
  <c r="D137" i="27"/>
  <c r="E137" i="27"/>
  <c r="F137" i="27"/>
  <c r="G137" i="27"/>
  <c r="H137" i="27"/>
  <c r="I137" i="27"/>
  <c r="J137" i="27"/>
  <c r="K137" i="27"/>
  <c r="L137" i="27"/>
  <c r="M137" i="27"/>
  <c r="N137" i="27"/>
  <c r="O137" i="27"/>
  <c r="P137" i="27"/>
  <c r="Q137" i="27"/>
  <c r="T137" i="27"/>
  <c r="W137" i="27"/>
  <c r="X137" i="27"/>
  <c r="Y137" i="27"/>
  <c r="B138" i="27"/>
  <c r="C138" i="27"/>
  <c r="D138" i="27"/>
  <c r="E138" i="27"/>
  <c r="F138" i="27"/>
  <c r="G138" i="27"/>
  <c r="H138" i="27"/>
  <c r="I138" i="27"/>
  <c r="J138" i="27"/>
  <c r="K138" i="27"/>
  <c r="L138" i="27"/>
  <c r="M138" i="27"/>
  <c r="N138" i="27"/>
  <c r="O138" i="27"/>
  <c r="P138" i="27"/>
  <c r="Q138" i="27"/>
  <c r="R138" i="27"/>
  <c r="S138" i="27"/>
  <c r="T138" i="27"/>
  <c r="U138" i="27"/>
  <c r="V138" i="27"/>
  <c r="W138" i="27"/>
  <c r="X138" i="27"/>
  <c r="Y138" i="27"/>
  <c r="B139" i="27"/>
  <c r="C139" i="27"/>
  <c r="D139" i="27"/>
  <c r="E139" i="27"/>
  <c r="F139" i="27"/>
  <c r="G139" i="27"/>
  <c r="H139" i="27"/>
  <c r="I139" i="27"/>
  <c r="J139" i="27"/>
  <c r="K139" i="27"/>
  <c r="L139" i="27"/>
  <c r="M139" i="27"/>
  <c r="N139" i="27"/>
  <c r="O139" i="27"/>
  <c r="P139" i="27"/>
  <c r="Q139" i="27"/>
  <c r="R139" i="27"/>
  <c r="S139" i="27"/>
  <c r="T139" i="27"/>
  <c r="U139" i="27"/>
  <c r="V139" i="27"/>
  <c r="W139" i="27"/>
  <c r="X139" i="27"/>
  <c r="Y139" i="27"/>
  <c r="C136" i="27"/>
  <c r="D136" i="27"/>
  <c r="E136" i="27"/>
  <c r="F136" i="27"/>
  <c r="G136" i="27"/>
  <c r="H136" i="27"/>
  <c r="I136" i="27"/>
  <c r="J136" i="27"/>
  <c r="K136" i="27"/>
  <c r="L136" i="27"/>
  <c r="M136" i="27"/>
  <c r="N136" i="27"/>
  <c r="O136" i="27"/>
  <c r="P136" i="27"/>
  <c r="Q136" i="27"/>
  <c r="R136" i="27"/>
  <c r="S136" i="27"/>
  <c r="T136" i="27"/>
  <c r="U136" i="27"/>
  <c r="V136" i="27"/>
  <c r="W136" i="27"/>
  <c r="X136" i="27"/>
  <c r="Y136" i="27"/>
  <c r="B136" i="27"/>
  <c r="BA113" i="27"/>
  <c r="AZ113" i="27"/>
  <c r="AY113" i="27"/>
  <c r="AX113" i="27"/>
  <c r="AW113" i="27"/>
  <c r="AV113" i="27"/>
  <c r="AU113" i="27"/>
  <c r="AT113" i="27"/>
  <c r="AS113" i="27"/>
  <c r="AR113" i="27"/>
  <c r="AQ113" i="27"/>
  <c r="AP113" i="27"/>
  <c r="AO113" i="27"/>
  <c r="AN113" i="27"/>
  <c r="AM113" i="27"/>
  <c r="AL113" i="27"/>
  <c r="AK113" i="27"/>
  <c r="AJ113" i="27"/>
  <c r="AI113" i="27"/>
  <c r="AH113" i="27"/>
  <c r="AG113" i="27"/>
  <c r="AF113" i="27"/>
  <c r="AE113" i="27"/>
  <c r="AD113" i="27"/>
  <c r="Y113" i="27"/>
  <c r="X113" i="27"/>
  <c r="W113" i="27"/>
  <c r="V113" i="27"/>
  <c r="U113" i="27"/>
  <c r="S113" i="27"/>
  <c r="R113" i="27"/>
  <c r="Q113" i="27"/>
  <c r="P113" i="27"/>
  <c r="O113" i="27"/>
  <c r="N113" i="27"/>
  <c r="M113" i="27"/>
  <c r="L113" i="27"/>
  <c r="K113" i="27"/>
  <c r="J113" i="27"/>
  <c r="I113" i="27"/>
  <c r="H113" i="27"/>
  <c r="G113" i="27"/>
  <c r="F113" i="27"/>
  <c r="E113" i="27"/>
  <c r="D113" i="27"/>
  <c r="C113" i="27"/>
  <c r="C275" i="33" l="1"/>
  <c r="D275" i="33" s="1"/>
  <c r="D191" i="33"/>
  <c r="J154" i="31"/>
  <c r="C227" i="33" s="1"/>
  <c r="B149" i="31"/>
  <c r="J149" i="31" s="1"/>
  <c r="C222" i="33" s="1"/>
  <c r="AC240" i="31"/>
  <c r="AF240" i="31" s="1"/>
  <c r="CS102" i="30"/>
  <c r="X10" i="30" s="1"/>
  <c r="DR102" i="30"/>
  <c r="T11" i="30" s="1"/>
  <c r="AY102" i="30"/>
  <c r="J9" i="30" s="1"/>
  <c r="CV102" i="30"/>
  <c r="AA10" i="30" s="1"/>
  <c r="BI102" i="30"/>
  <c r="T9" i="30" s="1"/>
  <c r="DZ102" i="30"/>
  <c r="AB11" i="30" s="1"/>
  <c r="DL102" i="30"/>
  <c r="N11" i="30" s="1"/>
  <c r="BF102" i="30"/>
  <c r="Q9" i="30" s="1"/>
  <c r="DM102" i="30"/>
  <c r="O11" i="30" s="1"/>
  <c r="DJ102" i="30"/>
  <c r="L11" i="30" s="1"/>
  <c r="DF102" i="30"/>
  <c r="H11" i="30" s="1"/>
  <c r="CE102" i="30"/>
  <c r="J10" i="30" s="1"/>
  <c r="CU102" i="30"/>
  <c r="Z10" i="30" s="1"/>
  <c r="BK102" i="30"/>
  <c r="V9" i="30" s="1"/>
  <c r="DG102" i="30"/>
  <c r="I11" i="30" s="1"/>
  <c r="DO102" i="30"/>
  <c r="Q11" i="30" s="1"/>
  <c r="AX102" i="30"/>
  <c r="I9" i="30" s="1"/>
  <c r="O34" i="29"/>
  <c r="Q34" i="29"/>
  <c r="K55" i="29"/>
  <c r="T34" i="29"/>
  <c r="Z34" i="29"/>
  <c r="O253" i="33"/>
  <c r="C81" i="33"/>
  <c r="D246" i="33"/>
  <c r="DT102" i="30"/>
  <c r="V11" i="30" s="1"/>
  <c r="Z153" i="31"/>
  <c r="B158" i="31" s="1"/>
  <c r="J158" i="31" s="1"/>
  <c r="C230" i="33" s="1"/>
  <c r="AZ102" i="30"/>
  <c r="K9" i="30" s="1"/>
  <c r="BH102" i="30"/>
  <c r="S9" i="30" s="1"/>
  <c r="DH102" i="30"/>
  <c r="J11" i="30" s="1"/>
  <c r="AW102" i="30"/>
  <c r="H9" i="30" s="1"/>
  <c r="BL102" i="30"/>
  <c r="W9" i="30" s="1"/>
  <c r="F55" i="30"/>
  <c r="C267" i="33" s="1"/>
  <c r="DV102" i="30"/>
  <c r="X11" i="30" s="1"/>
  <c r="B58" i="30"/>
  <c r="C58" i="30" s="1"/>
  <c r="CJ102" i="30"/>
  <c r="O10" i="30" s="1"/>
  <c r="CD102" i="30"/>
  <c r="I10" i="30" s="1"/>
  <c r="CI102" i="30"/>
  <c r="N10" i="30" s="1"/>
  <c r="CR102" i="30"/>
  <c r="W10" i="30" s="1"/>
  <c r="CG102" i="30"/>
  <c r="L10" i="30" s="1"/>
  <c r="AV102" i="30"/>
  <c r="G9" i="30" s="1"/>
  <c r="BB102" i="30"/>
  <c r="M9" i="30" s="1"/>
  <c r="BJ102" i="30"/>
  <c r="U9" i="30" s="1"/>
  <c r="BD102" i="30"/>
  <c r="O9" i="30" s="1"/>
  <c r="Y154" i="31"/>
  <c r="Z154" i="31" s="1"/>
  <c r="B159" i="31" s="1"/>
  <c r="J159" i="31" s="1"/>
  <c r="C231" i="33" s="1"/>
  <c r="CM102" i="30"/>
  <c r="R10" i="30" s="1"/>
  <c r="CX102" i="30"/>
  <c r="AC10" i="30" s="1"/>
  <c r="DN102" i="30"/>
  <c r="P11" i="30" s="1"/>
  <c r="CQ102" i="30"/>
  <c r="V10" i="30" s="1"/>
  <c r="DI102" i="30"/>
  <c r="K11" i="30" s="1"/>
  <c r="DX102" i="30"/>
  <c r="Z11" i="30" s="1"/>
  <c r="CC102" i="30"/>
  <c r="H10" i="30" s="1"/>
  <c r="DQ102" i="30"/>
  <c r="S11" i="30" s="1"/>
  <c r="J42" i="31"/>
  <c r="C206" i="33" s="1"/>
  <c r="B44" i="31"/>
  <c r="J44" i="31" s="1"/>
  <c r="C208" i="33" s="1"/>
  <c r="DE102" i="30"/>
  <c r="G11" i="30" s="1"/>
  <c r="BG102" i="30"/>
  <c r="R9" i="30" s="1"/>
  <c r="CF102" i="30"/>
  <c r="K10" i="30" s="1"/>
  <c r="CB102" i="30"/>
  <c r="G10" i="30" s="1"/>
  <c r="B43" i="31"/>
  <c r="J43" i="31" s="1"/>
  <c r="C207" i="33" s="1"/>
  <c r="AB40" i="31"/>
  <c r="AD40" i="31" s="1"/>
  <c r="AE40" i="31" s="1"/>
  <c r="AB38" i="31"/>
  <c r="AB39" i="31"/>
  <c r="CL102" i="30"/>
  <c r="Q10" i="30" s="1"/>
  <c r="CP102" i="30"/>
  <c r="U10" i="30" s="1"/>
  <c r="BM102" i="30"/>
  <c r="X9" i="30" s="1"/>
  <c r="CN102" i="30"/>
  <c r="S10" i="30" s="1"/>
  <c r="BA102" i="30"/>
  <c r="L9" i="30" s="1"/>
  <c r="BE102" i="30"/>
  <c r="P9" i="30" s="1"/>
  <c r="BN102" i="30"/>
  <c r="Y9" i="30" s="1"/>
  <c r="CY102" i="30"/>
  <c r="AD10" i="30" s="1"/>
  <c r="DU102" i="30"/>
  <c r="W11" i="30" s="1"/>
  <c r="DK102" i="30"/>
  <c r="M11" i="30" s="1"/>
  <c r="DY102" i="30"/>
  <c r="AA11" i="30" s="1"/>
  <c r="DS102" i="30"/>
  <c r="U11" i="30" s="1"/>
  <c r="DW102" i="30"/>
  <c r="Y11" i="30" s="1"/>
  <c r="BC102" i="30"/>
  <c r="N9" i="30" s="1"/>
  <c r="EA102" i="30"/>
  <c r="AC11" i="30" s="1"/>
  <c r="DP102" i="30"/>
  <c r="R11" i="30" s="1"/>
  <c r="EB102" i="30"/>
  <c r="AD11" i="30" s="1"/>
  <c r="T87" i="27"/>
  <c r="S87" i="27"/>
  <c r="R87" i="27"/>
  <c r="Q87" i="27"/>
  <c r="P87" i="27"/>
  <c r="O87" i="27"/>
  <c r="N87" i="27"/>
  <c r="M87" i="27"/>
  <c r="L87" i="27"/>
  <c r="K87" i="27"/>
  <c r="J87" i="27"/>
  <c r="I87" i="27"/>
  <c r="H87" i="27"/>
  <c r="G87" i="27"/>
  <c r="F87" i="27"/>
  <c r="E87" i="27"/>
  <c r="D87" i="27"/>
  <c r="C87" i="27"/>
  <c r="B87" i="27"/>
  <c r="V79" i="27"/>
  <c r="V87" i="27" s="1"/>
  <c r="U79" i="27"/>
  <c r="Y78" i="27"/>
  <c r="Y87" i="27" s="1"/>
  <c r="X78" i="27"/>
  <c r="X87" i="27" s="1"/>
  <c r="W78" i="27"/>
  <c r="W87" i="27" s="1"/>
  <c r="U78" i="27"/>
  <c r="CO102" i="30" l="1"/>
  <c r="T10" i="30" s="1"/>
  <c r="T13" i="30" s="1"/>
  <c r="CW102" i="30"/>
  <c r="AB10" i="30" s="1"/>
  <c r="CT102" i="30"/>
  <c r="Y10" i="30" s="1"/>
  <c r="Y13" i="30" s="1"/>
  <c r="J13" i="30"/>
  <c r="Q13" i="30"/>
  <c r="I13" i="30"/>
  <c r="CH102" i="30"/>
  <c r="M10" i="30" s="1"/>
  <c r="M13" i="30" s="1"/>
  <c r="CK102" i="30"/>
  <c r="P10" i="30" s="1"/>
  <c r="P13" i="30" s="1"/>
  <c r="F58" i="30"/>
  <c r="X13" i="30"/>
  <c r="C82" i="33"/>
  <c r="D230" i="33" s="1"/>
  <c r="U87" i="27"/>
  <c r="N13" i="30"/>
  <c r="H13" i="30"/>
  <c r="V13" i="30"/>
  <c r="O13" i="30"/>
  <c r="K13" i="30"/>
  <c r="S13" i="30"/>
  <c r="U13" i="30"/>
  <c r="L13" i="30"/>
  <c r="W13" i="30"/>
  <c r="R13" i="30"/>
  <c r="F11" i="30"/>
  <c r="C250" i="33" s="1"/>
  <c r="G13" i="30"/>
  <c r="F10" i="30" l="1"/>
  <c r="C249" i="33" s="1"/>
  <c r="C270" i="33"/>
  <c r="C289" i="33" s="1"/>
  <c r="B108" i="30"/>
  <c r="B123" i="30" s="1"/>
  <c r="D208" i="33"/>
  <c r="D81" i="33"/>
  <c r="J205" i="33" s="1"/>
  <c r="L205" i="33" s="1"/>
  <c r="D229" i="33"/>
  <c r="D228" i="33"/>
  <c r="D164" i="33"/>
  <c r="D65" i="33"/>
  <c r="J193" i="33" s="1"/>
  <c r="J194" i="33" s="1"/>
  <c r="D64" i="33"/>
  <c r="Q193" i="33" s="1"/>
  <c r="Q194" i="33" s="1"/>
  <c r="D66" i="33"/>
  <c r="D200" i="33"/>
  <c r="D213" i="33"/>
  <c r="D198" i="33"/>
  <c r="D196" i="33"/>
  <c r="L225" i="33"/>
  <c r="J218" i="33"/>
  <c r="D63" i="33"/>
  <c r="D141" i="33"/>
  <c r="D147" i="33"/>
  <c r="L223" i="33"/>
  <c r="AJ198" i="33" s="1"/>
  <c r="L224" i="33"/>
  <c r="J216" i="33"/>
  <c r="D146" i="33"/>
  <c r="D140" i="33"/>
  <c r="D80" i="33"/>
  <c r="J206" i="33" s="1"/>
  <c r="L206" i="33" s="1"/>
  <c r="J217" i="33"/>
  <c r="D150" i="33"/>
  <c r="D167" i="33"/>
  <c r="D163" i="33"/>
  <c r="D139" i="33"/>
  <c r="G63" i="33"/>
  <c r="D168" i="33"/>
  <c r="D215" i="33"/>
  <c r="D226" i="33"/>
  <c r="D95" i="33"/>
  <c r="D93" i="33"/>
  <c r="D76" i="33"/>
  <c r="D90" i="33"/>
  <c r="K254" i="33" s="1"/>
  <c r="L254" i="33" s="1"/>
  <c r="D92" i="33"/>
  <c r="D96" i="33"/>
  <c r="D89" i="33"/>
  <c r="K262" i="33" s="1"/>
  <c r="D73" i="33"/>
  <c r="K255" i="33" s="1"/>
  <c r="L255" i="33" s="1"/>
  <c r="D94" i="33"/>
  <c r="D77" i="33"/>
  <c r="D72" i="33"/>
  <c r="D91" i="33"/>
  <c r="D71" i="33"/>
  <c r="D75" i="33"/>
  <c r="D79" i="33"/>
  <c r="D87" i="33"/>
  <c r="K260" i="33" s="1"/>
  <c r="L260" i="33" s="1"/>
  <c r="D78" i="33"/>
  <c r="D85" i="33"/>
  <c r="K258" i="33" s="1"/>
  <c r="L258" i="33" s="1"/>
  <c r="D205" i="33"/>
  <c r="D204" i="33"/>
  <c r="D86" i="33"/>
  <c r="K259" i="33" s="1"/>
  <c r="L259" i="33" s="1"/>
  <c r="D232" i="33"/>
  <c r="D97" i="33"/>
  <c r="D88" i="33"/>
  <c r="K261" i="33" s="1"/>
  <c r="L261" i="33" s="1"/>
  <c r="D74" i="33"/>
  <c r="D227" i="33"/>
  <c r="D233" i="33"/>
  <c r="D222" i="33"/>
  <c r="D231" i="33"/>
  <c r="D206" i="33"/>
  <c r="B93" i="30"/>
  <c r="D93" i="30" s="1"/>
  <c r="C29" i="24"/>
  <c r="D29" i="24"/>
  <c r="E29" i="24"/>
  <c r="F29" i="24"/>
  <c r="G29" i="24"/>
  <c r="H29" i="24"/>
  <c r="I29" i="24"/>
  <c r="J29" i="24"/>
  <c r="K29" i="24"/>
  <c r="L29" i="24"/>
  <c r="M29" i="24"/>
  <c r="N29" i="24"/>
  <c r="O29" i="24"/>
  <c r="P29" i="24"/>
  <c r="Q29" i="24"/>
  <c r="R29" i="24"/>
  <c r="S29" i="24"/>
  <c r="T29" i="24"/>
  <c r="U29" i="24"/>
  <c r="V29" i="24"/>
  <c r="W29" i="24"/>
  <c r="X29" i="24"/>
  <c r="Y29" i="24"/>
  <c r="B29" i="24"/>
  <c r="B92" i="30" l="1"/>
  <c r="D92" i="30" s="1"/>
  <c r="W193" i="33"/>
  <c r="W194" i="33" s="1"/>
  <c r="AP198" i="33"/>
  <c r="D268" i="33"/>
  <c r="AJ204" i="33"/>
  <c r="AK204" i="33" s="1"/>
  <c r="AJ201" i="33"/>
  <c r="AK201" i="33" s="1"/>
  <c r="AJ200" i="33"/>
  <c r="AK200" i="33" s="1"/>
  <c r="AJ202" i="33"/>
  <c r="AK202" i="33" s="1"/>
  <c r="AJ203" i="33"/>
  <c r="AK203" i="33" s="1"/>
  <c r="I200" i="33"/>
  <c r="J200" i="33" s="1"/>
  <c r="I198" i="33"/>
  <c r="J198" i="33" s="1"/>
  <c r="I199" i="33"/>
  <c r="J199" i="33" s="1"/>
  <c r="D269" i="33"/>
  <c r="D264" i="33"/>
  <c r="O254" i="33"/>
  <c r="DJ73" i="33"/>
  <c r="DJ85" i="33" s="1"/>
  <c r="EB71" i="33"/>
  <c r="EB82" i="33" s="1"/>
  <c r="DM70" i="33"/>
  <c r="DM81" i="33" s="1"/>
  <c r="DF69" i="33"/>
  <c r="DF80" i="33" s="1"/>
  <c r="DX67" i="33"/>
  <c r="DX78" i="33" s="1"/>
  <c r="DQ66" i="33"/>
  <c r="DQ77" i="33" s="1"/>
  <c r="DJ65" i="33"/>
  <c r="DJ76" i="33" s="1"/>
  <c r="CT73" i="33"/>
  <c r="CT85" i="33" s="1"/>
  <c r="CM72" i="33"/>
  <c r="CM84" i="33" s="1"/>
  <c r="CF71" i="33"/>
  <c r="CF82" i="33" s="1"/>
  <c r="CX69" i="33"/>
  <c r="CX80" i="33" s="1"/>
  <c r="DQ73" i="33"/>
  <c r="DQ85" i="33" s="1"/>
  <c r="DJ72" i="33"/>
  <c r="DJ84" i="33" s="1"/>
  <c r="EB70" i="33"/>
  <c r="EB81" i="33" s="1"/>
  <c r="DM69" i="33"/>
  <c r="DM80" i="33" s="1"/>
  <c r="DF68" i="33"/>
  <c r="DF79" i="33" s="1"/>
  <c r="DX66" i="33"/>
  <c r="DX77" i="33" s="1"/>
  <c r="DQ65" i="33"/>
  <c r="DQ76" i="33" s="1"/>
  <c r="DJ64" i="33"/>
  <c r="DJ75" i="33" s="1"/>
  <c r="CT72" i="33"/>
  <c r="CT84" i="33" s="1"/>
  <c r="CM71" i="33"/>
  <c r="CM82" i="33" s="1"/>
  <c r="CF70" i="33"/>
  <c r="CF81" i="33" s="1"/>
  <c r="DX73" i="33"/>
  <c r="DX85" i="33" s="1"/>
  <c r="DQ72" i="33"/>
  <c r="DQ84" i="33" s="1"/>
  <c r="DJ71" i="33"/>
  <c r="DJ82" i="33" s="1"/>
  <c r="EB69" i="33"/>
  <c r="EB80" i="33" s="1"/>
  <c r="DM68" i="33"/>
  <c r="DM79" i="33" s="1"/>
  <c r="DF67" i="33"/>
  <c r="DF78" i="33" s="1"/>
  <c r="DX65" i="33"/>
  <c r="DX76" i="33" s="1"/>
  <c r="DQ64" i="33"/>
  <c r="DQ75" i="33" s="1"/>
  <c r="CB73" i="33"/>
  <c r="CB85" i="33" s="1"/>
  <c r="CT71" i="33"/>
  <c r="CT82" i="33" s="1"/>
  <c r="CM70" i="33"/>
  <c r="CM81" i="33" s="1"/>
  <c r="CF69" i="33"/>
  <c r="CF80" i="33" s="1"/>
  <c r="DX72" i="33"/>
  <c r="DX84" i="33" s="1"/>
  <c r="DQ71" i="33"/>
  <c r="DQ82" i="33" s="1"/>
  <c r="DJ70" i="33"/>
  <c r="DJ81" i="33" s="1"/>
  <c r="EB68" i="33"/>
  <c r="EB79" i="33" s="1"/>
  <c r="DM67" i="33"/>
  <c r="DM78" i="33" s="1"/>
  <c r="DF66" i="33"/>
  <c r="DF77" i="33" s="1"/>
  <c r="DX64" i="33"/>
  <c r="DX75" i="33" s="1"/>
  <c r="CQ73" i="33"/>
  <c r="CQ85" i="33" s="1"/>
  <c r="CB72" i="33"/>
  <c r="CB84" i="33" s="1"/>
  <c r="CT70" i="33"/>
  <c r="CT81" i="33" s="1"/>
  <c r="CM69" i="33"/>
  <c r="CM80" i="33" s="1"/>
  <c r="DF73" i="33"/>
  <c r="DF85" i="33" s="1"/>
  <c r="DX71" i="33"/>
  <c r="DX82" i="33" s="1"/>
  <c r="DQ70" i="33"/>
  <c r="DQ81" i="33" s="1"/>
  <c r="DJ69" i="33"/>
  <c r="DJ80" i="33" s="1"/>
  <c r="EB67" i="33"/>
  <c r="EB78" i="33" s="1"/>
  <c r="DM66" i="33"/>
  <c r="DM77" i="33" s="1"/>
  <c r="DF65" i="33"/>
  <c r="DF76" i="33" s="1"/>
  <c r="DU73" i="33"/>
  <c r="DU85" i="33" s="1"/>
  <c r="DN72" i="33"/>
  <c r="DN84" i="33" s="1"/>
  <c r="DG71" i="33"/>
  <c r="DG82" i="33" s="1"/>
  <c r="DY69" i="33"/>
  <c r="DY80" i="33" s="1"/>
  <c r="DR68" i="33"/>
  <c r="DR79" i="33" s="1"/>
  <c r="DK67" i="33"/>
  <c r="DK78" i="33" s="1"/>
  <c r="DU65" i="33"/>
  <c r="DU76" i="33" s="1"/>
  <c r="DN64" i="33"/>
  <c r="DN75" i="33" s="1"/>
  <c r="CG73" i="33"/>
  <c r="CG85" i="33" s="1"/>
  <c r="CY71" i="33"/>
  <c r="CY82" i="33" s="1"/>
  <c r="CJ70" i="33"/>
  <c r="CJ81" i="33" s="1"/>
  <c r="EB73" i="33"/>
  <c r="EB85" i="33" s="1"/>
  <c r="DM72" i="33"/>
  <c r="DM84" i="33" s="1"/>
  <c r="DF71" i="33"/>
  <c r="DF82" i="33" s="1"/>
  <c r="DX69" i="33"/>
  <c r="DX80" i="33" s="1"/>
  <c r="DQ68" i="33"/>
  <c r="DQ79" i="33" s="1"/>
  <c r="DJ67" i="33"/>
  <c r="DJ78" i="33" s="1"/>
  <c r="EB65" i="33"/>
  <c r="EB76" i="33" s="1"/>
  <c r="DM64" i="33"/>
  <c r="DM75" i="33" s="1"/>
  <c r="CF73" i="33"/>
  <c r="CF85" i="33" s="1"/>
  <c r="CX71" i="33"/>
  <c r="CX82" i="33" s="1"/>
  <c r="CQ70" i="33"/>
  <c r="CQ81" i="33" s="1"/>
  <c r="CB69" i="33"/>
  <c r="CB80" i="33" s="1"/>
  <c r="DI67" i="33"/>
  <c r="DI78" i="33" s="1"/>
  <c r="CP70" i="33"/>
  <c r="CP81" i="33" s="1"/>
  <c r="CF68" i="33"/>
  <c r="CF79" i="33" s="1"/>
  <c r="CX66" i="33"/>
  <c r="CQ65" i="33"/>
  <c r="CQ76" i="33" s="1"/>
  <c r="CB64" i="33"/>
  <c r="BS72" i="33"/>
  <c r="BS84" i="33" s="1"/>
  <c r="EA72" i="33"/>
  <c r="EA84" i="33" s="1"/>
  <c r="DT71" i="33"/>
  <c r="DT82" i="33" s="1"/>
  <c r="DE70" i="33"/>
  <c r="DE81" i="33" s="1"/>
  <c r="DW68" i="33"/>
  <c r="DW79" i="33" s="1"/>
  <c r="DP67" i="33"/>
  <c r="DP78" i="33" s="1"/>
  <c r="DI66" i="33"/>
  <c r="DI77" i="33" s="1"/>
  <c r="EA64" i="33"/>
  <c r="EA75" i="33" s="1"/>
  <c r="CL73" i="33"/>
  <c r="CL85" i="33" s="1"/>
  <c r="CE72" i="33"/>
  <c r="CE84" i="33" s="1"/>
  <c r="CW70" i="33"/>
  <c r="CW81" i="33" s="1"/>
  <c r="CP69" i="33"/>
  <c r="CP80" i="33" s="1"/>
  <c r="DI73" i="33"/>
  <c r="DI85" i="33" s="1"/>
  <c r="EA71" i="33"/>
  <c r="EA82" i="33" s="1"/>
  <c r="DT70" i="33"/>
  <c r="DT81" i="33" s="1"/>
  <c r="DE69" i="33"/>
  <c r="DE80" i="33" s="1"/>
  <c r="DW67" i="33"/>
  <c r="DW78" i="33" s="1"/>
  <c r="DP66" i="33"/>
  <c r="DP77" i="33" s="1"/>
  <c r="DI65" i="33"/>
  <c r="DI76" i="33" s="1"/>
  <c r="CS73" i="33"/>
  <c r="CS85" i="33" s="1"/>
  <c r="CL72" i="33"/>
  <c r="CL84" i="33" s="1"/>
  <c r="CE71" i="33"/>
  <c r="CE82" i="33" s="1"/>
  <c r="CW69" i="33"/>
  <c r="CW80" i="33" s="1"/>
  <c r="DP73" i="33"/>
  <c r="DP85" i="33" s="1"/>
  <c r="DI72" i="33"/>
  <c r="DI84" i="33" s="1"/>
  <c r="EA70" i="33"/>
  <c r="EA81" i="33" s="1"/>
  <c r="DT69" i="33"/>
  <c r="DT80" i="33" s="1"/>
  <c r="DE68" i="33"/>
  <c r="DE79" i="33" s="1"/>
  <c r="DW66" i="33"/>
  <c r="DW77" i="33" s="1"/>
  <c r="DP65" i="33"/>
  <c r="DP76" i="33" s="1"/>
  <c r="DI64" i="33"/>
  <c r="DI75" i="33" s="1"/>
  <c r="CS72" i="33"/>
  <c r="CS84" i="33" s="1"/>
  <c r="CL71" i="33"/>
  <c r="CL82" i="33" s="1"/>
  <c r="CE70" i="33"/>
  <c r="CE81" i="33" s="1"/>
  <c r="DW73" i="33"/>
  <c r="DW85" i="33" s="1"/>
  <c r="DP72" i="33"/>
  <c r="DP84" i="33" s="1"/>
  <c r="DI71" i="33"/>
  <c r="DI82" i="33" s="1"/>
  <c r="EA69" i="33"/>
  <c r="EA80" i="33" s="1"/>
  <c r="DT68" i="33"/>
  <c r="DT79" i="33" s="1"/>
  <c r="DE67" i="33"/>
  <c r="DE78" i="33" s="1"/>
  <c r="DW65" i="33"/>
  <c r="DW76" i="33" s="1"/>
  <c r="DP64" i="33"/>
  <c r="DP75" i="33" s="1"/>
  <c r="CI73" i="33"/>
  <c r="CI85" i="33" s="1"/>
  <c r="CS71" i="33"/>
  <c r="CS82" i="33" s="1"/>
  <c r="CL70" i="33"/>
  <c r="CL81" i="33" s="1"/>
  <c r="CE69" i="33"/>
  <c r="CE80" i="33" s="1"/>
  <c r="DW72" i="33"/>
  <c r="DW84" i="33" s="1"/>
  <c r="DP71" i="33"/>
  <c r="DP82" i="33" s="1"/>
  <c r="DI70" i="33"/>
  <c r="DI81" i="33" s="1"/>
  <c r="EA68" i="33"/>
  <c r="EA79" i="33" s="1"/>
  <c r="DT67" i="33"/>
  <c r="DT78" i="33" s="1"/>
  <c r="DE66" i="33"/>
  <c r="DE77" i="33" s="1"/>
  <c r="DW64" i="33"/>
  <c r="DW75" i="33" s="1"/>
  <c r="DM73" i="33"/>
  <c r="DM85" i="33" s="1"/>
  <c r="DF72" i="33"/>
  <c r="DF84" i="33" s="1"/>
  <c r="DX70" i="33"/>
  <c r="DX81" i="33" s="1"/>
  <c r="DQ69" i="33"/>
  <c r="DQ80" i="33" s="1"/>
  <c r="DJ68" i="33"/>
  <c r="DJ79" i="33" s="1"/>
  <c r="EB66" i="33"/>
  <c r="EB77" i="33" s="1"/>
  <c r="DM65" i="33"/>
  <c r="DM76" i="33" s="1"/>
  <c r="DF64" i="33"/>
  <c r="DF75" i="33" s="1"/>
  <c r="CX72" i="33"/>
  <c r="CX84" i="33" s="1"/>
  <c r="CQ71" i="33"/>
  <c r="CQ82" i="33" s="1"/>
  <c r="CB70" i="33"/>
  <c r="CB81" i="33" s="1"/>
  <c r="DT73" i="33"/>
  <c r="DT85" i="33" s="1"/>
  <c r="DE72" i="33"/>
  <c r="DE84" i="33" s="1"/>
  <c r="DW70" i="33"/>
  <c r="DW81" i="33" s="1"/>
  <c r="DP69" i="33"/>
  <c r="DP80" i="33" s="1"/>
  <c r="DI68" i="33"/>
  <c r="DI79" i="33" s="1"/>
  <c r="EA66" i="33"/>
  <c r="EA77" i="33" s="1"/>
  <c r="DT65" i="33"/>
  <c r="DT76" i="33" s="1"/>
  <c r="DE64" i="33"/>
  <c r="DE75" i="33" s="1"/>
  <c r="CW72" i="33"/>
  <c r="CW84" i="33" s="1"/>
  <c r="CP71" i="33"/>
  <c r="CP82" i="33" s="1"/>
  <c r="CI70" i="33"/>
  <c r="CI81" i="33" s="1"/>
  <c r="DK73" i="33"/>
  <c r="DK85" i="33" s="1"/>
  <c r="DK65" i="33"/>
  <c r="DK76" i="33" s="1"/>
  <c r="CL69" i="33"/>
  <c r="CL80" i="33" s="1"/>
  <c r="CW67" i="33"/>
  <c r="CW78" i="33" s="1"/>
  <c r="CP66" i="33"/>
  <c r="CP77" i="33" s="1"/>
  <c r="CI65" i="33"/>
  <c r="DZ73" i="33"/>
  <c r="DZ85" i="33" s="1"/>
  <c r="DS72" i="33"/>
  <c r="DS84" i="33" s="1"/>
  <c r="DL71" i="33"/>
  <c r="DL82" i="33" s="1"/>
  <c r="DV69" i="33"/>
  <c r="DV80" i="33" s="1"/>
  <c r="DO68" i="33"/>
  <c r="DO79" i="33" s="1"/>
  <c r="DH67" i="33"/>
  <c r="DH78" i="33" s="1"/>
  <c r="DZ65" i="33"/>
  <c r="DZ76" i="33" s="1"/>
  <c r="DS64" i="33"/>
  <c r="DS75" i="33" s="1"/>
  <c r="CD73" i="33"/>
  <c r="CD85" i="33" s="1"/>
  <c r="CV71" i="33"/>
  <c r="CV82" i="33" s="1"/>
  <c r="CO70" i="33"/>
  <c r="CO81" i="33" s="1"/>
  <c r="CH69" i="33"/>
  <c r="CH80" i="33" s="1"/>
  <c r="DZ72" i="33"/>
  <c r="DZ84" i="33" s="1"/>
  <c r="DS71" i="33"/>
  <c r="DS82" i="33" s="1"/>
  <c r="DL70" i="33"/>
  <c r="DL81" i="33" s="1"/>
  <c r="DV68" i="33"/>
  <c r="DV79" i="33" s="1"/>
  <c r="DO67" i="33"/>
  <c r="DO78" i="33" s="1"/>
  <c r="DH66" i="33"/>
  <c r="DH77" i="33" s="1"/>
  <c r="DZ64" i="33"/>
  <c r="DZ75" i="33" s="1"/>
  <c r="CK73" i="33"/>
  <c r="CK85" i="33" s="1"/>
  <c r="CD72" i="33"/>
  <c r="CD84" i="33" s="1"/>
  <c r="CV70" i="33"/>
  <c r="CV81" i="33" s="1"/>
  <c r="CO69" i="33"/>
  <c r="CO80" i="33" s="1"/>
  <c r="DH73" i="33"/>
  <c r="DH85" i="33" s="1"/>
  <c r="DZ71" i="33"/>
  <c r="DZ82" i="33" s="1"/>
  <c r="DS70" i="33"/>
  <c r="DS81" i="33" s="1"/>
  <c r="DL69" i="33"/>
  <c r="DL80" i="33" s="1"/>
  <c r="DV67" i="33"/>
  <c r="DV78" i="33" s="1"/>
  <c r="DO66" i="33"/>
  <c r="DO77" i="33" s="1"/>
  <c r="DH65" i="33"/>
  <c r="DH76" i="33" s="1"/>
  <c r="CR73" i="33"/>
  <c r="CR85" i="33" s="1"/>
  <c r="CK72" i="33"/>
  <c r="CK84" i="33" s="1"/>
  <c r="CD71" i="33"/>
  <c r="CD82" i="33" s="1"/>
  <c r="CV69" i="33"/>
  <c r="CV80" i="33" s="1"/>
  <c r="DO73" i="33"/>
  <c r="DO85" i="33" s="1"/>
  <c r="DH72" i="33"/>
  <c r="DH84" i="33" s="1"/>
  <c r="DZ70" i="33"/>
  <c r="DZ81" i="33" s="1"/>
  <c r="DS69" i="33"/>
  <c r="DS80" i="33" s="1"/>
  <c r="DL68" i="33"/>
  <c r="DL79" i="33" s="1"/>
  <c r="DV66" i="33"/>
  <c r="DV77" i="33" s="1"/>
  <c r="DO65" i="33"/>
  <c r="DO76" i="33" s="1"/>
  <c r="DH64" i="33"/>
  <c r="DH75" i="33" s="1"/>
  <c r="CR72" i="33"/>
  <c r="CR84" i="33" s="1"/>
  <c r="CK71" i="33"/>
  <c r="CK82" i="33" s="1"/>
  <c r="CD70" i="33"/>
  <c r="CD81" i="33" s="1"/>
  <c r="DV73" i="33"/>
  <c r="DV85" i="33" s="1"/>
  <c r="DO72" i="33"/>
  <c r="DO84" i="33" s="1"/>
  <c r="DH71" i="33"/>
  <c r="DH82" i="33" s="1"/>
  <c r="DZ69" i="33"/>
  <c r="DZ80" i="33" s="1"/>
  <c r="DS68" i="33"/>
  <c r="DS79" i="33" s="1"/>
  <c r="DL67" i="33"/>
  <c r="DL78" i="33" s="1"/>
  <c r="DV65" i="33"/>
  <c r="DV76" i="33" s="1"/>
  <c r="DO64" i="33"/>
  <c r="DO75" i="33" s="1"/>
  <c r="DE73" i="33"/>
  <c r="DE85" i="33" s="1"/>
  <c r="DW71" i="33"/>
  <c r="DW82" i="33" s="1"/>
  <c r="DP70" i="33"/>
  <c r="DP81" i="33" s="1"/>
  <c r="DI69" i="33"/>
  <c r="DI80" i="33" s="1"/>
  <c r="EA67" i="33"/>
  <c r="EA78" i="33" s="1"/>
  <c r="DT66" i="33"/>
  <c r="DT77" i="33" s="1"/>
  <c r="DE65" i="33"/>
  <c r="DE76" i="33" s="1"/>
  <c r="CW73" i="33"/>
  <c r="CW85" i="33" s="1"/>
  <c r="CP72" i="33"/>
  <c r="CP84" i="33" s="1"/>
  <c r="CI71" i="33"/>
  <c r="CI82" i="33" s="1"/>
  <c r="CS69" i="33"/>
  <c r="CS80" i="33" s="1"/>
  <c r="DL73" i="33"/>
  <c r="DL85" i="33" s="1"/>
  <c r="DV71" i="33"/>
  <c r="DV82" i="33" s="1"/>
  <c r="DO70" i="33"/>
  <c r="DO81" i="33" s="1"/>
  <c r="DH69" i="33"/>
  <c r="DH80" i="33" s="1"/>
  <c r="DZ67" i="33"/>
  <c r="DZ78" i="33" s="1"/>
  <c r="DS66" i="33"/>
  <c r="DS77" i="33" s="1"/>
  <c r="DL65" i="33"/>
  <c r="DL76" i="33" s="1"/>
  <c r="CV73" i="33"/>
  <c r="CV85" i="33" s="1"/>
  <c r="CO72" i="33"/>
  <c r="CO84" i="33" s="1"/>
  <c r="CH71" i="33"/>
  <c r="CH82" i="33" s="1"/>
  <c r="CR69" i="33"/>
  <c r="CR80" i="33" s="1"/>
  <c r="DE71" i="33"/>
  <c r="DE82" i="33" s="1"/>
  <c r="CY72" i="33"/>
  <c r="CY84" i="33" s="1"/>
  <c r="CV68" i="33"/>
  <c r="CV79" i="33" s="1"/>
  <c r="CO67" i="33"/>
  <c r="CO78" i="33" s="1"/>
  <c r="CH66" i="33"/>
  <c r="CH77" i="33" s="1"/>
  <c r="CR64" i="33"/>
  <c r="CR75" i="33" s="1"/>
  <c r="BK73" i="33"/>
  <c r="BK85" i="33" s="1"/>
  <c r="BC72" i="33"/>
  <c r="BC84" i="33" s="1"/>
  <c r="DU70" i="33"/>
  <c r="DU81" i="33" s="1"/>
  <c r="DR65" i="33"/>
  <c r="DR76" i="33" s="1"/>
  <c r="CG70" i="33"/>
  <c r="CG81" i="33" s="1"/>
  <c r="DU69" i="33"/>
  <c r="DU80" i="33" s="1"/>
  <c r="DR64" i="33"/>
  <c r="DR75" i="33" s="1"/>
  <c r="CG69" i="33"/>
  <c r="CG80" i="33" s="1"/>
  <c r="DU68" i="33"/>
  <c r="DU79" i="33" s="1"/>
  <c r="CJ73" i="33"/>
  <c r="CJ85" i="33" s="1"/>
  <c r="DG73" i="33"/>
  <c r="DG85" i="33" s="1"/>
  <c r="DU67" i="33"/>
  <c r="DU78" i="33" s="1"/>
  <c r="CJ72" i="33"/>
  <c r="CJ84" i="33" s="1"/>
  <c r="DG72" i="33"/>
  <c r="DG84" i="33" s="1"/>
  <c r="DU66" i="33"/>
  <c r="DU77" i="33" s="1"/>
  <c r="DO71" i="33"/>
  <c r="DO82" i="33" s="1"/>
  <c r="DL66" i="33"/>
  <c r="DL77" i="33" s="1"/>
  <c r="CR70" i="33"/>
  <c r="CR81" i="33" s="1"/>
  <c r="DG70" i="33"/>
  <c r="DG81" i="33" s="1"/>
  <c r="DU64" i="33"/>
  <c r="DU75" i="33" s="1"/>
  <c r="CJ69" i="33"/>
  <c r="CJ80" i="33" s="1"/>
  <c r="CG67" i="33"/>
  <c r="CG78" i="33" s="1"/>
  <c r="BC73" i="33"/>
  <c r="BC85" i="33" s="1"/>
  <c r="BC71" i="33"/>
  <c r="BC82" i="33" s="1"/>
  <c r="BS69" i="33"/>
  <c r="BS80" i="33" s="1"/>
  <c r="BK68" i="33"/>
  <c r="BK79" i="33" s="1"/>
  <c r="BC67" i="33"/>
  <c r="BS65" i="33"/>
  <c r="BK64" i="33"/>
  <c r="BK75" i="33" s="1"/>
  <c r="CO71" i="33"/>
  <c r="CO82" i="33" s="1"/>
  <c r="CM68" i="33"/>
  <c r="CM79" i="33" s="1"/>
  <c r="CF67" i="33"/>
  <c r="CF78" i="33" s="1"/>
  <c r="CX65" i="33"/>
  <c r="CQ64" i="33"/>
  <c r="CQ75" i="33" s="1"/>
  <c r="BB73" i="33"/>
  <c r="BB85" i="33" s="1"/>
  <c r="BR71" i="33"/>
  <c r="BR82" i="33" s="1"/>
  <c r="BJ70" i="33"/>
  <c r="BJ81" i="33" s="1"/>
  <c r="BB69" i="33"/>
  <c r="BB80" i="33" s="1"/>
  <c r="BR67" i="33"/>
  <c r="BJ66" i="33"/>
  <c r="BB65" i="33"/>
  <c r="EB72" i="33"/>
  <c r="EB84" i="33" s="1"/>
  <c r="EB64" i="33"/>
  <c r="EB75" i="33" s="1"/>
  <c r="CH70" i="33"/>
  <c r="CH81" i="33" s="1"/>
  <c r="CD68" i="33"/>
  <c r="CD79" i="33" s="1"/>
  <c r="CV66" i="33"/>
  <c r="CV77" i="33" s="1"/>
  <c r="CO65" i="33"/>
  <c r="CO76" i="33" s="1"/>
  <c r="CH64" i="33"/>
  <c r="BQ72" i="33"/>
  <c r="BQ84" i="33" s="1"/>
  <c r="BI71" i="33"/>
  <c r="BI82" i="33" s="1"/>
  <c r="BA70" i="33"/>
  <c r="BA81" i="33" s="1"/>
  <c r="BQ68" i="33"/>
  <c r="BQ79" i="33" s="1"/>
  <c r="BI67" i="33"/>
  <c r="BI78" i="33" s="1"/>
  <c r="BA66" i="33"/>
  <c r="DN70" i="33"/>
  <c r="DN81" i="33" s="1"/>
  <c r="CP73" i="33"/>
  <c r="CP85" i="33" s="1"/>
  <c r="CC69" i="33"/>
  <c r="CC80" i="33" s="1"/>
  <c r="CT67" i="33"/>
  <c r="CT78" i="33" s="1"/>
  <c r="CM66" i="33"/>
  <c r="CM77" i="33" s="1"/>
  <c r="CF65" i="33"/>
  <c r="BP73" i="33"/>
  <c r="BP85" i="33" s="1"/>
  <c r="BH72" i="33"/>
  <c r="BH84" i="33" s="1"/>
  <c r="AZ71" i="33"/>
  <c r="AZ82" i="33" s="1"/>
  <c r="BP69" i="33"/>
  <c r="BP80" i="33" s="1"/>
  <c r="BH68" i="33"/>
  <c r="BH79" i="33" s="1"/>
  <c r="AZ67" i="33"/>
  <c r="BH64" i="33"/>
  <c r="BH75" i="33" s="1"/>
  <c r="DH68" i="33"/>
  <c r="DH79" i="33" s="1"/>
  <c r="CI72" i="33"/>
  <c r="CI84" i="33" s="1"/>
  <c r="CB68" i="33"/>
  <c r="CB79" i="33" s="1"/>
  <c r="CT66" i="33"/>
  <c r="CT77" i="33" s="1"/>
  <c r="CM65" i="33"/>
  <c r="CM76" i="33" s="1"/>
  <c r="CF64" i="33"/>
  <c r="BO72" i="33"/>
  <c r="BO84" i="33" s="1"/>
  <c r="BG71" i="33"/>
  <c r="BG82" i="33" s="1"/>
  <c r="AY70" i="33"/>
  <c r="AY81" i="33" s="1"/>
  <c r="BO68" i="33"/>
  <c r="BO79" i="33" s="1"/>
  <c r="BG67" i="33"/>
  <c r="BG78" i="33" s="1"/>
  <c r="AY66" i="33"/>
  <c r="CF72" i="33"/>
  <c r="CF84" i="33" s="1"/>
  <c r="CI68" i="33"/>
  <c r="CI79" i="33" s="1"/>
  <c r="CS66" i="33"/>
  <c r="CS77" i="33" s="1"/>
  <c r="CL65" i="33"/>
  <c r="CL76" i="33" s="1"/>
  <c r="CE64" i="33"/>
  <c r="DN69" i="33"/>
  <c r="DN80" i="33" s="1"/>
  <c r="DK64" i="33"/>
  <c r="DK75" i="33" s="1"/>
  <c r="DY73" i="33"/>
  <c r="DY85" i="33" s="1"/>
  <c r="DN68" i="33"/>
  <c r="DN79" i="33" s="1"/>
  <c r="CC73" i="33"/>
  <c r="CC85" i="33" s="1"/>
  <c r="DY72" i="33"/>
  <c r="DY84" i="33" s="1"/>
  <c r="DN67" i="33"/>
  <c r="DN78" i="33" s="1"/>
  <c r="CC72" i="33"/>
  <c r="CC84" i="33" s="1"/>
  <c r="DY71" i="33"/>
  <c r="DY82" i="33" s="1"/>
  <c r="DN66" i="33"/>
  <c r="DN77" i="33" s="1"/>
  <c r="CC71" i="33"/>
  <c r="CC82" i="33" s="1"/>
  <c r="DY70" i="33"/>
  <c r="DY81" i="33" s="1"/>
  <c r="DN65" i="33"/>
  <c r="DN76" i="33" s="1"/>
  <c r="DH70" i="33"/>
  <c r="DH81" i="33" s="1"/>
  <c r="DV64" i="33"/>
  <c r="DV75" i="33" s="1"/>
  <c r="CK69" i="33"/>
  <c r="CK80" i="33" s="1"/>
  <c r="DY68" i="33"/>
  <c r="DY79" i="33" s="1"/>
  <c r="CN73" i="33"/>
  <c r="CN85" i="33" s="1"/>
  <c r="DG69" i="33"/>
  <c r="DG80" i="33" s="1"/>
  <c r="CY65" i="33"/>
  <c r="BK72" i="33"/>
  <c r="BK84" i="33" s="1"/>
  <c r="BS70" i="33"/>
  <c r="BS81" i="33" s="1"/>
  <c r="BK69" i="33"/>
  <c r="BK80" i="33" s="1"/>
  <c r="BC68" i="33"/>
  <c r="BC79" i="33" s="1"/>
  <c r="BS66" i="33"/>
  <c r="BK65" i="33"/>
  <c r="BK76" i="33" s="1"/>
  <c r="BC64" i="33"/>
  <c r="CK70" i="33"/>
  <c r="CK81" i="33" s="1"/>
  <c r="CE68" i="33"/>
  <c r="CE79" i="33" s="1"/>
  <c r="CW66" i="33"/>
  <c r="CW77" i="33" s="1"/>
  <c r="CP65" i="33"/>
  <c r="CP76" i="33" s="1"/>
  <c r="CI64" i="33"/>
  <c r="BR72" i="33"/>
  <c r="BR84" i="33" s="1"/>
  <c r="BJ71" i="33"/>
  <c r="BJ82" i="33" s="1"/>
  <c r="BB70" i="33"/>
  <c r="BB81" i="33" s="1"/>
  <c r="BR68" i="33"/>
  <c r="BR79" i="33" s="1"/>
  <c r="BJ67" i="33"/>
  <c r="BJ78" i="33" s="1"/>
  <c r="BB66" i="33"/>
  <c r="DV70" i="33"/>
  <c r="DV81" i="33" s="1"/>
  <c r="CU73" i="33"/>
  <c r="CU85" i="33" s="1"/>
  <c r="CD69" i="33"/>
  <c r="CD80" i="33" s="1"/>
  <c r="CU67" i="33"/>
  <c r="CU78" i="33" s="1"/>
  <c r="CN66" i="33"/>
  <c r="CN77" i="33" s="1"/>
  <c r="CG65" i="33"/>
  <c r="BQ73" i="33"/>
  <c r="BQ85" i="33" s="1"/>
  <c r="BI72" i="33"/>
  <c r="BI84" i="33" s="1"/>
  <c r="BA71" i="33"/>
  <c r="BA82" i="33" s="1"/>
  <c r="BQ69" i="33"/>
  <c r="BQ80" i="33" s="1"/>
  <c r="BI68" i="33"/>
  <c r="BI79" i="33" s="1"/>
  <c r="BA67" i="33"/>
  <c r="BQ65" i="33"/>
  <c r="BI64" i="33"/>
  <c r="BI75" i="33" s="1"/>
  <c r="DP68" i="33"/>
  <c r="DP79" i="33" s="1"/>
  <c r="CN72" i="33"/>
  <c r="CN84" i="33" s="1"/>
  <c r="CS68" i="33"/>
  <c r="CS79" i="33" s="1"/>
  <c r="CL67" i="33"/>
  <c r="CL78" i="33" s="1"/>
  <c r="CE66" i="33"/>
  <c r="CW64" i="33"/>
  <c r="BH73" i="33"/>
  <c r="BH85" i="33" s="1"/>
  <c r="AZ72" i="33"/>
  <c r="AZ84" i="33" s="1"/>
  <c r="BP70" i="33"/>
  <c r="BP81" i="33" s="1"/>
  <c r="BH69" i="33"/>
  <c r="BH80" i="33" s="1"/>
  <c r="AZ68" i="33"/>
  <c r="AZ79" i="33" s="1"/>
  <c r="BP66" i="33"/>
  <c r="BH65" i="33"/>
  <c r="BH76" i="33" s="1"/>
  <c r="AZ64" i="33"/>
  <c r="DJ66" i="33"/>
  <c r="DJ77" i="33" s="1"/>
  <c r="CB71" i="33"/>
  <c r="CB82" i="33" s="1"/>
  <c r="CS67" i="33"/>
  <c r="CS78" i="33" s="1"/>
  <c r="CL66" i="33"/>
  <c r="CL77" i="33" s="1"/>
  <c r="CE65" i="33"/>
  <c r="DR73" i="33"/>
  <c r="DR85" i="33" s="1"/>
  <c r="DG68" i="33"/>
  <c r="DG79" i="33" s="1"/>
  <c r="CU72" i="33"/>
  <c r="CU84" i="33" s="1"/>
  <c r="DR72" i="33"/>
  <c r="DR84" i="33" s="1"/>
  <c r="DG67" i="33"/>
  <c r="DG78" i="33" s="1"/>
  <c r="CU71" i="33"/>
  <c r="CU82" i="33" s="1"/>
  <c r="DR71" i="33"/>
  <c r="DR82" i="33" s="1"/>
  <c r="DG66" i="33"/>
  <c r="DG77" i="33" s="1"/>
  <c r="CU70" i="33"/>
  <c r="CU81" i="33" s="1"/>
  <c r="DR70" i="33"/>
  <c r="DR81" i="33" s="1"/>
  <c r="DG65" i="33"/>
  <c r="DG76" i="33" s="1"/>
  <c r="CU69" i="33"/>
  <c r="CU80" i="33" s="1"/>
  <c r="DR69" i="33"/>
  <c r="DR80" i="33" s="1"/>
  <c r="DG64" i="33"/>
  <c r="DG75" i="33" s="1"/>
  <c r="DZ68" i="33"/>
  <c r="DZ79" i="33" s="1"/>
  <c r="CO73" i="33"/>
  <c r="CO85" i="33" s="1"/>
  <c r="DU72" i="33"/>
  <c r="DU84" i="33" s="1"/>
  <c r="DR67" i="33"/>
  <c r="DR78" i="33" s="1"/>
  <c r="CG72" i="33"/>
  <c r="CG84" i="33" s="1"/>
  <c r="CR71" i="33"/>
  <c r="CR82" i="33" s="1"/>
  <c r="CJ64" i="33"/>
  <c r="BS71" i="33"/>
  <c r="BS82" i="33" s="1"/>
  <c r="BK70" i="33"/>
  <c r="BK81" i="33" s="1"/>
  <c r="BC69" i="33"/>
  <c r="BC80" i="33" s="1"/>
  <c r="BS67" i="33"/>
  <c r="BK66" i="33"/>
  <c r="BC65" i="33"/>
  <c r="CX73" i="33"/>
  <c r="CX85" i="33" s="1"/>
  <c r="CI69" i="33"/>
  <c r="CI80" i="33" s="1"/>
  <c r="CV67" i="33"/>
  <c r="CV78" i="33" s="1"/>
  <c r="CO66" i="33"/>
  <c r="CO77" i="33" s="1"/>
  <c r="CH65" i="33"/>
  <c r="BR73" i="33"/>
  <c r="BR85" i="33" s="1"/>
  <c r="BJ72" i="33"/>
  <c r="BJ84" i="33" s="1"/>
  <c r="BB71" i="33"/>
  <c r="BB82" i="33" s="1"/>
  <c r="BR69" i="33"/>
  <c r="BR80" i="33" s="1"/>
  <c r="BJ68" i="33"/>
  <c r="BJ79" i="33" s="1"/>
  <c r="BB67" i="33"/>
  <c r="BR65" i="33"/>
  <c r="BJ64" i="33"/>
  <c r="BJ75" i="33" s="1"/>
  <c r="DX68" i="33"/>
  <c r="DX79" i="33" s="1"/>
  <c r="CQ72" i="33"/>
  <c r="CQ84" i="33" s="1"/>
  <c r="CT68" i="33"/>
  <c r="CT79" i="33" s="1"/>
  <c r="CM67" i="33"/>
  <c r="CM78" i="33" s="1"/>
  <c r="CF66" i="33"/>
  <c r="CX64" i="33"/>
  <c r="BI73" i="33"/>
  <c r="BI85" i="33" s="1"/>
  <c r="BA72" i="33"/>
  <c r="BA84" i="33" s="1"/>
  <c r="BQ70" i="33"/>
  <c r="BQ81" i="33" s="1"/>
  <c r="BI69" i="33"/>
  <c r="BI80" i="33" s="1"/>
  <c r="BA68" i="33"/>
  <c r="BA79" i="33" s="1"/>
  <c r="BQ66" i="33"/>
  <c r="BI65" i="33"/>
  <c r="BI76" i="33" s="1"/>
  <c r="BA64" i="33"/>
  <c r="DR66" i="33"/>
  <c r="DR77" i="33" s="1"/>
  <c r="CG71" i="33"/>
  <c r="CG82" i="33" s="1"/>
  <c r="CK68" i="33"/>
  <c r="CK79" i="33" s="1"/>
  <c r="CD67" i="33"/>
  <c r="CD78" i="33" s="1"/>
  <c r="CV65" i="33"/>
  <c r="CO64" i="33"/>
  <c r="CO75" i="33" s="1"/>
  <c r="AZ73" i="33"/>
  <c r="AZ85" i="33" s="1"/>
  <c r="BP71" i="33"/>
  <c r="BP82" i="33" s="1"/>
  <c r="BH70" i="33"/>
  <c r="BH81" i="33" s="1"/>
  <c r="AZ69" i="33"/>
  <c r="AZ80" i="33" s="1"/>
  <c r="BP67" i="33"/>
  <c r="BH66" i="33"/>
  <c r="AZ65" i="33"/>
  <c r="DL72" i="33"/>
  <c r="DL84" i="33" s="1"/>
  <c r="DL64" i="33"/>
  <c r="DL75" i="33" s="1"/>
  <c r="CR68" i="33"/>
  <c r="CR79" i="33" s="1"/>
  <c r="CK67" i="33"/>
  <c r="CK78" i="33" s="1"/>
  <c r="CD66" i="33"/>
  <c r="CV64" i="33"/>
  <c r="BG73" i="33"/>
  <c r="BG85" i="33" s="1"/>
  <c r="AY72" i="33"/>
  <c r="AY84" i="33" s="1"/>
  <c r="BO70" i="33"/>
  <c r="BO81" i="33" s="1"/>
  <c r="BG69" i="33"/>
  <c r="BG80" i="33" s="1"/>
  <c r="AY68" i="33"/>
  <c r="AY79" i="33" s="1"/>
  <c r="BO66" i="33"/>
  <c r="BG65" i="33"/>
  <c r="BG76" i="33" s="1"/>
  <c r="AY64" i="33"/>
  <c r="CY68" i="33"/>
  <c r="CY79" i="33" s="1"/>
  <c r="CJ67" i="33"/>
  <c r="CJ78" i="33" s="1"/>
  <c r="CC66" i="33"/>
  <c r="CU64" i="33"/>
  <c r="DK72" i="33"/>
  <c r="DK84" i="33" s="1"/>
  <c r="DY65" i="33"/>
  <c r="DY76" i="33" s="1"/>
  <c r="CN69" i="33"/>
  <c r="CN80" i="33" s="1"/>
  <c r="DK68" i="33"/>
  <c r="DK79" i="33" s="1"/>
  <c r="DN71" i="33"/>
  <c r="DN82" i="33" s="1"/>
  <c r="BS73" i="33"/>
  <c r="BS85" i="33" s="1"/>
  <c r="BK67" i="33"/>
  <c r="BK78" i="33" s="1"/>
  <c r="CU68" i="33"/>
  <c r="CU79" i="33" s="1"/>
  <c r="BJ73" i="33"/>
  <c r="BJ85" i="33" s="1"/>
  <c r="BB68" i="33"/>
  <c r="BB79" i="33" s="1"/>
  <c r="DZ66" i="33"/>
  <c r="DZ77" i="33" s="1"/>
  <c r="CW65" i="33"/>
  <c r="BI70" i="33"/>
  <c r="BI81" i="33" s="1"/>
  <c r="BA65" i="33"/>
  <c r="CC68" i="33"/>
  <c r="CC79" i="33" s="1"/>
  <c r="BP72" i="33"/>
  <c r="BP84" i="33" s="1"/>
  <c r="BH67" i="33"/>
  <c r="BH78" i="33" s="1"/>
  <c r="CM73" i="33"/>
  <c r="CM85" i="33" s="1"/>
  <c r="CN64" i="33"/>
  <c r="CN75" i="33" s="1"/>
  <c r="BO71" i="33"/>
  <c r="BO82" i="33" s="1"/>
  <c r="AY69" i="33"/>
  <c r="AY80" i="33" s="1"/>
  <c r="BG66" i="33"/>
  <c r="CH73" i="33"/>
  <c r="CH85" i="33" s="1"/>
  <c r="CB67" i="33"/>
  <c r="CB78" i="33" s="1"/>
  <c r="CM64" i="33"/>
  <c r="CM75" i="33" s="1"/>
  <c r="BN72" i="33"/>
  <c r="BN84" i="33" s="1"/>
  <c r="BF71" i="33"/>
  <c r="BF82" i="33" s="1"/>
  <c r="AX70" i="33"/>
  <c r="AX81" i="33" s="1"/>
  <c r="BN68" i="33"/>
  <c r="BN79" i="33" s="1"/>
  <c r="BF67" i="33"/>
  <c r="BF78" i="33" s="1"/>
  <c r="AX66" i="33"/>
  <c r="BN64" i="33"/>
  <c r="DU71" i="33"/>
  <c r="DU82" i="33" s="1"/>
  <c r="CE73" i="33"/>
  <c r="CE85" i="33" s="1"/>
  <c r="CP68" i="33"/>
  <c r="CP79" i="33" s="1"/>
  <c r="CI67" i="33"/>
  <c r="CI78" i="33" s="1"/>
  <c r="CS65" i="33"/>
  <c r="CS76" i="33" s="1"/>
  <c r="CL64" i="33"/>
  <c r="CL75" i="33" s="1"/>
  <c r="AW73" i="33"/>
  <c r="AW85" i="33" s="1"/>
  <c r="BM71" i="33"/>
  <c r="BM82" i="33" s="1"/>
  <c r="BE70" i="33"/>
  <c r="BE81" i="33" s="1"/>
  <c r="AW69" i="33"/>
  <c r="AW80" i="33" s="1"/>
  <c r="BM67" i="33"/>
  <c r="BM78" i="33" s="1"/>
  <c r="BE66" i="33"/>
  <c r="AW65" i="33"/>
  <c r="DS73" i="33"/>
  <c r="DS85" i="33" s="1"/>
  <c r="DS65" i="33"/>
  <c r="DS76" i="33" s="1"/>
  <c r="CW68" i="33"/>
  <c r="CW79" i="33" s="1"/>
  <c r="CP67" i="33"/>
  <c r="CP78" i="33" s="1"/>
  <c r="CI66" i="33"/>
  <c r="CI77" i="33" s="1"/>
  <c r="CS64" i="33"/>
  <c r="CS75" i="33" s="1"/>
  <c r="BD73" i="33"/>
  <c r="BD85" i="33" s="1"/>
  <c r="AV72" i="33"/>
  <c r="AV84" i="33" s="1"/>
  <c r="BL70" i="33"/>
  <c r="BL81" i="33" s="1"/>
  <c r="BD69" i="33"/>
  <c r="BD80" i="33" s="1"/>
  <c r="AV68" i="33"/>
  <c r="AV79" i="33" s="1"/>
  <c r="BL66" i="33"/>
  <c r="BD65" i="33"/>
  <c r="AV64" i="33"/>
  <c r="DY66" i="33"/>
  <c r="DY77" i="33" s="1"/>
  <c r="CN70" i="33"/>
  <c r="CN81" i="33" s="1"/>
  <c r="DK69" i="33"/>
  <c r="DK80" i="33" s="1"/>
  <c r="DV72" i="33"/>
  <c r="DV84" i="33" s="1"/>
  <c r="DK66" i="33"/>
  <c r="DK77" i="33" s="1"/>
  <c r="BK71" i="33"/>
  <c r="BK82" i="33" s="1"/>
  <c r="BC66" i="33"/>
  <c r="CN67" i="33"/>
  <c r="CN78" i="33" s="1"/>
  <c r="BB72" i="33"/>
  <c r="BB84" i="33" s="1"/>
  <c r="BR66" i="33"/>
  <c r="CJ71" i="33"/>
  <c r="CJ82" i="33" s="1"/>
  <c r="CP64" i="33"/>
  <c r="CP75" i="33" s="1"/>
  <c r="BA69" i="33"/>
  <c r="BA80" i="33" s="1"/>
  <c r="DT72" i="33"/>
  <c r="DT84" i="33" s="1"/>
  <c r="CU66" i="33"/>
  <c r="CU77" i="33" s="1"/>
  <c r="BH71" i="33"/>
  <c r="BH82" i="33" s="1"/>
  <c r="AZ66" i="33"/>
  <c r="CJ68" i="33"/>
  <c r="CJ79" i="33" s="1"/>
  <c r="BO73" i="33"/>
  <c r="BO85" i="33" s="1"/>
  <c r="AY71" i="33"/>
  <c r="AY82" i="33" s="1"/>
  <c r="BG68" i="33"/>
  <c r="BG79" i="33" s="1"/>
  <c r="CY69" i="33"/>
  <c r="CY80" i="33" s="1"/>
  <c r="CK66" i="33"/>
  <c r="CK77" i="33" s="1"/>
  <c r="BN73" i="33"/>
  <c r="BN85" i="33" s="1"/>
  <c r="BF72" i="33"/>
  <c r="BF84" i="33" s="1"/>
  <c r="AX71" i="33"/>
  <c r="AX82" i="33" s="1"/>
  <c r="BN69" i="33"/>
  <c r="BN80" i="33" s="1"/>
  <c r="BF68" i="33"/>
  <c r="BF79" i="33" s="1"/>
  <c r="AX67" i="33"/>
  <c r="BN65" i="33"/>
  <c r="BN76" i="33" s="1"/>
  <c r="BF64" i="33"/>
  <c r="DW69" i="33"/>
  <c r="DW80" i="33" s="1"/>
  <c r="CX70" i="33"/>
  <c r="CX81" i="33" s="1"/>
  <c r="CH68" i="33"/>
  <c r="CH79" i="33" s="1"/>
  <c r="CR66" i="33"/>
  <c r="CR77" i="33" s="1"/>
  <c r="CK65" i="33"/>
  <c r="CD64" i="33"/>
  <c r="BM72" i="33"/>
  <c r="BM84" i="33" s="1"/>
  <c r="BE71" i="33"/>
  <c r="BE82" i="33" s="1"/>
  <c r="AW70" i="33"/>
  <c r="AW81" i="33" s="1"/>
  <c r="BM68" i="33"/>
  <c r="BM79" i="33" s="1"/>
  <c r="BE67" i="33"/>
  <c r="BE78" i="33" s="1"/>
  <c r="AW66" i="33"/>
  <c r="BM64" i="33"/>
  <c r="BM75" i="33" s="1"/>
  <c r="DM71" i="33"/>
  <c r="DM82" i="33" s="1"/>
  <c r="CW71" i="33"/>
  <c r="CW82" i="33" s="1"/>
  <c r="CO68" i="33"/>
  <c r="CO79" i="33" s="1"/>
  <c r="CH67" i="33"/>
  <c r="CH78" i="33" s="1"/>
  <c r="CR65" i="33"/>
  <c r="CR76" i="33" s="1"/>
  <c r="CK64" i="33"/>
  <c r="AV73" i="33"/>
  <c r="AV85" i="33" s="1"/>
  <c r="BL71" i="33"/>
  <c r="BL82" i="33" s="1"/>
  <c r="BD70" i="33"/>
  <c r="BD81" i="33" s="1"/>
  <c r="AV69" i="33"/>
  <c r="AV80" i="33" s="1"/>
  <c r="BL67" i="33"/>
  <c r="BL78" i="33" s="1"/>
  <c r="BD66" i="33"/>
  <c r="AV65" i="33"/>
  <c r="CN71" i="33"/>
  <c r="CN82" i="33" s="1"/>
  <c r="DK70" i="33"/>
  <c r="DK81" i="33" s="1"/>
  <c r="CY73" i="33"/>
  <c r="CY85" i="33" s="1"/>
  <c r="DS67" i="33"/>
  <c r="DS78" i="33" s="1"/>
  <c r="CY70" i="33"/>
  <c r="CY81" i="33" s="1"/>
  <c r="BC70" i="33"/>
  <c r="BC81" i="33" s="1"/>
  <c r="CG66" i="33"/>
  <c r="BR70" i="33"/>
  <c r="BR81" i="33" s="1"/>
  <c r="BJ65" i="33"/>
  <c r="BJ76" i="33" s="1"/>
  <c r="CL68" i="33"/>
  <c r="CL79" i="33" s="1"/>
  <c r="BA73" i="33"/>
  <c r="BA85" i="33" s="1"/>
  <c r="BQ67" i="33"/>
  <c r="DT64" i="33"/>
  <c r="DT75" i="33" s="1"/>
  <c r="CN65" i="33"/>
  <c r="CN76" i="33" s="1"/>
  <c r="AZ70" i="33"/>
  <c r="AZ81" i="33" s="1"/>
  <c r="BP64" i="33"/>
  <c r="CC67" i="33"/>
  <c r="CC78" i="33" s="1"/>
  <c r="AY73" i="33"/>
  <c r="AY85" i="33" s="1"/>
  <c r="BG70" i="33"/>
  <c r="BG81" i="33" s="1"/>
  <c r="BO67" i="33"/>
  <c r="AY65" i="33"/>
  <c r="CQ68" i="33"/>
  <c r="CQ79" i="33" s="1"/>
  <c r="CT65" i="33"/>
  <c r="CT76" i="33" s="1"/>
  <c r="BF73" i="33"/>
  <c r="BF85" i="33" s="1"/>
  <c r="AX72" i="33"/>
  <c r="AX84" i="33" s="1"/>
  <c r="BN70" i="33"/>
  <c r="BN81" i="33" s="1"/>
  <c r="BF69" i="33"/>
  <c r="BF80" i="33" s="1"/>
  <c r="AX68" i="33"/>
  <c r="AX79" i="33" s="1"/>
  <c r="BN66" i="33"/>
  <c r="BF65" i="33"/>
  <c r="BF76" i="33" s="1"/>
  <c r="AX64" i="33"/>
  <c r="DY67" i="33"/>
  <c r="DY78" i="33" s="1"/>
  <c r="CT69" i="33"/>
  <c r="CT80" i="33" s="1"/>
  <c r="CY67" i="33"/>
  <c r="CY78" i="33" s="1"/>
  <c r="CJ66" i="33"/>
  <c r="CJ77" i="33" s="1"/>
  <c r="CC65" i="33"/>
  <c r="BM73" i="33"/>
  <c r="BM85" i="33" s="1"/>
  <c r="BE72" i="33"/>
  <c r="BE84" i="33" s="1"/>
  <c r="AW71" i="33"/>
  <c r="AW82" i="33" s="1"/>
  <c r="BM69" i="33"/>
  <c r="BM80" i="33" s="1"/>
  <c r="BE68" i="33"/>
  <c r="BE79" i="33" s="1"/>
  <c r="AW67" i="33"/>
  <c r="BM65" i="33"/>
  <c r="BM76" i="33" s="1"/>
  <c r="BE64" i="33"/>
  <c r="DO69" i="33"/>
  <c r="DO80" i="33" s="1"/>
  <c r="CS70" i="33"/>
  <c r="CS81" i="33" s="1"/>
  <c r="CG68" i="33"/>
  <c r="CG79" i="33" s="1"/>
  <c r="CY66" i="33"/>
  <c r="CJ65" i="33"/>
  <c r="CC64" i="33"/>
  <c r="BL72" i="33"/>
  <c r="BL84" i="33" s="1"/>
  <c r="BD71" i="33"/>
  <c r="BD82" i="33" s="1"/>
  <c r="AV70" i="33"/>
  <c r="AV81" i="33" s="1"/>
  <c r="BL68" i="33"/>
  <c r="BL79" i="33" s="1"/>
  <c r="BD67" i="33"/>
  <c r="AV66" i="33"/>
  <c r="BL64" i="33"/>
  <c r="BL75" i="33" s="1"/>
  <c r="DK71" i="33"/>
  <c r="DK82" i="33" s="1"/>
  <c r="CN68" i="33"/>
  <c r="CN79" i="33" s="1"/>
  <c r="BJ69" i="33"/>
  <c r="BJ80" i="33" s="1"/>
  <c r="BI66" i="33"/>
  <c r="DF70" i="33"/>
  <c r="DF81" i="33" s="1"/>
  <c r="AY67" i="33"/>
  <c r="AX73" i="33"/>
  <c r="AX85" i="33" s="1"/>
  <c r="BN67" i="33"/>
  <c r="BN78" i="33" s="1"/>
  <c r="EA65" i="33"/>
  <c r="EA76" i="33" s="1"/>
  <c r="CT64" i="33"/>
  <c r="BE69" i="33"/>
  <c r="BE80" i="33" s="1"/>
  <c r="AW64" i="33"/>
  <c r="CQ66" i="33"/>
  <c r="CQ77" i="33" s="1"/>
  <c r="AV71" i="33"/>
  <c r="AV82" i="33" s="1"/>
  <c r="BL65" i="33"/>
  <c r="BL76" i="33" s="1"/>
  <c r="DY64" i="33"/>
  <c r="DY75" i="33" s="1"/>
  <c r="BS68" i="33"/>
  <c r="BS79" i="33" s="1"/>
  <c r="BB64" i="33"/>
  <c r="CC70" i="33"/>
  <c r="CC81" i="33" s="1"/>
  <c r="CU65" i="33"/>
  <c r="CU76" i="33" s="1"/>
  <c r="BG64" i="33"/>
  <c r="BG75" i="33" s="1"/>
  <c r="BN71" i="33"/>
  <c r="BN82" i="33" s="1"/>
  <c r="BF66" i="33"/>
  <c r="CX68" i="33"/>
  <c r="CX79" i="33" s="1"/>
  <c r="BE73" i="33"/>
  <c r="BE85" i="33" s="1"/>
  <c r="AW68" i="33"/>
  <c r="AW79" i="33" s="1"/>
  <c r="DQ67" i="33"/>
  <c r="DQ78" i="33" s="1"/>
  <c r="CB65" i="33"/>
  <c r="BL69" i="33"/>
  <c r="BL80" i="33" s="1"/>
  <c r="BD64" i="33"/>
  <c r="DN73" i="33"/>
  <c r="DN85" i="33" s="1"/>
  <c r="CV72" i="33"/>
  <c r="CV84" i="33" s="1"/>
  <c r="CE67" i="33"/>
  <c r="CE78" i="33" s="1"/>
  <c r="CG64" i="33"/>
  <c r="BG72" i="33"/>
  <c r="BG84" i="33" s="1"/>
  <c r="CR67" i="33"/>
  <c r="CR78" i="33" s="1"/>
  <c r="BF70" i="33"/>
  <c r="BF81" i="33" s="1"/>
  <c r="AX65" i="33"/>
  <c r="CQ67" i="33"/>
  <c r="CQ78" i="33" s="1"/>
  <c r="AW72" i="33"/>
  <c r="AW84" i="33" s="1"/>
  <c r="BM66" i="33"/>
  <c r="CQ69" i="33"/>
  <c r="CQ80" i="33" s="1"/>
  <c r="BL73" i="33"/>
  <c r="BL85" i="33" s="1"/>
  <c r="BD68" i="33"/>
  <c r="BD79" i="33" s="1"/>
  <c r="CH72" i="33"/>
  <c r="CH84" i="33" s="1"/>
  <c r="CY64" i="33"/>
  <c r="BQ71" i="33"/>
  <c r="BQ82" i="33" s="1"/>
  <c r="BP68" i="33"/>
  <c r="BP79" i="33" s="1"/>
  <c r="BO69" i="33"/>
  <c r="BO80" i="33" s="1"/>
  <c r="CD65" i="33"/>
  <c r="AX69" i="33"/>
  <c r="AX80" i="33" s="1"/>
  <c r="EA73" i="33"/>
  <c r="EA85" i="33" s="1"/>
  <c r="CB66" i="33"/>
  <c r="BM70" i="33"/>
  <c r="BM81" i="33" s="1"/>
  <c r="BE65" i="33"/>
  <c r="BE76" i="33" s="1"/>
  <c r="CX67" i="33"/>
  <c r="CX78" i="33" s="1"/>
  <c r="BD72" i="33"/>
  <c r="BD84" i="33" s="1"/>
  <c r="AV67" i="33"/>
  <c r="L209" i="33"/>
  <c r="D267" i="33"/>
  <c r="O261" i="33"/>
  <c r="K257" i="33"/>
  <c r="L257" i="33" s="1"/>
  <c r="K256" i="33"/>
  <c r="L256" i="33" s="1"/>
  <c r="O262" i="33"/>
  <c r="D271" i="33"/>
  <c r="J220" i="33"/>
  <c r="J221" i="33" s="1"/>
  <c r="P199" i="33"/>
  <c r="Q199" i="33" s="1"/>
  <c r="P198" i="33"/>
  <c r="Q198" i="33" s="1"/>
  <c r="Q200" i="33" s="1"/>
  <c r="D202" i="33" s="1"/>
  <c r="AW78" i="33" l="1"/>
  <c r="AW154" i="33"/>
  <c r="AV76" i="33"/>
  <c r="AV152" i="33"/>
  <c r="BP78" i="33"/>
  <c r="BP154" i="33"/>
  <c r="BS78" i="33"/>
  <c r="BS154" i="33"/>
  <c r="BS76" i="33"/>
  <c r="BS152" i="33"/>
  <c r="BA76" i="33"/>
  <c r="BA152" i="33"/>
  <c r="AX76" i="33"/>
  <c r="AX152" i="33"/>
  <c r="AY78" i="33"/>
  <c r="AY154" i="33"/>
  <c r="BD78" i="33"/>
  <c r="BD154" i="33"/>
  <c r="BC78" i="33"/>
  <c r="BC154" i="33"/>
  <c r="BA78" i="33"/>
  <c r="BA154" i="33"/>
  <c r="BD76" i="33"/>
  <c r="BD152" i="33"/>
  <c r="BR76" i="33"/>
  <c r="BR152" i="33"/>
  <c r="AZ78" i="33"/>
  <c r="AZ154" i="33"/>
  <c r="BB78" i="33"/>
  <c r="BB154" i="33"/>
  <c r="BC76" i="33"/>
  <c r="BC152" i="33"/>
  <c r="BB76" i="33"/>
  <c r="BB152" i="33"/>
  <c r="BO78" i="33"/>
  <c r="BO154" i="33"/>
  <c r="BQ78" i="33"/>
  <c r="BQ154" i="33"/>
  <c r="AX78" i="33"/>
  <c r="AX154" i="33"/>
  <c r="AZ76" i="33"/>
  <c r="AZ152" i="33"/>
  <c r="AW76" i="33"/>
  <c r="AW152" i="33"/>
  <c r="AY76" i="33"/>
  <c r="AY152" i="33"/>
  <c r="AV78" i="33"/>
  <c r="AV154" i="33"/>
  <c r="BQ76" i="33"/>
  <c r="BQ152" i="33"/>
  <c r="BR78" i="33"/>
  <c r="BR154" i="33"/>
  <c r="L210" i="33"/>
  <c r="L211" i="33" s="1"/>
  <c r="L212" i="33" s="1"/>
  <c r="D270" i="33"/>
  <c r="O258" i="33"/>
  <c r="CB153" i="33"/>
  <c r="CB77" i="33"/>
  <c r="BF127" i="33"/>
  <c r="BF173" i="33" s="1"/>
  <c r="BF138" i="33"/>
  <c r="BL126" i="33"/>
  <c r="BL172" i="33" s="1"/>
  <c r="BL137" i="33"/>
  <c r="BS125" i="33"/>
  <c r="BS171" i="33" s="1"/>
  <c r="BS136" i="33"/>
  <c r="DF127" i="33"/>
  <c r="DF173" i="33" s="1"/>
  <c r="DF138" i="33"/>
  <c r="CC151" i="33"/>
  <c r="CC75" i="33"/>
  <c r="BE129" i="33"/>
  <c r="BE175" i="33" s="1"/>
  <c r="BE140" i="33"/>
  <c r="BN127" i="33"/>
  <c r="BN173" i="33" s="1"/>
  <c r="BN138" i="33"/>
  <c r="CN122" i="33"/>
  <c r="CN168" i="33" s="1"/>
  <c r="CN133" i="33"/>
  <c r="BM121" i="33"/>
  <c r="BM167" i="33" s="1"/>
  <c r="BM132" i="33"/>
  <c r="DW126" i="33"/>
  <c r="DW172" i="33" s="1"/>
  <c r="DW137" i="33"/>
  <c r="BN130" i="33"/>
  <c r="BN176" i="33" s="1"/>
  <c r="BN141" i="33"/>
  <c r="BA126" i="33"/>
  <c r="BA172" i="33" s="1"/>
  <c r="BA137" i="33"/>
  <c r="DY123" i="33"/>
  <c r="DY169" i="33" s="1"/>
  <c r="DY134" i="33"/>
  <c r="BD130" i="33"/>
  <c r="BD176" i="33" s="1"/>
  <c r="BD141" i="33"/>
  <c r="BE153" i="33"/>
  <c r="BE77" i="33"/>
  <c r="AX127" i="33"/>
  <c r="AX173" i="33" s="1"/>
  <c r="AX138" i="33"/>
  <c r="BP129" i="33"/>
  <c r="BP175" i="33" s="1"/>
  <c r="BP140" i="33"/>
  <c r="DK125" i="33"/>
  <c r="DK171" i="33" s="1"/>
  <c r="DK136" i="33"/>
  <c r="AY151" i="33"/>
  <c r="AY75" i="33"/>
  <c r="DL121" i="33"/>
  <c r="DL167" i="33" s="1"/>
  <c r="DL132" i="33"/>
  <c r="BI122" i="33"/>
  <c r="BI168" i="33" s="1"/>
  <c r="BI133" i="33"/>
  <c r="CF153" i="33"/>
  <c r="CF77" i="33"/>
  <c r="BR130" i="33"/>
  <c r="BR176" i="33" s="1"/>
  <c r="BR141" i="33"/>
  <c r="DU129" i="33"/>
  <c r="DU175" i="33" s="1"/>
  <c r="DU140" i="33"/>
  <c r="CU127" i="33"/>
  <c r="CU173" i="33" s="1"/>
  <c r="CU138" i="33"/>
  <c r="CB128" i="33"/>
  <c r="CB174" i="33" s="1"/>
  <c r="CB139" i="33"/>
  <c r="CL124" i="33"/>
  <c r="CL170" i="33" s="1"/>
  <c r="CL135" i="33"/>
  <c r="CU130" i="33"/>
  <c r="CU176" i="33" s="1"/>
  <c r="CU141" i="33"/>
  <c r="CE125" i="33"/>
  <c r="CE171" i="33" s="1"/>
  <c r="CE136" i="33"/>
  <c r="DY125" i="33"/>
  <c r="DY171" i="33" s="1"/>
  <c r="DY136" i="33"/>
  <c r="CC130" i="33"/>
  <c r="CC176" i="33" s="1"/>
  <c r="CC141" i="33"/>
  <c r="BG124" i="33"/>
  <c r="BG170" i="33" s="1"/>
  <c r="BG135" i="33"/>
  <c r="DN127" i="33"/>
  <c r="DN173" i="33" s="1"/>
  <c r="DN138" i="33"/>
  <c r="CH151" i="33"/>
  <c r="CH75" i="33"/>
  <c r="BJ153" i="33"/>
  <c r="BJ160" i="33" s="1"/>
  <c r="BJ161" i="33" s="1"/>
  <c r="BJ162" i="33" s="1"/>
  <c r="BJ77" i="33"/>
  <c r="CF124" i="33"/>
  <c r="CF170" i="33" s="1"/>
  <c r="CF135" i="33"/>
  <c r="DU121" i="33"/>
  <c r="DU167" i="33" s="1"/>
  <c r="DU132" i="33"/>
  <c r="CG126" i="33"/>
  <c r="CG172" i="33" s="1"/>
  <c r="CG137" i="33"/>
  <c r="CY129" i="33"/>
  <c r="CY175" i="33" s="1"/>
  <c r="CY140" i="33"/>
  <c r="CW130" i="33"/>
  <c r="CW176" i="33" s="1"/>
  <c r="CW141" i="33"/>
  <c r="DZ126" i="33"/>
  <c r="DZ172" i="33" s="1"/>
  <c r="DZ137" i="33"/>
  <c r="DZ127" i="33"/>
  <c r="DZ173" i="33" s="1"/>
  <c r="DZ138" i="33"/>
  <c r="DZ128" i="33"/>
  <c r="DZ174" i="33" s="1"/>
  <c r="DZ139" i="33"/>
  <c r="DZ129" i="33"/>
  <c r="DZ175" i="33" s="1"/>
  <c r="DZ140" i="33"/>
  <c r="DO125" i="33"/>
  <c r="DO171" i="33" s="1"/>
  <c r="DO136" i="33"/>
  <c r="CP128" i="33"/>
  <c r="CP174" i="33" s="1"/>
  <c r="CP139" i="33"/>
  <c r="CX129" i="33"/>
  <c r="CX175" i="33" s="1"/>
  <c r="CX140" i="33"/>
  <c r="EA125" i="33"/>
  <c r="EA171" i="33" s="1"/>
  <c r="EA136" i="33"/>
  <c r="DP121" i="33"/>
  <c r="DP167" i="33" s="1"/>
  <c r="DP132" i="33"/>
  <c r="DP122" i="33"/>
  <c r="DP168" i="33" s="1"/>
  <c r="DP133" i="33"/>
  <c r="CE128" i="33"/>
  <c r="CE174" i="33" s="1"/>
  <c r="CE139" i="33"/>
  <c r="CE129" i="33"/>
  <c r="CE175" i="33" s="1"/>
  <c r="CE140" i="33"/>
  <c r="EA129" i="33"/>
  <c r="EA175" i="33" s="1"/>
  <c r="EA140" i="33"/>
  <c r="CB126" i="33"/>
  <c r="CB172" i="33" s="1"/>
  <c r="CB137" i="33"/>
  <c r="DX126" i="33"/>
  <c r="DX172" i="33" s="1"/>
  <c r="DX137" i="33"/>
  <c r="DU122" i="33"/>
  <c r="DU168" i="33" s="1"/>
  <c r="DU133" i="33"/>
  <c r="DM123" i="33"/>
  <c r="DM169" i="33" s="1"/>
  <c r="DM134" i="33"/>
  <c r="CB129" i="33"/>
  <c r="CB175" i="33" s="1"/>
  <c r="CB140" i="33"/>
  <c r="DM124" i="33"/>
  <c r="DM170" i="33" s="1"/>
  <c r="DM135" i="33"/>
  <c r="CB130" i="33"/>
  <c r="CB176" i="33" s="1"/>
  <c r="CB141" i="33"/>
  <c r="DM125" i="33"/>
  <c r="DM171" i="33" s="1"/>
  <c r="DM136" i="33"/>
  <c r="DX130" i="33"/>
  <c r="DX176" i="33" s="1"/>
  <c r="DX141" i="33"/>
  <c r="DJ121" i="33"/>
  <c r="DJ167" i="33" s="1"/>
  <c r="DJ132" i="33"/>
  <c r="DM126" i="33"/>
  <c r="DM172" i="33" s="1"/>
  <c r="DM137" i="33"/>
  <c r="CX126" i="33"/>
  <c r="CX172" i="33" s="1"/>
  <c r="CX137" i="33"/>
  <c r="DM127" i="33"/>
  <c r="DM173" i="33" s="1"/>
  <c r="DM138" i="33"/>
  <c r="D266" i="33"/>
  <c r="CX124" i="33"/>
  <c r="CX170" i="33" s="1"/>
  <c r="CX135" i="33"/>
  <c r="EA130" i="33"/>
  <c r="EA176" i="33" s="1"/>
  <c r="EA141" i="33"/>
  <c r="BP125" i="33"/>
  <c r="BP171" i="33" s="1"/>
  <c r="BP136" i="33"/>
  <c r="BD125" i="33"/>
  <c r="BD171" i="33" s="1"/>
  <c r="BD136" i="33"/>
  <c r="AW129" i="33"/>
  <c r="AW175" i="33" s="1"/>
  <c r="AW140" i="33"/>
  <c r="CR124" i="33"/>
  <c r="CR170" i="33" s="1"/>
  <c r="CR135" i="33"/>
  <c r="CV129" i="33"/>
  <c r="CV175" i="33" s="1"/>
  <c r="CV140" i="33"/>
  <c r="CB152" i="33"/>
  <c r="CB76" i="33"/>
  <c r="CX125" i="33"/>
  <c r="CX171" i="33" s="1"/>
  <c r="CX136" i="33"/>
  <c r="CU122" i="33"/>
  <c r="CU168" i="33" s="1"/>
  <c r="CU133" i="33"/>
  <c r="DY121" i="33"/>
  <c r="DY167" i="33" s="1"/>
  <c r="DY132" i="33"/>
  <c r="AW151" i="33"/>
  <c r="AW75" i="33"/>
  <c r="BN124" i="33"/>
  <c r="BN170" i="33" s="1"/>
  <c r="BN135" i="33"/>
  <c r="BI153" i="33"/>
  <c r="BI160" i="33" s="1"/>
  <c r="BI161" i="33" s="1"/>
  <c r="BI162" i="33" s="1"/>
  <c r="BI77" i="33"/>
  <c r="BL121" i="33"/>
  <c r="BL167" i="33" s="1"/>
  <c r="BL132" i="33"/>
  <c r="AV127" i="33"/>
  <c r="AV173" i="33" s="1"/>
  <c r="AV138" i="33"/>
  <c r="CJ152" i="33"/>
  <c r="CJ76" i="33"/>
  <c r="DO126" i="33"/>
  <c r="DO172" i="33" s="1"/>
  <c r="DO137" i="33"/>
  <c r="BE125" i="33"/>
  <c r="BE171" i="33" s="1"/>
  <c r="BE136" i="33"/>
  <c r="BM130" i="33"/>
  <c r="BM176" i="33" s="1"/>
  <c r="BM141" i="33"/>
  <c r="CT126" i="33"/>
  <c r="CT172" i="33" s="1"/>
  <c r="CT137" i="33"/>
  <c r="BN153" i="33"/>
  <c r="BN77" i="33"/>
  <c r="AX129" i="33"/>
  <c r="AX175" i="33" s="1"/>
  <c r="AX140" i="33"/>
  <c r="AY122" i="33"/>
  <c r="AY168" i="33" s="1"/>
  <c r="AY133" i="33"/>
  <c r="CC124" i="33"/>
  <c r="CC170" i="33" s="1"/>
  <c r="CC135" i="33"/>
  <c r="DT121" i="33"/>
  <c r="DT167" i="33" s="1"/>
  <c r="DT132" i="33"/>
  <c r="BJ122" i="33"/>
  <c r="BJ168" i="33" s="1"/>
  <c r="BJ133" i="33"/>
  <c r="BC127" i="33"/>
  <c r="BC173" i="33" s="1"/>
  <c r="BC138" i="33"/>
  <c r="DK127" i="33"/>
  <c r="DK173" i="33" s="1"/>
  <c r="DK138" i="33"/>
  <c r="BL124" i="33"/>
  <c r="BL170" i="33" s="1"/>
  <c r="BL135" i="33"/>
  <c r="AV130" i="33"/>
  <c r="AV176" i="33" s="1"/>
  <c r="AV141" i="33"/>
  <c r="CO125" i="33"/>
  <c r="CO171" i="33" s="1"/>
  <c r="CO136" i="33"/>
  <c r="AW153" i="33"/>
  <c r="AW77" i="33"/>
  <c r="BE128" i="33"/>
  <c r="BE174" i="33" s="1"/>
  <c r="BE139" i="33"/>
  <c r="CR123" i="33"/>
  <c r="CR169" i="33" s="1"/>
  <c r="CR134" i="33"/>
  <c r="BF151" i="33"/>
  <c r="BF75" i="33"/>
  <c r="BN126" i="33"/>
  <c r="BN172" i="33" s="1"/>
  <c r="BN137" i="33"/>
  <c r="CK123" i="33"/>
  <c r="CK169" i="33" s="1"/>
  <c r="CK134" i="33"/>
  <c r="AY128" i="33"/>
  <c r="AY174" i="33" s="1"/>
  <c r="AY139" i="33"/>
  <c r="BH128" i="33"/>
  <c r="BH174" i="33" s="1"/>
  <c r="BH139" i="33"/>
  <c r="CP121" i="33"/>
  <c r="CP167" i="33" s="1"/>
  <c r="CP132" i="33"/>
  <c r="CN124" i="33"/>
  <c r="CN170" i="33" s="1"/>
  <c r="CN135" i="33"/>
  <c r="DV129" i="33"/>
  <c r="DV175" i="33" s="1"/>
  <c r="DV140" i="33"/>
  <c r="AV151" i="33"/>
  <c r="AV75" i="33"/>
  <c r="BD126" i="33"/>
  <c r="BD172" i="33" s="1"/>
  <c r="BD137" i="33"/>
  <c r="CS121" i="33"/>
  <c r="CS167" i="33" s="1"/>
  <c r="CS132" i="33"/>
  <c r="DS122" i="33"/>
  <c r="DS168" i="33" s="1"/>
  <c r="DS133" i="33"/>
  <c r="BM124" i="33"/>
  <c r="BM170" i="33" s="1"/>
  <c r="BM135" i="33"/>
  <c r="AW130" i="33"/>
  <c r="AW176" i="33" s="1"/>
  <c r="AW141" i="33"/>
  <c r="CP125" i="33"/>
  <c r="CP171" i="33" s="1"/>
  <c r="CP136" i="33"/>
  <c r="AX153" i="33"/>
  <c r="AX77" i="33"/>
  <c r="BF128" i="33"/>
  <c r="BF174" i="33" s="1"/>
  <c r="BF139" i="33"/>
  <c r="CH130" i="33"/>
  <c r="CH176" i="33" s="1"/>
  <c r="CH141" i="33"/>
  <c r="CN121" i="33"/>
  <c r="CN167" i="33" s="1"/>
  <c r="CN132" i="33"/>
  <c r="CC125" i="33"/>
  <c r="CC171" i="33" s="1"/>
  <c r="CC136" i="33"/>
  <c r="DZ123" i="33"/>
  <c r="DZ169" i="33" s="1"/>
  <c r="DZ134" i="33"/>
  <c r="BK124" i="33"/>
  <c r="BK170" i="33" s="1"/>
  <c r="BK135" i="33"/>
  <c r="CN126" i="33"/>
  <c r="CN172" i="33" s="1"/>
  <c r="CN137" i="33"/>
  <c r="CC153" i="33"/>
  <c r="CC77" i="33"/>
  <c r="BG122" i="33"/>
  <c r="BG168" i="33" s="1"/>
  <c r="BG133" i="33"/>
  <c r="BO127" i="33"/>
  <c r="BO173" i="33" s="1"/>
  <c r="BO138" i="33"/>
  <c r="CD153" i="33"/>
  <c r="CD77" i="33"/>
  <c r="DL129" i="33"/>
  <c r="DL175" i="33" s="1"/>
  <c r="DL140" i="33"/>
  <c r="AZ126" i="33"/>
  <c r="AZ172" i="33" s="1"/>
  <c r="AZ137" i="33"/>
  <c r="CO121" i="33"/>
  <c r="CO167" i="33" s="1"/>
  <c r="CO132" i="33"/>
  <c r="CG128" i="33"/>
  <c r="CG174" i="33" s="1"/>
  <c r="CG139" i="33"/>
  <c r="BQ153" i="33"/>
  <c r="BQ77" i="33"/>
  <c r="BA129" i="33"/>
  <c r="BA175" i="33" s="1"/>
  <c r="BA140" i="33"/>
  <c r="CM124" i="33"/>
  <c r="CM170" i="33" s="1"/>
  <c r="CM135" i="33"/>
  <c r="BJ121" i="33"/>
  <c r="BJ167" i="33" s="1"/>
  <c r="BJ132" i="33"/>
  <c r="BR126" i="33"/>
  <c r="BR172" i="33" s="1"/>
  <c r="BR137" i="33"/>
  <c r="CH152" i="33"/>
  <c r="CH76" i="33"/>
  <c r="CX130" i="33"/>
  <c r="CX176" i="33" s="1"/>
  <c r="CX141" i="33"/>
  <c r="BC126" i="33"/>
  <c r="BC172" i="33" s="1"/>
  <c r="BC137" i="33"/>
  <c r="CR128" i="33"/>
  <c r="CR174" i="33" s="1"/>
  <c r="CR139" i="33"/>
  <c r="CO130" i="33"/>
  <c r="CO176" i="33" s="1"/>
  <c r="CO141" i="33"/>
  <c r="CU126" i="33"/>
  <c r="CU172" i="33" s="1"/>
  <c r="CU137" i="33"/>
  <c r="DG123" i="33"/>
  <c r="DG169" i="33" s="1"/>
  <c r="DG134" i="33"/>
  <c r="DR129" i="33"/>
  <c r="DR175" i="33" s="1"/>
  <c r="DR140" i="33"/>
  <c r="CE152" i="33"/>
  <c r="CE76" i="33"/>
  <c r="DJ123" i="33"/>
  <c r="DJ169" i="33" s="1"/>
  <c r="DJ134" i="33"/>
  <c r="AZ125" i="33"/>
  <c r="AZ171" i="33" s="1"/>
  <c r="AZ136" i="33"/>
  <c r="BH130" i="33"/>
  <c r="BH176" i="33" s="1"/>
  <c r="BH141" i="33"/>
  <c r="CS125" i="33"/>
  <c r="CS171" i="33" s="1"/>
  <c r="CS136" i="33"/>
  <c r="BQ122" i="33"/>
  <c r="BQ168" i="33" s="1"/>
  <c r="BQ133" i="33"/>
  <c r="BA128" i="33"/>
  <c r="BA174" i="33" s="1"/>
  <c r="BA139" i="33"/>
  <c r="CN123" i="33"/>
  <c r="CN169" i="33" s="1"/>
  <c r="CN134" i="33"/>
  <c r="DV127" i="33"/>
  <c r="DV173" i="33" s="1"/>
  <c r="DV138" i="33"/>
  <c r="BR125" i="33"/>
  <c r="BR171" i="33" s="1"/>
  <c r="BR136" i="33"/>
  <c r="CI151" i="33"/>
  <c r="CI75" i="33"/>
  <c r="CK127" i="33"/>
  <c r="CK173" i="33" s="1"/>
  <c r="CK138" i="33"/>
  <c r="BC125" i="33"/>
  <c r="BC171" i="33" s="1"/>
  <c r="BC136" i="33"/>
  <c r="CY152" i="33"/>
  <c r="CY76" i="33"/>
  <c r="CK126" i="33"/>
  <c r="CK172" i="33" s="1"/>
  <c r="CK137" i="33"/>
  <c r="DY127" i="33"/>
  <c r="DY173" i="33" s="1"/>
  <c r="DY138" i="33"/>
  <c r="CC129" i="33"/>
  <c r="CC175" i="33" s="1"/>
  <c r="CC140" i="33"/>
  <c r="DN125" i="33"/>
  <c r="DN171" i="33" s="1"/>
  <c r="DN136" i="33"/>
  <c r="CE151" i="33"/>
  <c r="CE75" i="33"/>
  <c r="CF129" i="33"/>
  <c r="CF175" i="33" s="1"/>
  <c r="CF140" i="33"/>
  <c r="BO125" i="33"/>
  <c r="BO171" i="33" s="1"/>
  <c r="BO136" i="33"/>
  <c r="CF151" i="33"/>
  <c r="CF75" i="33"/>
  <c r="CI129" i="33"/>
  <c r="CI175" i="33" s="1"/>
  <c r="CI140" i="33"/>
  <c r="AZ124" i="33"/>
  <c r="AZ170" i="33" s="1"/>
  <c r="AZ135" i="33"/>
  <c r="BH129" i="33"/>
  <c r="BH175" i="33" s="1"/>
  <c r="BH140" i="33"/>
  <c r="CT124" i="33"/>
  <c r="CT170" i="33" s="1"/>
  <c r="CT135" i="33"/>
  <c r="BA127" i="33"/>
  <c r="BA173" i="33" s="1"/>
  <c r="BA138" i="33"/>
  <c r="CO122" i="33"/>
  <c r="CO168" i="33" s="1"/>
  <c r="CO133" i="33"/>
  <c r="EB121" i="33"/>
  <c r="EB167" i="33" s="1"/>
  <c r="EB132" i="33"/>
  <c r="BR124" i="33"/>
  <c r="BR170" i="33" s="1"/>
  <c r="BR135" i="33"/>
  <c r="BB130" i="33"/>
  <c r="BB176" i="33" s="1"/>
  <c r="BB141" i="33"/>
  <c r="CM125" i="33"/>
  <c r="CM171" i="33" s="1"/>
  <c r="CM136" i="33"/>
  <c r="BC124" i="33"/>
  <c r="BC170" i="33" s="1"/>
  <c r="BC135" i="33"/>
  <c r="BC130" i="33"/>
  <c r="BC176" i="33" s="1"/>
  <c r="BC141" i="33"/>
  <c r="DG127" i="33"/>
  <c r="DG173" i="33" s="1"/>
  <c r="DG138" i="33"/>
  <c r="DU123" i="33"/>
  <c r="DU169" i="33" s="1"/>
  <c r="DU134" i="33"/>
  <c r="DG130" i="33"/>
  <c r="DG176" i="33" s="1"/>
  <c r="DG141" i="33"/>
  <c r="DR121" i="33"/>
  <c r="DR167" i="33" s="1"/>
  <c r="DR132" i="33"/>
  <c r="DU127" i="33"/>
  <c r="DU173" i="33" s="1"/>
  <c r="DU138" i="33"/>
  <c r="CH123" i="33"/>
  <c r="CH169" i="33" s="1"/>
  <c r="CH134" i="33"/>
  <c r="DE128" i="33"/>
  <c r="DE174" i="33" s="1"/>
  <c r="DE139" i="33"/>
  <c r="CV130" i="33"/>
  <c r="CV176" i="33" s="1"/>
  <c r="CV141" i="33"/>
  <c r="DH126" i="33"/>
  <c r="DH172" i="33" s="1"/>
  <c r="DH137" i="33"/>
  <c r="CS126" i="33"/>
  <c r="CS172" i="33" s="1"/>
  <c r="CS137" i="33"/>
  <c r="DE122" i="33"/>
  <c r="DE168" i="33" s="1"/>
  <c r="DE133" i="33"/>
  <c r="DP127" i="33"/>
  <c r="DP173" i="33" s="1"/>
  <c r="DP138" i="33"/>
  <c r="DV122" i="33"/>
  <c r="DV168" i="33" s="1"/>
  <c r="DV133" i="33"/>
  <c r="DH128" i="33"/>
  <c r="DH174" i="33" s="1"/>
  <c r="DH139" i="33"/>
  <c r="CK128" i="33"/>
  <c r="CK174" i="33" s="1"/>
  <c r="CK139" i="33"/>
  <c r="DV123" i="33"/>
  <c r="DV169" i="33" s="1"/>
  <c r="DV134" i="33"/>
  <c r="DH129" i="33"/>
  <c r="DH175" i="33" s="1"/>
  <c r="DH140" i="33"/>
  <c r="CK129" i="33"/>
  <c r="CK175" i="33" s="1"/>
  <c r="CK140" i="33"/>
  <c r="DV124" i="33"/>
  <c r="DV170" i="33" s="1"/>
  <c r="DV135" i="33"/>
  <c r="DH130" i="33"/>
  <c r="DH176" i="33" s="1"/>
  <c r="DH141" i="33"/>
  <c r="CK130" i="33"/>
  <c r="CK176" i="33" s="1"/>
  <c r="CK141" i="33"/>
  <c r="DV125" i="33"/>
  <c r="DV171" i="33" s="1"/>
  <c r="DV136" i="33"/>
  <c r="CH126" i="33"/>
  <c r="CH172" i="33" s="1"/>
  <c r="CH137" i="33"/>
  <c r="DS121" i="33"/>
  <c r="DS167" i="33" s="1"/>
  <c r="DS132" i="33"/>
  <c r="DV126" i="33"/>
  <c r="DV172" i="33" s="1"/>
  <c r="DV137" i="33"/>
  <c r="CI152" i="33"/>
  <c r="CI76" i="33"/>
  <c r="DK122" i="33"/>
  <c r="DK168" i="33" s="1"/>
  <c r="DK133" i="33"/>
  <c r="CW129" i="33"/>
  <c r="CW175" i="33" s="1"/>
  <c r="CW140" i="33"/>
  <c r="DI125" i="33"/>
  <c r="DI171" i="33" s="1"/>
  <c r="DI136" i="33"/>
  <c r="DT130" i="33"/>
  <c r="DT176" i="33" s="1"/>
  <c r="DT141" i="33"/>
  <c r="DF121" i="33"/>
  <c r="DF167" i="33" s="1"/>
  <c r="DF132" i="33"/>
  <c r="DQ126" i="33"/>
  <c r="DQ172" i="33" s="1"/>
  <c r="DQ137" i="33"/>
  <c r="DW121" i="33"/>
  <c r="DW167" i="33" s="1"/>
  <c r="DW132" i="33"/>
  <c r="DI127" i="33"/>
  <c r="DI173" i="33" s="1"/>
  <c r="DI138" i="33"/>
  <c r="CL127" i="33"/>
  <c r="CL173" i="33" s="1"/>
  <c r="CL138" i="33"/>
  <c r="DW122" i="33"/>
  <c r="DW168" i="33" s="1"/>
  <c r="DW133" i="33"/>
  <c r="DI128" i="33"/>
  <c r="DI174" i="33" s="1"/>
  <c r="DI139" i="33"/>
  <c r="CL128" i="33"/>
  <c r="CL174" i="33" s="1"/>
  <c r="CL139" i="33"/>
  <c r="DW123" i="33"/>
  <c r="DW169" i="33" s="1"/>
  <c r="DW134" i="33"/>
  <c r="DI129" i="33"/>
  <c r="DI175" i="33" s="1"/>
  <c r="DI140" i="33"/>
  <c r="CL129" i="33"/>
  <c r="CL175" i="33" s="1"/>
  <c r="CL140" i="33"/>
  <c r="DW124" i="33"/>
  <c r="DW170" i="33" s="1"/>
  <c r="DW135" i="33"/>
  <c r="DI130" i="33"/>
  <c r="DI176" i="33" s="1"/>
  <c r="DI141" i="33"/>
  <c r="CL130" i="33"/>
  <c r="CL176" i="33" s="1"/>
  <c r="CL141" i="33"/>
  <c r="DW125" i="33"/>
  <c r="DW171" i="33" s="1"/>
  <c r="DW136" i="33"/>
  <c r="BS129" i="33"/>
  <c r="BS175" i="33" s="1"/>
  <c r="BS140" i="33"/>
  <c r="CF125" i="33"/>
  <c r="CF171" i="33" s="1"/>
  <c r="CF136" i="33"/>
  <c r="CQ127" i="33"/>
  <c r="CQ173" i="33" s="1"/>
  <c r="CQ138" i="33"/>
  <c r="EB122" i="33"/>
  <c r="EB168" i="33" s="1"/>
  <c r="EB133" i="33"/>
  <c r="DF128" i="33"/>
  <c r="DF174" i="33" s="1"/>
  <c r="DF139" i="33"/>
  <c r="CY128" i="33"/>
  <c r="CY174" i="33" s="1"/>
  <c r="CY139" i="33"/>
  <c r="DK124" i="33"/>
  <c r="DK170" i="33" s="1"/>
  <c r="DK135" i="33"/>
  <c r="DN129" i="33"/>
  <c r="DN175" i="33" s="1"/>
  <c r="DN140" i="33"/>
  <c r="EB124" i="33"/>
  <c r="EB170" i="33" s="1"/>
  <c r="EB135" i="33"/>
  <c r="DF130" i="33"/>
  <c r="DF176" i="33" s="1"/>
  <c r="DF141" i="33"/>
  <c r="CQ130" i="33"/>
  <c r="CQ176" i="33" s="1"/>
  <c r="CQ141" i="33"/>
  <c r="EB125" i="33"/>
  <c r="EB171" i="33" s="1"/>
  <c r="EB136" i="33"/>
  <c r="CF126" i="33"/>
  <c r="CF172" i="33" s="1"/>
  <c r="CF137" i="33"/>
  <c r="DQ121" i="33"/>
  <c r="DQ167" i="33" s="1"/>
  <c r="DQ132" i="33"/>
  <c r="EB126" i="33"/>
  <c r="EB172" i="33" s="1"/>
  <c r="EB137" i="33"/>
  <c r="CF127" i="33"/>
  <c r="CF173" i="33" s="1"/>
  <c r="CF138" i="33"/>
  <c r="DQ122" i="33"/>
  <c r="DQ168" i="33" s="1"/>
  <c r="DQ133" i="33"/>
  <c r="EB127" i="33"/>
  <c r="EB173" i="33" s="1"/>
  <c r="EB138" i="33"/>
  <c r="CF128" i="33"/>
  <c r="CF174" i="33" s="1"/>
  <c r="CF139" i="33"/>
  <c r="DQ123" i="33"/>
  <c r="DQ169" i="33" s="1"/>
  <c r="DQ134" i="33"/>
  <c r="EB128" i="33"/>
  <c r="EB174" i="33" s="1"/>
  <c r="EB139" i="33"/>
  <c r="O255" i="33"/>
  <c r="O256" i="33"/>
  <c r="BO126" i="33"/>
  <c r="BO172" i="33" s="1"/>
  <c r="BO137" i="33"/>
  <c r="BM153" i="33"/>
  <c r="BM160" i="33" s="1"/>
  <c r="BM161" i="33" s="1"/>
  <c r="BM162" i="33" s="1"/>
  <c r="BM77" i="33"/>
  <c r="BE130" i="33"/>
  <c r="BE176" i="33" s="1"/>
  <c r="BE141" i="33"/>
  <c r="CQ123" i="33"/>
  <c r="CQ169" i="33" s="1"/>
  <c r="CQ134" i="33"/>
  <c r="DK128" i="33"/>
  <c r="DK174" i="33" s="1"/>
  <c r="DK139" i="33"/>
  <c r="CS127" i="33"/>
  <c r="CS173" i="33" s="1"/>
  <c r="CS138" i="33"/>
  <c r="CY124" i="33"/>
  <c r="CY170" i="33" s="1"/>
  <c r="CY135" i="33"/>
  <c r="AY130" i="33"/>
  <c r="AY176" i="33" s="1"/>
  <c r="AY141" i="33"/>
  <c r="CY130" i="33"/>
  <c r="CY176" i="33" s="1"/>
  <c r="CY141" i="33"/>
  <c r="CH124" i="33"/>
  <c r="CH170" i="33" s="1"/>
  <c r="CH135" i="33"/>
  <c r="CK152" i="33"/>
  <c r="CK76" i="33"/>
  <c r="BG125" i="33"/>
  <c r="BG171" i="33" s="1"/>
  <c r="BG136" i="33"/>
  <c r="DK123" i="33"/>
  <c r="DK169" i="33" s="1"/>
  <c r="DK134" i="33"/>
  <c r="CW125" i="33"/>
  <c r="CW171" i="33" s="1"/>
  <c r="CW136" i="33"/>
  <c r="CI124" i="33"/>
  <c r="CI170" i="33" s="1"/>
  <c r="CI135" i="33"/>
  <c r="CB124" i="33"/>
  <c r="CB170" i="33" s="1"/>
  <c r="CB135" i="33"/>
  <c r="CW152" i="33"/>
  <c r="CW76" i="33"/>
  <c r="BG126" i="33"/>
  <c r="BG172" i="33" s="1"/>
  <c r="BG137" i="33"/>
  <c r="BP124" i="33"/>
  <c r="BP170" i="33" s="1"/>
  <c r="BP135" i="33"/>
  <c r="BQ127" i="33"/>
  <c r="BQ173" i="33" s="1"/>
  <c r="BQ138" i="33"/>
  <c r="BJ125" i="33"/>
  <c r="BJ171" i="33" s="1"/>
  <c r="BJ136" i="33"/>
  <c r="BS124" i="33"/>
  <c r="BS170" i="33" s="1"/>
  <c r="BS135" i="33"/>
  <c r="DG124" i="33"/>
  <c r="DG170" i="33" s="1"/>
  <c r="DG135" i="33"/>
  <c r="AZ129" i="33"/>
  <c r="AZ175" i="33" s="1"/>
  <c r="AZ140" i="33"/>
  <c r="BQ126" i="33"/>
  <c r="BQ172" i="33" s="1"/>
  <c r="BQ137" i="33"/>
  <c r="BJ124" i="33"/>
  <c r="BJ170" i="33" s="1"/>
  <c r="BJ135" i="33"/>
  <c r="BS153" i="33"/>
  <c r="BS77" i="33"/>
  <c r="DN122" i="33"/>
  <c r="DN168" i="33" s="1"/>
  <c r="DN133" i="33"/>
  <c r="DN126" i="33"/>
  <c r="DN172" i="33" s="1"/>
  <c r="DN137" i="33"/>
  <c r="BO129" i="33"/>
  <c r="BO175" i="33" s="1"/>
  <c r="BO140" i="33"/>
  <c r="CM123" i="33"/>
  <c r="CM169" i="33" s="1"/>
  <c r="CM134" i="33"/>
  <c r="CH127" i="33"/>
  <c r="CH173" i="33" s="1"/>
  <c r="CH138" i="33"/>
  <c r="BS122" i="33"/>
  <c r="BS168" i="33" s="1"/>
  <c r="BS133" i="33"/>
  <c r="DU124" i="33"/>
  <c r="DU170" i="33" s="1"/>
  <c r="DU135" i="33"/>
  <c r="CR121" i="33"/>
  <c r="CR167" i="33" s="1"/>
  <c r="CR132" i="33"/>
  <c r="DZ124" i="33"/>
  <c r="DZ170" i="33" s="1"/>
  <c r="DZ135" i="33"/>
  <c r="DI126" i="33"/>
  <c r="DI172" i="33" s="1"/>
  <c r="DI137" i="33"/>
  <c r="CD127" i="33"/>
  <c r="CD173" i="33" s="1"/>
  <c r="CD138" i="33"/>
  <c r="CD128" i="33"/>
  <c r="CD174" i="33" s="1"/>
  <c r="CD139" i="33"/>
  <c r="DO124" i="33"/>
  <c r="DO170" i="33" s="1"/>
  <c r="DO135" i="33"/>
  <c r="DZ130" i="33"/>
  <c r="DZ176" i="33" s="1"/>
  <c r="DZ141" i="33"/>
  <c r="EA123" i="33"/>
  <c r="EA169" i="33" s="1"/>
  <c r="EA134" i="33"/>
  <c r="DM130" i="33"/>
  <c r="DM176" i="33" s="1"/>
  <c r="DM141" i="33"/>
  <c r="CE127" i="33"/>
  <c r="CE173" i="33" s="1"/>
  <c r="CE138" i="33"/>
  <c r="DJ122" i="33"/>
  <c r="DJ168" i="33" s="1"/>
  <c r="DJ133" i="33"/>
  <c r="BE122" i="33"/>
  <c r="BE168" i="33" s="1"/>
  <c r="BE133" i="33"/>
  <c r="AX126" i="33"/>
  <c r="AX172" i="33" s="1"/>
  <c r="AX137" i="33"/>
  <c r="BQ128" i="33"/>
  <c r="BQ174" i="33" s="1"/>
  <c r="BQ139" i="33"/>
  <c r="BL130" i="33"/>
  <c r="BL176" i="33" s="1"/>
  <c r="BL141" i="33"/>
  <c r="CQ124" i="33"/>
  <c r="CQ170" i="33" s="1"/>
  <c r="CQ135" i="33"/>
  <c r="BG129" i="33"/>
  <c r="BG175" i="33" s="1"/>
  <c r="BG140" i="33"/>
  <c r="DN130" i="33"/>
  <c r="DN176" i="33" s="1"/>
  <c r="DN141" i="33"/>
  <c r="DQ124" i="33"/>
  <c r="DQ170" i="33" s="1"/>
  <c r="DQ135" i="33"/>
  <c r="BF153" i="33"/>
  <c r="BF77" i="33"/>
  <c r="CC127" i="33"/>
  <c r="CC173" i="33" s="1"/>
  <c r="CC138" i="33"/>
  <c r="BL122" i="33"/>
  <c r="BL168" i="33" s="1"/>
  <c r="BL133" i="33"/>
  <c r="BE126" i="33"/>
  <c r="BE172" i="33" s="1"/>
  <c r="BE137" i="33"/>
  <c r="AX130" i="33"/>
  <c r="AX176" i="33" s="1"/>
  <c r="AX141" i="33"/>
  <c r="BJ126" i="33"/>
  <c r="BJ172" i="33" s="1"/>
  <c r="BJ137" i="33"/>
  <c r="AV153" i="33"/>
  <c r="AV77" i="33"/>
  <c r="BD128" i="33"/>
  <c r="BD174" i="33" s="1"/>
  <c r="BD139" i="33"/>
  <c r="CY153" i="33"/>
  <c r="CY77" i="33"/>
  <c r="BE151" i="33"/>
  <c r="BE75" i="33"/>
  <c r="BM126" i="33"/>
  <c r="BM172" i="33" s="1"/>
  <c r="BM137" i="33"/>
  <c r="CC152" i="33"/>
  <c r="CC76" i="33"/>
  <c r="DY124" i="33"/>
  <c r="DY170" i="33" s="1"/>
  <c r="DY135" i="33"/>
  <c r="AX125" i="33"/>
  <c r="AX171" i="33" s="1"/>
  <c r="AX136" i="33"/>
  <c r="BF130" i="33"/>
  <c r="BF176" i="33" s="1"/>
  <c r="BF141" i="33"/>
  <c r="BO124" i="33"/>
  <c r="BO170" i="33" s="1"/>
  <c r="BO135" i="33"/>
  <c r="BP151" i="33"/>
  <c r="BP75" i="33"/>
  <c r="BQ124" i="33"/>
  <c r="BQ170" i="33" s="1"/>
  <c r="BQ135" i="33"/>
  <c r="BR127" i="33"/>
  <c r="BR173" i="33" s="1"/>
  <c r="BR138" i="33"/>
  <c r="CY127" i="33"/>
  <c r="CY173" i="33" s="1"/>
  <c r="CY138" i="33"/>
  <c r="CN128" i="33"/>
  <c r="CN174" i="33" s="1"/>
  <c r="CN139" i="33"/>
  <c r="AV126" i="33"/>
  <c r="AV172" i="33" s="1"/>
  <c r="AV137" i="33"/>
  <c r="CK151" i="33"/>
  <c r="CK75" i="33"/>
  <c r="CW128" i="33"/>
  <c r="CW174" i="33" s="1"/>
  <c r="CW139" i="33"/>
  <c r="BE124" i="33"/>
  <c r="BE170" i="33" s="1"/>
  <c r="BE135" i="33"/>
  <c r="BM129" i="33"/>
  <c r="BM175" i="33" s="1"/>
  <c r="BM140" i="33"/>
  <c r="CH125" i="33"/>
  <c r="CH171" i="33" s="1"/>
  <c r="CH136" i="33"/>
  <c r="BN122" i="33"/>
  <c r="BN168" i="33" s="1"/>
  <c r="BN133" i="33"/>
  <c r="AX128" i="33"/>
  <c r="AX174" i="33" s="1"/>
  <c r="AX139" i="33"/>
  <c r="CY126" i="33"/>
  <c r="CY172" i="33" s="1"/>
  <c r="CY137" i="33"/>
  <c r="BO130" i="33"/>
  <c r="BO176" i="33" s="1"/>
  <c r="BO141" i="33"/>
  <c r="CU123" i="33"/>
  <c r="CU169" i="33" s="1"/>
  <c r="CU134" i="33"/>
  <c r="CJ128" i="33"/>
  <c r="CJ174" i="33" s="1"/>
  <c r="CJ139" i="33"/>
  <c r="BC153" i="33"/>
  <c r="BC77" i="33"/>
  <c r="DK126" i="33"/>
  <c r="DK172" i="33" s="1"/>
  <c r="DK137" i="33"/>
  <c r="BD122" i="33"/>
  <c r="BD168" i="33" s="1"/>
  <c r="BD133" i="33"/>
  <c r="BL127" i="33"/>
  <c r="BL173" i="33" s="1"/>
  <c r="BL138" i="33"/>
  <c r="CI123" i="33"/>
  <c r="CI169" i="33" s="1"/>
  <c r="CI134" i="33"/>
  <c r="DS130" i="33"/>
  <c r="DS176" i="33" s="1"/>
  <c r="DS141" i="33"/>
  <c r="AW126" i="33"/>
  <c r="AW172" i="33" s="1"/>
  <c r="AW137" i="33"/>
  <c r="CL121" i="33"/>
  <c r="CL167" i="33" s="1"/>
  <c r="CL132" i="33"/>
  <c r="CE130" i="33"/>
  <c r="CE176" i="33" s="1"/>
  <c r="CE141" i="33"/>
  <c r="BF124" i="33"/>
  <c r="BF170" i="33" s="1"/>
  <c r="BF135" i="33"/>
  <c r="BN129" i="33"/>
  <c r="BN175" i="33" s="1"/>
  <c r="BN140" i="33"/>
  <c r="BG153" i="33"/>
  <c r="BG160" i="33" s="1"/>
  <c r="BG161" i="33" s="1"/>
  <c r="BG162" i="33" s="1"/>
  <c r="BG77" i="33"/>
  <c r="CM130" i="33"/>
  <c r="CM176" i="33" s="1"/>
  <c r="CM141" i="33"/>
  <c r="BA122" i="33"/>
  <c r="BA168" i="33" s="1"/>
  <c r="BA133" i="33"/>
  <c r="BB125" i="33"/>
  <c r="BB171" i="33" s="1"/>
  <c r="BB136" i="33"/>
  <c r="BS130" i="33"/>
  <c r="BS176" i="33" s="1"/>
  <c r="BS141" i="33"/>
  <c r="DY122" i="33"/>
  <c r="DY168" i="33" s="1"/>
  <c r="DY133" i="33"/>
  <c r="CJ124" i="33"/>
  <c r="CJ170" i="33" s="1"/>
  <c r="CJ135" i="33"/>
  <c r="BO153" i="33"/>
  <c r="BO77" i="33"/>
  <c r="AY129" i="33"/>
  <c r="AY175" i="33" s="1"/>
  <c r="AY140" i="33"/>
  <c r="CK124" i="33"/>
  <c r="CK170" i="33" s="1"/>
  <c r="CK135" i="33"/>
  <c r="AZ122" i="33"/>
  <c r="AZ168" i="33" s="1"/>
  <c r="AZ133" i="33"/>
  <c r="BH127" i="33"/>
  <c r="BH173" i="33" s="1"/>
  <c r="BH138" i="33"/>
  <c r="CV152" i="33"/>
  <c r="CV76" i="33"/>
  <c r="DR123" i="33"/>
  <c r="DR169" i="33" s="1"/>
  <c r="DR134" i="33"/>
  <c r="BA125" i="33"/>
  <c r="BA171" i="33" s="1"/>
  <c r="BA136" i="33"/>
  <c r="BI130" i="33"/>
  <c r="BI176" i="33" s="1"/>
  <c r="BI141" i="33"/>
  <c r="CT125" i="33"/>
  <c r="CT171" i="33" s="1"/>
  <c r="CT136" i="33"/>
  <c r="BR122" i="33"/>
  <c r="BR168" i="33" s="1"/>
  <c r="BR133" i="33"/>
  <c r="BB128" i="33"/>
  <c r="BB174" i="33" s="1"/>
  <c r="BB139" i="33"/>
  <c r="CO123" i="33"/>
  <c r="CO169" i="33" s="1"/>
  <c r="CO134" i="33"/>
  <c r="BC122" i="33"/>
  <c r="BC168" i="33" s="1"/>
  <c r="BC133" i="33"/>
  <c r="BK127" i="33"/>
  <c r="BK173" i="33" s="1"/>
  <c r="BK138" i="33"/>
  <c r="CG129" i="33"/>
  <c r="CG175" i="33" s="1"/>
  <c r="CG140" i="33"/>
  <c r="DZ125" i="33"/>
  <c r="DZ171" i="33" s="1"/>
  <c r="DZ136" i="33"/>
  <c r="DG122" i="33"/>
  <c r="DG168" i="33" s="1"/>
  <c r="DG133" i="33"/>
  <c r="DR128" i="33"/>
  <c r="DR174" i="33" s="1"/>
  <c r="DR139" i="33"/>
  <c r="CU129" i="33"/>
  <c r="CU175" i="33" s="1"/>
  <c r="CU140" i="33"/>
  <c r="CL123" i="33"/>
  <c r="CL169" i="33" s="1"/>
  <c r="CL134" i="33"/>
  <c r="AZ151" i="33"/>
  <c r="AZ75" i="33"/>
  <c r="BH126" i="33"/>
  <c r="BH172" i="33" s="1"/>
  <c r="BH137" i="33"/>
  <c r="CW151" i="33"/>
  <c r="CW75" i="33"/>
  <c r="CN129" i="33"/>
  <c r="CN175" i="33" s="1"/>
  <c r="CN140" i="33"/>
  <c r="BA124" i="33"/>
  <c r="BA170" i="33" s="1"/>
  <c r="BA135" i="33"/>
  <c r="BI129" i="33"/>
  <c r="BI175" i="33" s="1"/>
  <c r="BI140" i="33"/>
  <c r="CU124" i="33"/>
  <c r="CU170" i="33" s="1"/>
  <c r="CU135" i="33"/>
  <c r="BB127" i="33"/>
  <c r="BB173" i="33" s="1"/>
  <c r="BB138" i="33"/>
  <c r="CP122" i="33"/>
  <c r="CP168" i="33" s="1"/>
  <c r="CP133" i="33"/>
  <c r="BC151" i="33"/>
  <c r="BC75" i="33"/>
  <c r="BK126" i="33"/>
  <c r="BK172" i="33" s="1"/>
  <c r="BK137" i="33"/>
  <c r="DG126" i="33"/>
  <c r="DG172" i="33" s="1"/>
  <c r="DG137" i="33"/>
  <c r="DV121" i="33"/>
  <c r="DV167" i="33" s="1"/>
  <c r="DV132" i="33"/>
  <c r="CC128" i="33"/>
  <c r="CC174" i="33" s="1"/>
  <c r="CC139" i="33"/>
  <c r="DN124" i="33"/>
  <c r="DN170" i="33" s="1"/>
  <c r="DN135" i="33"/>
  <c r="DY130" i="33"/>
  <c r="DY176" i="33" s="1"/>
  <c r="DY141" i="33"/>
  <c r="CL122" i="33"/>
  <c r="CL168" i="33" s="1"/>
  <c r="CL133" i="33"/>
  <c r="AY127" i="33"/>
  <c r="AY173" i="33" s="1"/>
  <c r="AY138" i="33"/>
  <c r="CM122" i="33"/>
  <c r="CM168" i="33" s="1"/>
  <c r="CM133" i="33"/>
  <c r="DH125" i="33"/>
  <c r="DH171" i="33" s="1"/>
  <c r="DH136" i="33"/>
  <c r="BH125" i="33"/>
  <c r="BH171" i="33" s="1"/>
  <c r="BH136" i="33"/>
  <c r="BP130" i="33"/>
  <c r="BP176" i="33" s="1"/>
  <c r="BP141" i="33"/>
  <c r="CC126" i="33"/>
  <c r="CC172" i="33" s="1"/>
  <c r="CC137" i="33"/>
  <c r="BA153" i="33"/>
  <c r="BA77" i="33"/>
  <c r="BI128" i="33"/>
  <c r="BI174" i="33" s="1"/>
  <c r="BI139" i="33"/>
  <c r="CV123" i="33"/>
  <c r="CV169" i="33" s="1"/>
  <c r="CV134" i="33"/>
  <c r="EB129" i="33"/>
  <c r="EB175" i="33" s="1"/>
  <c r="EB140" i="33"/>
  <c r="BB126" i="33"/>
  <c r="BB172" i="33" s="1"/>
  <c r="BB137" i="33"/>
  <c r="CQ121" i="33"/>
  <c r="CQ167" i="33" s="1"/>
  <c r="CQ132" i="33"/>
  <c r="CO128" i="33"/>
  <c r="CO174" i="33" s="1"/>
  <c r="CO139" i="33"/>
  <c r="BK125" i="33"/>
  <c r="BK171" i="33" s="1"/>
  <c r="BK136" i="33"/>
  <c r="CG124" i="33"/>
  <c r="CG170" i="33" s="1"/>
  <c r="CG135" i="33"/>
  <c r="CR127" i="33"/>
  <c r="CR173" i="33" s="1"/>
  <c r="CR138" i="33"/>
  <c r="DG129" i="33"/>
  <c r="DG175" i="33" s="1"/>
  <c r="DG140" i="33"/>
  <c r="CJ130" i="33"/>
  <c r="CJ176" i="33" s="1"/>
  <c r="CJ141" i="33"/>
  <c r="DU126" i="33"/>
  <c r="DU172" i="33" s="1"/>
  <c r="DU137" i="33"/>
  <c r="BC129" i="33"/>
  <c r="BC175" i="33" s="1"/>
  <c r="BC140" i="33"/>
  <c r="CO124" i="33"/>
  <c r="CO170" i="33" s="1"/>
  <c r="CO135" i="33"/>
  <c r="CR126" i="33"/>
  <c r="CR172" i="33" s="1"/>
  <c r="CR137" i="33"/>
  <c r="DL122" i="33"/>
  <c r="DL168" i="33" s="1"/>
  <c r="DL133" i="33"/>
  <c r="DO127" i="33"/>
  <c r="DO173" i="33" s="1"/>
  <c r="DO138" i="33"/>
  <c r="CI128" i="33"/>
  <c r="CI174" i="33" s="1"/>
  <c r="CI139" i="33"/>
  <c r="DT123" i="33"/>
  <c r="DT169" i="33" s="1"/>
  <c r="DT134" i="33"/>
  <c r="DW128" i="33"/>
  <c r="DW174" i="33" s="1"/>
  <c r="DW139" i="33"/>
  <c r="DL124" i="33"/>
  <c r="DL170" i="33" s="1"/>
  <c r="DL135" i="33"/>
  <c r="DO129" i="33"/>
  <c r="DO175" i="33" s="1"/>
  <c r="DO140" i="33"/>
  <c r="CR129" i="33"/>
  <c r="CR175" i="33" s="1"/>
  <c r="CR140" i="33"/>
  <c r="DL125" i="33"/>
  <c r="DL171" i="33" s="1"/>
  <c r="DL136" i="33"/>
  <c r="DO130" i="33"/>
  <c r="DO176" i="33" s="1"/>
  <c r="DO141" i="33"/>
  <c r="CR130" i="33"/>
  <c r="CR176" i="33" s="1"/>
  <c r="CR141" i="33"/>
  <c r="DL126" i="33"/>
  <c r="DL172" i="33" s="1"/>
  <c r="DL137" i="33"/>
  <c r="CO126" i="33"/>
  <c r="CO172" i="33" s="1"/>
  <c r="CO137" i="33"/>
  <c r="DZ121" i="33"/>
  <c r="DZ167" i="33" s="1"/>
  <c r="DZ132" i="33"/>
  <c r="DL127" i="33"/>
  <c r="DL173" i="33" s="1"/>
  <c r="DL138" i="33"/>
  <c r="CO127" i="33"/>
  <c r="CO173" i="33" s="1"/>
  <c r="CO138" i="33"/>
  <c r="DZ122" i="33"/>
  <c r="DZ168" i="33" s="1"/>
  <c r="DZ133" i="33"/>
  <c r="DL128" i="33"/>
  <c r="DL174" i="33" s="1"/>
  <c r="DL139" i="33"/>
  <c r="CP123" i="33"/>
  <c r="CP169" i="33" s="1"/>
  <c r="CP134" i="33"/>
  <c r="DK130" i="33"/>
  <c r="DK176" i="33" s="1"/>
  <c r="DK141" i="33"/>
  <c r="DE121" i="33"/>
  <c r="DE167" i="33" s="1"/>
  <c r="DE132" i="33"/>
  <c r="DP126" i="33"/>
  <c r="DP172" i="33" s="1"/>
  <c r="DP137" i="33"/>
  <c r="CB127" i="33"/>
  <c r="CB173" i="33" s="1"/>
  <c r="CB138" i="33"/>
  <c r="DM122" i="33"/>
  <c r="DM168" i="33" s="1"/>
  <c r="DM133" i="33"/>
  <c r="DX127" i="33"/>
  <c r="DX173" i="33" s="1"/>
  <c r="DX138" i="33"/>
  <c r="DE123" i="33"/>
  <c r="DE169" i="33" s="1"/>
  <c r="DE134" i="33"/>
  <c r="DP128" i="33"/>
  <c r="DP174" i="33" s="1"/>
  <c r="DP139" i="33"/>
  <c r="CS128" i="33"/>
  <c r="CS174" i="33" s="1"/>
  <c r="CS139" i="33"/>
  <c r="DE124" i="33"/>
  <c r="DE170" i="33" s="1"/>
  <c r="DE135" i="33"/>
  <c r="DP129" i="33"/>
  <c r="DP175" i="33" s="1"/>
  <c r="DP140" i="33"/>
  <c r="CS129" i="33"/>
  <c r="CS175" i="33" s="1"/>
  <c r="CS140" i="33"/>
  <c r="DE125" i="33"/>
  <c r="DE171" i="33" s="1"/>
  <c r="DE136" i="33"/>
  <c r="DP130" i="33"/>
  <c r="DP176" i="33" s="1"/>
  <c r="DP141" i="33"/>
  <c r="CS130" i="33"/>
  <c r="CS176" i="33" s="1"/>
  <c r="CS141" i="33"/>
  <c r="DE126" i="33"/>
  <c r="DE172" i="33" s="1"/>
  <c r="DE137" i="33"/>
  <c r="CP126" i="33"/>
  <c r="CP172" i="33" s="1"/>
  <c r="CP137" i="33"/>
  <c r="EA121" i="33"/>
  <c r="EA167" i="33" s="1"/>
  <c r="EA132" i="33"/>
  <c r="DE127" i="33"/>
  <c r="DE173" i="33" s="1"/>
  <c r="DE138" i="33"/>
  <c r="CB151" i="33"/>
  <c r="CB75" i="33"/>
  <c r="CP127" i="33"/>
  <c r="CP173" i="33" s="1"/>
  <c r="CP138" i="33"/>
  <c r="CX128" i="33"/>
  <c r="CX174" i="33" s="1"/>
  <c r="CX139" i="33"/>
  <c r="DJ124" i="33"/>
  <c r="DJ170" i="33" s="1"/>
  <c r="DJ135" i="33"/>
  <c r="DM129" i="33"/>
  <c r="DM175" i="33" s="1"/>
  <c r="DM140" i="33"/>
  <c r="CG130" i="33"/>
  <c r="CG176" i="33" s="1"/>
  <c r="CG141" i="33"/>
  <c r="DR125" i="33"/>
  <c r="DR171" i="33" s="1"/>
  <c r="DR136" i="33"/>
  <c r="DU130" i="33"/>
  <c r="DU176" i="33" s="1"/>
  <c r="DU141" i="33"/>
  <c r="DJ126" i="33"/>
  <c r="DJ172" i="33" s="1"/>
  <c r="DJ137" i="33"/>
  <c r="CM126" i="33"/>
  <c r="CM172" i="33" s="1"/>
  <c r="CM137" i="33"/>
  <c r="DX121" i="33"/>
  <c r="DX167" i="33" s="1"/>
  <c r="DX132" i="33"/>
  <c r="DJ127" i="33"/>
  <c r="DJ173" i="33" s="1"/>
  <c r="DJ138" i="33"/>
  <c r="CM127" i="33"/>
  <c r="CM173" i="33" s="1"/>
  <c r="CM138" i="33"/>
  <c r="DX122" i="33"/>
  <c r="DX168" i="33" s="1"/>
  <c r="DX133" i="33"/>
  <c r="DJ128" i="33"/>
  <c r="DJ174" i="33" s="1"/>
  <c r="DJ139" i="33"/>
  <c r="CM128" i="33"/>
  <c r="CM174" i="33" s="1"/>
  <c r="CM139" i="33"/>
  <c r="DX123" i="33"/>
  <c r="DX169" i="33" s="1"/>
  <c r="DX134" i="33"/>
  <c r="DJ129" i="33"/>
  <c r="DJ175" i="33" s="1"/>
  <c r="DJ140" i="33"/>
  <c r="CM129" i="33"/>
  <c r="CM175" i="33" s="1"/>
  <c r="CM140" i="33"/>
  <c r="DX124" i="33"/>
  <c r="DX170" i="33" s="1"/>
  <c r="DX135" i="33"/>
  <c r="DJ130" i="33"/>
  <c r="DJ176" i="33" s="1"/>
  <c r="DJ141" i="33"/>
  <c r="O259" i="33"/>
  <c r="AP204" i="33"/>
  <c r="AQ204" i="33" s="1"/>
  <c r="AP200" i="33"/>
  <c r="AQ200" i="33" s="1"/>
  <c r="AP202" i="33"/>
  <c r="AQ202" i="33" s="1"/>
  <c r="AP203" i="33"/>
  <c r="AQ203" i="33" s="1"/>
  <c r="AP201" i="33"/>
  <c r="AQ201" i="33" s="1"/>
  <c r="BD129" i="33"/>
  <c r="BD175" i="33" s="1"/>
  <c r="BD140" i="33"/>
  <c r="CH129" i="33"/>
  <c r="CH175" i="33" s="1"/>
  <c r="CH140" i="33"/>
  <c r="CE124" i="33"/>
  <c r="CE170" i="33" s="1"/>
  <c r="CE135" i="33"/>
  <c r="BG121" i="33"/>
  <c r="BG167" i="33" s="1"/>
  <c r="BG132" i="33"/>
  <c r="EA122" i="33"/>
  <c r="EA168" i="33" s="1"/>
  <c r="EA133" i="33"/>
  <c r="BL125" i="33"/>
  <c r="BL171" i="33" s="1"/>
  <c r="BL136" i="33"/>
  <c r="AW124" i="33"/>
  <c r="AW170" i="33" s="1"/>
  <c r="AW135" i="33"/>
  <c r="BF122" i="33"/>
  <c r="BF168" i="33" s="1"/>
  <c r="BF133" i="33"/>
  <c r="CQ125" i="33"/>
  <c r="CQ171" i="33" s="1"/>
  <c r="CQ136" i="33"/>
  <c r="CL125" i="33"/>
  <c r="CL171" i="33" s="1"/>
  <c r="CL136" i="33"/>
  <c r="BD153" i="33"/>
  <c r="BD77" i="33"/>
  <c r="BL128" i="33"/>
  <c r="BL174" i="33" s="1"/>
  <c r="BL139" i="33"/>
  <c r="AW127" i="33"/>
  <c r="AW173" i="33" s="1"/>
  <c r="AW138" i="33"/>
  <c r="BF125" i="33"/>
  <c r="BF171" i="33" s="1"/>
  <c r="BF136" i="33"/>
  <c r="AZ153" i="33"/>
  <c r="AZ77" i="33"/>
  <c r="BB129" i="33"/>
  <c r="BB175" i="33" s="1"/>
  <c r="BB140" i="33"/>
  <c r="AV125" i="33"/>
  <c r="AV171" i="33" s="1"/>
  <c r="AV136" i="33"/>
  <c r="BM128" i="33"/>
  <c r="BM174" i="33" s="1"/>
  <c r="BM139" i="33"/>
  <c r="BN151" i="33"/>
  <c r="BN75" i="33"/>
  <c r="BO128" i="33"/>
  <c r="BO174" i="33" s="1"/>
  <c r="BO139" i="33"/>
  <c r="CU125" i="33"/>
  <c r="CU171" i="33" s="1"/>
  <c r="CU136" i="33"/>
  <c r="CU151" i="33"/>
  <c r="CU75" i="33"/>
  <c r="CV151" i="33"/>
  <c r="CV75" i="33"/>
  <c r="AZ130" i="33"/>
  <c r="AZ176" i="33" s="1"/>
  <c r="AZ141" i="33"/>
  <c r="CK125" i="33"/>
  <c r="CK171" i="33" s="1"/>
  <c r="CK136" i="33"/>
  <c r="DX125" i="33"/>
  <c r="DX171" i="33" s="1"/>
  <c r="DX136" i="33"/>
  <c r="CI126" i="33"/>
  <c r="CI172" i="33" s="1"/>
  <c r="CI137" i="33"/>
  <c r="CJ151" i="33"/>
  <c r="CJ75" i="33"/>
  <c r="DR126" i="33"/>
  <c r="DR172" i="33" s="1"/>
  <c r="DR137" i="33"/>
  <c r="DR130" i="33"/>
  <c r="DR176" i="33" s="1"/>
  <c r="DR141" i="33"/>
  <c r="BP153" i="33"/>
  <c r="BP77" i="33"/>
  <c r="BI121" i="33"/>
  <c r="BI167" i="33" s="1"/>
  <c r="BI132" i="33"/>
  <c r="CG152" i="33"/>
  <c r="CG76" i="33"/>
  <c r="BR129" i="33"/>
  <c r="BR175" i="33" s="1"/>
  <c r="BR140" i="33"/>
  <c r="BK129" i="33"/>
  <c r="BK175" i="33" s="1"/>
  <c r="BK140" i="33"/>
  <c r="DY128" i="33"/>
  <c r="DY174" i="33" s="1"/>
  <c r="DY139" i="33"/>
  <c r="CI125" i="33"/>
  <c r="CI171" i="33" s="1"/>
  <c r="CI136" i="33"/>
  <c r="CB125" i="33"/>
  <c r="CB171" i="33" s="1"/>
  <c r="CB136" i="33"/>
  <c r="AZ128" i="33"/>
  <c r="AZ174" i="33" s="1"/>
  <c r="AZ139" i="33"/>
  <c r="BQ125" i="33"/>
  <c r="BQ171" i="33" s="1"/>
  <c r="BQ136" i="33"/>
  <c r="BR128" i="33"/>
  <c r="BR174" i="33" s="1"/>
  <c r="BR139" i="33"/>
  <c r="BC128" i="33"/>
  <c r="BC174" i="33" s="1"/>
  <c r="BC139" i="33"/>
  <c r="DO128" i="33"/>
  <c r="DO174" i="33" s="1"/>
  <c r="DO139" i="33"/>
  <c r="DR122" i="33"/>
  <c r="DR168" i="33" s="1"/>
  <c r="DR133" i="33"/>
  <c r="CO129" i="33"/>
  <c r="CO175" i="33" s="1"/>
  <c r="CO140" i="33"/>
  <c r="DL130" i="33"/>
  <c r="DL176" i="33" s="1"/>
  <c r="DL141" i="33"/>
  <c r="DO121" i="33"/>
  <c r="DO167" i="33" s="1"/>
  <c r="DO132" i="33"/>
  <c r="DO122" i="33"/>
  <c r="DO168" i="33" s="1"/>
  <c r="DO133" i="33"/>
  <c r="DO123" i="33"/>
  <c r="DO169" i="33" s="1"/>
  <c r="DO134" i="33"/>
  <c r="CD129" i="33"/>
  <c r="CD175" i="33" s="1"/>
  <c r="CD140" i="33"/>
  <c r="CD130" i="33"/>
  <c r="CD176" i="33" s="1"/>
  <c r="CD141" i="33"/>
  <c r="CL126" i="33"/>
  <c r="CL172" i="33" s="1"/>
  <c r="CL137" i="33"/>
  <c r="DE129" i="33"/>
  <c r="DE175" i="33" s="1"/>
  <c r="DE140" i="33"/>
  <c r="DJ125" i="33"/>
  <c r="DJ171" i="33" s="1"/>
  <c r="DJ136" i="33"/>
  <c r="CE126" i="33"/>
  <c r="CE172" i="33" s="1"/>
  <c r="CE137" i="33"/>
  <c r="EA126" i="33"/>
  <c r="EA172" i="33" s="1"/>
  <c r="EA137" i="33"/>
  <c r="EA127" i="33"/>
  <c r="EA173" i="33" s="1"/>
  <c r="EA138" i="33"/>
  <c r="DP123" i="33"/>
  <c r="DP169" i="33" s="1"/>
  <c r="DP134" i="33"/>
  <c r="EA128" i="33"/>
  <c r="EA174" i="33" s="1"/>
  <c r="EA139" i="33"/>
  <c r="DP124" i="33"/>
  <c r="DP170" i="33" s="1"/>
  <c r="DP135" i="33"/>
  <c r="CX153" i="33"/>
  <c r="CX77" i="33"/>
  <c r="DM121" i="33"/>
  <c r="DM167" i="33" s="1"/>
  <c r="DM132" i="33"/>
  <c r="CJ127" i="33"/>
  <c r="CJ173" i="33" s="1"/>
  <c r="CJ138" i="33"/>
  <c r="DG128" i="33"/>
  <c r="DG174" i="33" s="1"/>
  <c r="DG139" i="33"/>
  <c r="DX128" i="33"/>
  <c r="DX174" i="33" s="1"/>
  <c r="DX139" i="33"/>
  <c r="DX129" i="33"/>
  <c r="DX175" i="33" s="1"/>
  <c r="DX140" i="33"/>
  <c r="AV124" i="33"/>
  <c r="AV170" i="33" s="1"/>
  <c r="AV135" i="33"/>
  <c r="BM127" i="33"/>
  <c r="BM173" i="33" s="1"/>
  <c r="BM138" i="33"/>
  <c r="CD152" i="33"/>
  <c r="CD76" i="33"/>
  <c r="CY151" i="33"/>
  <c r="CY75" i="33"/>
  <c r="CQ126" i="33"/>
  <c r="CQ172" i="33" s="1"/>
  <c r="CQ137" i="33"/>
  <c r="AX122" i="33"/>
  <c r="AX168" i="33" s="1"/>
  <c r="AX133" i="33"/>
  <c r="CG151" i="33"/>
  <c r="CG75" i="33"/>
  <c r="BD151" i="33"/>
  <c r="BD75" i="33"/>
  <c r="AW125" i="33"/>
  <c r="AW171" i="33" s="1"/>
  <c r="AW136" i="33"/>
  <c r="BN128" i="33"/>
  <c r="BN174" i="33" s="1"/>
  <c r="BN139" i="33"/>
  <c r="BB151" i="33"/>
  <c r="BB75" i="33"/>
  <c r="AV128" i="33"/>
  <c r="AV174" i="33" s="1"/>
  <c r="AV139" i="33"/>
  <c r="CT151" i="33"/>
  <c r="CT75" i="33"/>
  <c r="AY124" i="33"/>
  <c r="AY170" i="33" s="1"/>
  <c r="AY135" i="33"/>
  <c r="CN125" i="33"/>
  <c r="CN171" i="33" s="1"/>
  <c r="CN136" i="33"/>
  <c r="BD124" i="33"/>
  <c r="BD170" i="33" s="1"/>
  <c r="BD135" i="33"/>
  <c r="BL129" i="33"/>
  <c r="BL175" i="33" s="1"/>
  <c r="BL140" i="33"/>
  <c r="CG125" i="33"/>
  <c r="CG171" i="33" s="1"/>
  <c r="CG136" i="33"/>
  <c r="BM122" i="33"/>
  <c r="BM168" i="33" s="1"/>
  <c r="BM133" i="33"/>
  <c r="AW128" i="33"/>
  <c r="AW174" i="33" s="1"/>
  <c r="AW139" i="33"/>
  <c r="CJ123" i="33"/>
  <c r="CJ169" i="33" s="1"/>
  <c r="CJ134" i="33"/>
  <c r="AX151" i="33"/>
  <c r="AX75" i="33"/>
  <c r="BF126" i="33"/>
  <c r="BF172" i="33" s="1"/>
  <c r="BF137" i="33"/>
  <c r="CT122" i="33"/>
  <c r="CT168" i="33" s="1"/>
  <c r="CT133" i="33"/>
  <c r="BG127" i="33"/>
  <c r="BG173" i="33" s="1"/>
  <c r="BG138" i="33"/>
  <c r="AZ127" i="33"/>
  <c r="AZ173" i="33" s="1"/>
  <c r="AZ138" i="33"/>
  <c r="BA130" i="33"/>
  <c r="BA176" i="33" s="1"/>
  <c r="BA141" i="33"/>
  <c r="CG153" i="33"/>
  <c r="CG77" i="33"/>
  <c r="DS124" i="33"/>
  <c r="DS170" i="33" s="1"/>
  <c r="DS135" i="33"/>
  <c r="AV122" i="33"/>
  <c r="AV168" i="33" s="1"/>
  <c r="AV133" i="33"/>
  <c r="BD127" i="33"/>
  <c r="BD173" i="33" s="1"/>
  <c r="BD138" i="33"/>
  <c r="CR122" i="33"/>
  <c r="CR168" i="33" s="1"/>
  <c r="CR133" i="33"/>
  <c r="DM128" i="33"/>
  <c r="DM174" i="33" s="1"/>
  <c r="DM139" i="33"/>
  <c r="BM125" i="33"/>
  <c r="BM171" i="33" s="1"/>
  <c r="BM136" i="33"/>
  <c r="CD151" i="33"/>
  <c r="CD75" i="33"/>
  <c r="CX127" i="33"/>
  <c r="CX173" i="33" s="1"/>
  <c r="CX138" i="33"/>
  <c r="AX124" i="33"/>
  <c r="AX170" i="33" s="1"/>
  <c r="AX135" i="33"/>
  <c r="BF129" i="33"/>
  <c r="BF175" i="33" s="1"/>
  <c r="BF140" i="33"/>
  <c r="CJ125" i="33"/>
  <c r="CJ171" i="33" s="1"/>
  <c r="CJ136" i="33"/>
  <c r="DT129" i="33"/>
  <c r="DT175" i="33" s="1"/>
  <c r="DT140" i="33"/>
  <c r="BR153" i="33"/>
  <c r="BR77" i="33"/>
  <c r="BK128" i="33"/>
  <c r="BK174" i="33" s="1"/>
  <c r="BK139" i="33"/>
  <c r="CN127" i="33"/>
  <c r="CN173" i="33" s="1"/>
  <c r="CN138" i="33"/>
  <c r="BL153" i="33"/>
  <c r="BL160" i="33" s="1"/>
  <c r="BL161" i="33" s="1"/>
  <c r="BL162" i="33" s="1"/>
  <c r="BL77" i="33"/>
  <c r="AV129" i="33"/>
  <c r="AV175" i="33" s="1"/>
  <c r="AV140" i="33"/>
  <c r="CP124" i="33"/>
  <c r="CP170" i="33" s="1"/>
  <c r="CP135" i="33"/>
  <c r="AW122" i="33"/>
  <c r="AW168" i="33" s="1"/>
  <c r="AW133" i="33"/>
  <c r="BE127" i="33"/>
  <c r="BE173" i="33" s="1"/>
  <c r="BE138" i="33"/>
  <c r="CS122" i="33"/>
  <c r="CS168" i="33" s="1"/>
  <c r="CS133" i="33"/>
  <c r="DU128" i="33"/>
  <c r="DU174" i="33" s="1"/>
  <c r="DU139" i="33"/>
  <c r="BN125" i="33"/>
  <c r="BN171" i="33" s="1"/>
  <c r="BN136" i="33"/>
  <c r="CM121" i="33"/>
  <c r="CM167" i="33" s="1"/>
  <c r="CM132" i="33"/>
  <c r="AY126" i="33"/>
  <c r="AY172" i="33" s="1"/>
  <c r="AY137" i="33"/>
  <c r="BH124" i="33"/>
  <c r="BH170" i="33" s="1"/>
  <c r="BH135" i="33"/>
  <c r="BI127" i="33"/>
  <c r="BI173" i="33" s="1"/>
  <c r="BI138" i="33"/>
  <c r="BJ130" i="33"/>
  <c r="BJ176" i="33" s="1"/>
  <c r="BJ141" i="33"/>
  <c r="DN128" i="33"/>
  <c r="DN174" i="33" s="1"/>
  <c r="DN139" i="33"/>
  <c r="DK129" i="33"/>
  <c r="DK175" i="33" s="1"/>
  <c r="DK140" i="33"/>
  <c r="CY125" i="33"/>
  <c r="CY171" i="33" s="1"/>
  <c r="CY136" i="33"/>
  <c r="AY125" i="33"/>
  <c r="AY171" i="33" s="1"/>
  <c r="AY136" i="33"/>
  <c r="BG130" i="33"/>
  <c r="BG176" i="33" s="1"/>
  <c r="BG141" i="33"/>
  <c r="CR125" i="33"/>
  <c r="CR171" i="33" s="1"/>
  <c r="CR136" i="33"/>
  <c r="BH153" i="33"/>
  <c r="BH160" i="33" s="1"/>
  <c r="BH161" i="33" s="1"/>
  <c r="BH162" i="33" s="1"/>
  <c r="BH77" i="33"/>
  <c r="BP128" i="33"/>
  <c r="BP174" i="33" s="1"/>
  <c r="BP139" i="33"/>
  <c r="CD124" i="33"/>
  <c r="CD170" i="33" s="1"/>
  <c r="CD135" i="33"/>
  <c r="BA151" i="33"/>
  <c r="BA75" i="33"/>
  <c r="BI126" i="33"/>
  <c r="BI172" i="33" s="1"/>
  <c r="BI137" i="33"/>
  <c r="CX151" i="33"/>
  <c r="CX75" i="33"/>
  <c r="CQ129" i="33"/>
  <c r="CQ175" i="33" s="1"/>
  <c r="CQ140" i="33"/>
  <c r="BB124" i="33"/>
  <c r="BB170" i="33" s="1"/>
  <c r="BB135" i="33"/>
  <c r="BJ129" i="33"/>
  <c r="BJ175" i="33" s="1"/>
  <c r="BJ140" i="33"/>
  <c r="CV124" i="33"/>
  <c r="CV170" i="33" s="1"/>
  <c r="CV135" i="33"/>
  <c r="BK153" i="33"/>
  <c r="BK160" i="33" s="1"/>
  <c r="BK161" i="33" s="1"/>
  <c r="BK162" i="33" s="1"/>
  <c r="BK77" i="33"/>
  <c r="BS128" i="33"/>
  <c r="BS174" i="33" s="1"/>
  <c r="BS139" i="33"/>
  <c r="DR124" i="33"/>
  <c r="DR170" i="33" s="1"/>
  <c r="DR135" i="33"/>
  <c r="DG121" i="33"/>
  <c r="DG167" i="33" s="1"/>
  <c r="DG132" i="33"/>
  <c r="DR127" i="33"/>
  <c r="DR173" i="33" s="1"/>
  <c r="DR138" i="33"/>
  <c r="CU128" i="33"/>
  <c r="CU174" i="33" s="1"/>
  <c r="CU139" i="33"/>
  <c r="DG125" i="33"/>
  <c r="DG171" i="33" s="1"/>
  <c r="DG136" i="33"/>
  <c r="CS124" i="33"/>
  <c r="CS170" i="33" s="1"/>
  <c r="CS135" i="33"/>
  <c r="BH122" i="33"/>
  <c r="BH168" i="33" s="1"/>
  <c r="BH133" i="33"/>
  <c r="BP127" i="33"/>
  <c r="BP173" i="33" s="1"/>
  <c r="BP138" i="33"/>
  <c r="CE153" i="33"/>
  <c r="CE77" i="33"/>
  <c r="DP125" i="33"/>
  <c r="DP171" i="33" s="1"/>
  <c r="DP136" i="33"/>
  <c r="BI125" i="33"/>
  <c r="BI171" i="33" s="1"/>
  <c r="BI136" i="33"/>
  <c r="BQ130" i="33"/>
  <c r="BQ176" i="33" s="1"/>
  <c r="BQ141" i="33"/>
  <c r="CD126" i="33"/>
  <c r="CD172" i="33" s="1"/>
  <c r="CD137" i="33"/>
  <c r="BB153" i="33"/>
  <c r="BB77" i="33"/>
  <c r="BJ128" i="33"/>
  <c r="BJ174" i="33" s="1"/>
  <c r="BJ139" i="33"/>
  <c r="CW123" i="33"/>
  <c r="CW169" i="33" s="1"/>
  <c r="CW134" i="33"/>
  <c r="BK122" i="33"/>
  <c r="BK168" i="33" s="1"/>
  <c r="BK133" i="33"/>
  <c r="BS127" i="33"/>
  <c r="BS173" i="33" s="1"/>
  <c r="BS138" i="33"/>
  <c r="CN130" i="33"/>
  <c r="CN176" i="33" s="1"/>
  <c r="CN141" i="33"/>
  <c r="DH127" i="33"/>
  <c r="DH173" i="33" s="1"/>
  <c r="DH138" i="33"/>
  <c r="DN123" i="33"/>
  <c r="DN169" i="33" s="1"/>
  <c r="DN134" i="33"/>
  <c r="DY129" i="33"/>
  <c r="DY175" i="33" s="1"/>
  <c r="DY140" i="33"/>
  <c r="DK121" i="33"/>
  <c r="DK167" i="33" s="1"/>
  <c r="DK132" i="33"/>
  <c r="CS123" i="33"/>
  <c r="CS169" i="33" s="1"/>
  <c r="CS134" i="33"/>
  <c r="AY153" i="33"/>
  <c r="AY77" i="33"/>
  <c r="BG128" i="33"/>
  <c r="BG174" i="33" s="1"/>
  <c r="BG139" i="33"/>
  <c r="CT123" i="33"/>
  <c r="CT169" i="33" s="1"/>
  <c r="CT134" i="33"/>
  <c r="BH121" i="33"/>
  <c r="BH167" i="33" s="1"/>
  <c r="BH132" i="33"/>
  <c r="BP126" i="33"/>
  <c r="BP172" i="33" s="1"/>
  <c r="BP137" i="33"/>
  <c r="CF152" i="33"/>
  <c r="CF76" i="33"/>
  <c r="CP130" i="33"/>
  <c r="CP176" i="33" s="1"/>
  <c r="CP141" i="33"/>
  <c r="BI124" i="33"/>
  <c r="BI170" i="33" s="1"/>
  <c r="BI135" i="33"/>
  <c r="BQ129" i="33"/>
  <c r="BQ175" i="33" s="1"/>
  <c r="BQ140" i="33"/>
  <c r="CD125" i="33"/>
  <c r="CD171" i="33" s="1"/>
  <c r="CD136" i="33"/>
  <c r="BB122" i="33"/>
  <c r="BB168" i="33" s="1"/>
  <c r="BB133" i="33"/>
  <c r="BJ127" i="33"/>
  <c r="BJ173" i="33" s="1"/>
  <c r="BJ138" i="33"/>
  <c r="CX152" i="33"/>
  <c r="CX76" i="33"/>
  <c r="BK121" i="33"/>
  <c r="BK167" i="33" s="1"/>
  <c r="BK132" i="33"/>
  <c r="BS126" i="33"/>
  <c r="BS172" i="33" s="1"/>
  <c r="BS137" i="33"/>
  <c r="CJ126" i="33"/>
  <c r="CJ172" i="33" s="1"/>
  <c r="CJ137" i="33"/>
  <c r="DL123" i="33"/>
  <c r="DL169" i="33" s="1"/>
  <c r="DL134" i="33"/>
  <c r="CJ129" i="33"/>
  <c r="CJ175" i="33" s="1"/>
  <c r="CJ140" i="33"/>
  <c r="DU125" i="33"/>
  <c r="DU171" i="33" s="1"/>
  <c r="DU136" i="33"/>
  <c r="CG127" i="33"/>
  <c r="CG173" i="33" s="1"/>
  <c r="CG138" i="33"/>
  <c r="BK130" i="33"/>
  <c r="BK176" i="33" s="1"/>
  <c r="BK141" i="33"/>
  <c r="CV125" i="33"/>
  <c r="CV171" i="33" s="1"/>
  <c r="CV136" i="33"/>
  <c r="CH128" i="33"/>
  <c r="CH174" i="33" s="1"/>
  <c r="CH139" i="33"/>
  <c r="DS123" i="33"/>
  <c r="DS169" i="33" s="1"/>
  <c r="DS134" i="33"/>
  <c r="DV128" i="33"/>
  <c r="DV174" i="33" s="1"/>
  <c r="DV139" i="33"/>
  <c r="CP129" i="33"/>
  <c r="CP175" i="33" s="1"/>
  <c r="CP140" i="33"/>
  <c r="EA124" i="33"/>
  <c r="EA170" i="33" s="1"/>
  <c r="EA135" i="33"/>
  <c r="DE130" i="33"/>
  <c r="DE176" i="33" s="1"/>
  <c r="DE141" i="33"/>
  <c r="DS125" i="33"/>
  <c r="DS171" i="33" s="1"/>
  <c r="DS136" i="33"/>
  <c r="DV130" i="33"/>
  <c r="DV176" i="33" s="1"/>
  <c r="DV141" i="33"/>
  <c r="DH121" i="33"/>
  <c r="DH167" i="33" s="1"/>
  <c r="DH132" i="33"/>
  <c r="DS126" i="33"/>
  <c r="DS172" i="33" s="1"/>
  <c r="DS137" i="33"/>
  <c r="CV126" i="33"/>
  <c r="CV172" i="33" s="1"/>
  <c r="CV137" i="33"/>
  <c r="DH122" i="33"/>
  <c r="DH168" i="33" s="1"/>
  <c r="DH133" i="33"/>
  <c r="DS127" i="33"/>
  <c r="DS173" i="33" s="1"/>
  <c r="DS138" i="33"/>
  <c r="CV127" i="33"/>
  <c r="CV173" i="33" s="1"/>
  <c r="CV138" i="33"/>
  <c r="DH123" i="33"/>
  <c r="DH169" i="33" s="1"/>
  <c r="DH134" i="33"/>
  <c r="DS128" i="33"/>
  <c r="DS174" i="33" s="1"/>
  <c r="DS139" i="33"/>
  <c r="CV128" i="33"/>
  <c r="CV174" i="33" s="1"/>
  <c r="CV139" i="33"/>
  <c r="DH124" i="33"/>
  <c r="DH170" i="33" s="1"/>
  <c r="DH135" i="33"/>
  <c r="DS129" i="33"/>
  <c r="DS175" i="33" s="1"/>
  <c r="DS140" i="33"/>
  <c r="CW124" i="33"/>
  <c r="CW170" i="33" s="1"/>
  <c r="CW135" i="33"/>
  <c r="CI127" i="33"/>
  <c r="CI173" i="33" s="1"/>
  <c r="CI138" i="33"/>
  <c r="DT122" i="33"/>
  <c r="DT168" i="33" s="1"/>
  <c r="DT133" i="33"/>
  <c r="DW127" i="33"/>
  <c r="DW173" i="33" s="1"/>
  <c r="DW138" i="33"/>
  <c r="CQ128" i="33"/>
  <c r="CQ174" i="33" s="1"/>
  <c r="CQ139" i="33"/>
  <c r="EB123" i="33"/>
  <c r="EB169" i="33" s="1"/>
  <c r="EB134" i="33"/>
  <c r="DF129" i="33"/>
  <c r="DF175" i="33" s="1"/>
  <c r="DF140" i="33"/>
  <c r="DT124" i="33"/>
  <c r="DT170" i="33" s="1"/>
  <c r="DT135" i="33"/>
  <c r="DW129" i="33"/>
  <c r="DW175" i="33" s="1"/>
  <c r="DW140" i="33"/>
  <c r="CI130" i="33"/>
  <c r="CI176" i="33" s="1"/>
  <c r="CI141" i="33"/>
  <c r="DT125" i="33"/>
  <c r="DT171" i="33" s="1"/>
  <c r="DT136" i="33"/>
  <c r="DW130" i="33"/>
  <c r="DW176" i="33" s="1"/>
  <c r="DW141" i="33"/>
  <c r="DI121" i="33"/>
  <c r="DI167" i="33" s="1"/>
  <c r="DI132" i="33"/>
  <c r="DT126" i="33"/>
  <c r="DT172" i="33" s="1"/>
  <c r="DT137" i="33"/>
  <c r="CW126" i="33"/>
  <c r="CW172" i="33" s="1"/>
  <c r="CW137" i="33"/>
  <c r="DI122" i="33"/>
  <c r="DI168" i="33" s="1"/>
  <c r="DI133" i="33"/>
  <c r="DT127" i="33"/>
  <c r="DT173" i="33" s="1"/>
  <c r="DT138" i="33"/>
  <c r="CW127" i="33"/>
  <c r="CW173" i="33" s="1"/>
  <c r="CW138" i="33"/>
  <c r="DI123" i="33"/>
  <c r="DI169" i="33" s="1"/>
  <c r="DI134" i="33"/>
  <c r="DT128" i="33"/>
  <c r="DT174" i="33" s="1"/>
  <c r="DT139" i="33"/>
  <c r="CQ122" i="33"/>
  <c r="CQ168" i="33" s="1"/>
  <c r="CQ133" i="33"/>
  <c r="DI124" i="33"/>
  <c r="DI170" i="33" s="1"/>
  <c r="DI135" i="33"/>
  <c r="CF130" i="33"/>
  <c r="CF176" i="33" s="1"/>
  <c r="CF141" i="33"/>
  <c r="DQ125" i="33"/>
  <c r="DQ171" i="33" s="1"/>
  <c r="DQ136" i="33"/>
  <c r="EB130" i="33"/>
  <c r="EB176" i="33" s="1"/>
  <c r="EB141" i="33"/>
  <c r="DN121" i="33"/>
  <c r="DN167" i="33" s="1"/>
  <c r="DN132" i="33"/>
  <c r="DY126" i="33"/>
  <c r="DY172" i="33" s="1"/>
  <c r="DY137" i="33"/>
  <c r="DF122" i="33"/>
  <c r="DF168" i="33" s="1"/>
  <c r="DF133" i="33"/>
  <c r="DQ127" i="33"/>
  <c r="DQ173" i="33" s="1"/>
  <c r="DQ138" i="33"/>
  <c r="CT127" i="33"/>
  <c r="CT173" i="33" s="1"/>
  <c r="CT138" i="33"/>
  <c r="DF123" i="33"/>
  <c r="DF169" i="33" s="1"/>
  <c r="DF134" i="33"/>
  <c r="DQ128" i="33"/>
  <c r="DQ174" i="33" s="1"/>
  <c r="DQ139" i="33"/>
  <c r="CT128" i="33"/>
  <c r="CT174" i="33" s="1"/>
  <c r="CT139" i="33"/>
  <c r="DF124" i="33"/>
  <c r="DF170" i="33" s="1"/>
  <c r="DF135" i="33"/>
  <c r="DQ129" i="33"/>
  <c r="DQ175" i="33" s="1"/>
  <c r="DQ140" i="33"/>
  <c r="CT129" i="33"/>
  <c r="CT175" i="33" s="1"/>
  <c r="CT140" i="33"/>
  <c r="DF125" i="33"/>
  <c r="DF171" i="33" s="1"/>
  <c r="DF136" i="33"/>
  <c r="DQ130" i="33"/>
  <c r="DQ176" i="33" s="1"/>
  <c r="DQ141" i="33"/>
  <c r="CT130" i="33"/>
  <c r="CT176" i="33" s="1"/>
  <c r="CT141" i="33"/>
  <c r="DF126" i="33"/>
  <c r="DF172" i="33" s="1"/>
  <c r="DF137" i="33"/>
  <c r="D263" i="33"/>
  <c r="O260" i="33"/>
  <c r="J201" i="33"/>
  <c r="D201" i="33" s="1"/>
  <c r="V198" i="33"/>
  <c r="W198" i="33" s="1"/>
  <c r="V199" i="33"/>
  <c r="W199" i="33" s="1"/>
  <c r="BC160" i="33" l="1"/>
  <c r="BC161" i="33" s="1"/>
  <c r="BC162" i="33" s="1"/>
  <c r="BE160" i="33"/>
  <c r="BE161" i="33" s="1"/>
  <c r="BE162" i="33" s="1"/>
  <c r="AX160" i="33"/>
  <c r="AX161" i="33" s="1"/>
  <c r="AX162" i="33" s="1"/>
  <c r="T208" i="33"/>
  <c r="X207" i="33" s="1"/>
  <c r="D207" i="33"/>
  <c r="BD160" i="33"/>
  <c r="BD161" i="33" s="1"/>
  <c r="BD162" i="33" s="1"/>
  <c r="D265" i="33"/>
  <c r="D289" i="33" s="1"/>
  <c r="BA160" i="33"/>
  <c r="BA161" i="33" s="1"/>
  <c r="BA162" i="33" s="1"/>
  <c r="CM178" i="33"/>
  <c r="DG178" i="33"/>
  <c r="AW160" i="33"/>
  <c r="AW161" i="33" s="1"/>
  <c r="AW162" i="33" s="1"/>
  <c r="DZ178" i="33"/>
  <c r="AZ160" i="33"/>
  <c r="AZ161" i="33" s="1"/>
  <c r="AZ162" i="33" s="1"/>
  <c r="O257" i="33"/>
  <c r="DI178" i="33"/>
  <c r="DM178" i="33"/>
  <c r="CQ178" i="33"/>
  <c r="DS144" i="33"/>
  <c r="DS142" i="33"/>
  <c r="DS145" i="33"/>
  <c r="DS143" i="33"/>
  <c r="CE122" i="33"/>
  <c r="CE168" i="33" s="1"/>
  <c r="CE133" i="33"/>
  <c r="CH122" i="33"/>
  <c r="CH168" i="33" s="1"/>
  <c r="CH133" i="33"/>
  <c r="CN143" i="33"/>
  <c r="CN144" i="33"/>
  <c r="CN145" i="33"/>
  <c r="CN142" i="33"/>
  <c r="DJ144" i="33"/>
  <c r="DJ143" i="33"/>
  <c r="DJ142" i="33"/>
  <c r="DJ145" i="33"/>
  <c r="BJ123" i="33"/>
  <c r="BJ169" i="33" s="1"/>
  <c r="BJ134" i="33"/>
  <c r="BJ142" i="33" s="1"/>
  <c r="CF123" i="33"/>
  <c r="CF169" i="33" s="1"/>
  <c r="CF134" i="33"/>
  <c r="CC121" i="33"/>
  <c r="CC167" i="33" s="1"/>
  <c r="CC132" i="33"/>
  <c r="DH143" i="33"/>
  <c r="DH144" i="33"/>
  <c r="DH142" i="33"/>
  <c r="DH145" i="33"/>
  <c r="DK144" i="33"/>
  <c r="DK143" i="33"/>
  <c r="DK145" i="33"/>
  <c r="DK142" i="33"/>
  <c r="BK123" i="33"/>
  <c r="BK169" i="33" s="1"/>
  <c r="BK134" i="33"/>
  <c r="BK144" i="33" s="1"/>
  <c r="BR123" i="33"/>
  <c r="BR169" i="33" s="1"/>
  <c r="BR134" i="33"/>
  <c r="CY121" i="33"/>
  <c r="CY167" i="33" s="1"/>
  <c r="CY132" i="33"/>
  <c r="CX123" i="33"/>
  <c r="CX169" i="33" s="1"/>
  <c r="CX134" i="33"/>
  <c r="CG122" i="33"/>
  <c r="CG168" i="33" s="1"/>
  <c r="CG133" i="33"/>
  <c r="CV121" i="33"/>
  <c r="CV167" i="33" s="1"/>
  <c r="CV132" i="33"/>
  <c r="BN121" i="33"/>
  <c r="BN167" i="33" s="1"/>
  <c r="BN132" i="33"/>
  <c r="BD123" i="33"/>
  <c r="BD169" i="33" s="1"/>
  <c r="BD134" i="33"/>
  <c r="DX142" i="33"/>
  <c r="DX145" i="33"/>
  <c r="DX144" i="33"/>
  <c r="DX143" i="33"/>
  <c r="EA142" i="33"/>
  <c r="EA143" i="33"/>
  <c r="EA145" i="33"/>
  <c r="EA144" i="33"/>
  <c r="BA123" i="33"/>
  <c r="BA169" i="33" s="1"/>
  <c r="BA134" i="33"/>
  <c r="DV143" i="33"/>
  <c r="DV142" i="33"/>
  <c r="DV145" i="33"/>
  <c r="DV144" i="33"/>
  <c r="CC122" i="33"/>
  <c r="CC168" i="33" s="1"/>
  <c r="CC133" i="33"/>
  <c r="BM123" i="33"/>
  <c r="BM169" i="33" s="1"/>
  <c r="BM134" i="33"/>
  <c r="BM143" i="33" s="1"/>
  <c r="DS178" i="33"/>
  <c r="DR178" i="33"/>
  <c r="CS178" i="33"/>
  <c r="AV160" i="33"/>
  <c r="AV161" i="33" s="1"/>
  <c r="AV162" i="33" s="1"/>
  <c r="BF160" i="33"/>
  <c r="BF161" i="33" s="1"/>
  <c r="BF162" i="33" s="1"/>
  <c r="DT178" i="33"/>
  <c r="DP178" i="33"/>
  <c r="DL178" i="33"/>
  <c r="DN178" i="33"/>
  <c r="DH178" i="33"/>
  <c r="DK178" i="33"/>
  <c r="DO178" i="33"/>
  <c r="BN160" i="33"/>
  <c r="BN161" i="33" s="1"/>
  <c r="BN162" i="33" s="1"/>
  <c r="DX178" i="33"/>
  <c r="EA178" i="33"/>
  <c r="DE178" i="33"/>
  <c r="DV178" i="33"/>
  <c r="DQ143" i="33"/>
  <c r="DQ144" i="33"/>
  <c r="DQ145" i="33"/>
  <c r="DQ142" i="33"/>
  <c r="DW144" i="33"/>
  <c r="DW145" i="33"/>
  <c r="DW143" i="33"/>
  <c r="DW142" i="33"/>
  <c r="DF144" i="33"/>
  <c r="DF145" i="33"/>
  <c r="DF143" i="33"/>
  <c r="DF142" i="33"/>
  <c r="EB143" i="33"/>
  <c r="EB145" i="33"/>
  <c r="EB144" i="33"/>
  <c r="EB142" i="33"/>
  <c r="CF121" i="33"/>
  <c r="CF167" i="33" s="1"/>
  <c r="CF132" i="33"/>
  <c r="CY122" i="33"/>
  <c r="CY168" i="33" s="1"/>
  <c r="CY133" i="33"/>
  <c r="BQ123" i="33"/>
  <c r="BQ169" i="33" s="1"/>
  <c r="BQ134" i="33"/>
  <c r="CO144" i="33"/>
  <c r="CO145" i="33"/>
  <c r="CO142" i="33"/>
  <c r="CO143" i="33"/>
  <c r="CC123" i="33"/>
  <c r="CC169" i="33" s="1"/>
  <c r="CC134" i="33"/>
  <c r="AX123" i="33"/>
  <c r="AX169" i="33" s="1"/>
  <c r="AX134" i="33"/>
  <c r="CP144" i="33"/>
  <c r="CP142" i="33"/>
  <c r="CP143" i="33"/>
  <c r="CP145" i="33"/>
  <c r="AW123" i="33"/>
  <c r="AW169" i="33" s="1"/>
  <c r="AW134" i="33"/>
  <c r="CJ122" i="33"/>
  <c r="CJ168" i="33" s="1"/>
  <c r="CJ133" i="33"/>
  <c r="DY143" i="33"/>
  <c r="DY145" i="33"/>
  <c r="DY142" i="33"/>
  <c r="DY144" i="33"/>
  <c r="CH121" i="33"/>
  <c r="CH167" i="33" s="1"/>
  <c r="CH132" i="33"/>
  <c r="AY121" i="33"/>
  <c r="AY167" i="33" s="1"/>
  <c r="AY132" i="33"/>
  <c r="BE123" i="33"/>
  <c r="BE169" i="33" s="1"/>
  <c r="BE134" i="33"/>
  <c r="CB123" i="33"/>
  <c r="CB169" i="33" s="1"/>
  <c r="CB134" i="33"/>
  <c r="BB160" i="33"/>
  <c r="BB161" i="33" s="1"/>
  <c r="BB162" i="33" s="1"/>
  <c r="CL178" i="33"/>
  <c r="CR178" i="33"/>
  <c r="CI122" i="33"/>
  <c r="CI168" i="33" s="1"/>
  <c r="CI133" i="33"/>
  <c r="DR142" i="33"/>
  <c r="DR143" i="33"/>
  <c r="DR144" i="33"/>
  <c r="DR145" i="33"/>
  <c r="CE121" i="33"/>
  <c r="CE167" i="33" s="1"/>
  <c r="CE132" i="33"/>
  <c r="CI121" i="33"/>
  <c r="CI167" i="33" s="1"/>
  <c r="CI132" i="33"/>
  <c r="CD123" i="33"/>
  <c r="CD169" i="33" s="1"/>
  <c r="CD134" i="33"/>
  <c r="CS143" i="33"/>
  <c r="CS144" i="33"/>
  <c r="CS142" i="33"/>
  <c r="CS145" i="33"/>
  <c r="AV121" i="33"/>
  <c r="AV167" i="33" s="1"/>
  <c r="AV132" i="33"/>
  <c r="BF121" i="33"/>
  <c r="BF167" i="33" s="1"/>
  <c r="BF132" i="33"/>
  <c r="DT144" i="33"/>
  <c r="DT143" i="33"/>
  <c r="DT145" i="33"/>
  <c r="DT142" i="33"/>
  <c r="BN123" i="33"/>
  <c r="BN169" i="33" s="1"/>
  <c r="BN134" i="33"/>
  <c r="BI123" i="33"/>
  <c r="BI169" i="33" s="1"/>
  <c r="BI134" i="33"/>
  <c r="BI143" i="33" s="1"/>
  <c r="AW121" i="33"/>
  <c r="AW167" i="33" s="1"/>
  <c r="AW132" i="33"/>
  <c r="CB122" i="33"/>
  <c r="CB168" i="33" s="1"/>
  <c r="CB133" i="33"/>
  <c r="DP144" i="33"/>
  <c r="DP142" i="33"/>
  <c r="DP145" i="33"/>
  <c r="DP143" i="33"/>
  <c r="DU145" i="33"/>
  <c r="DU143" i="33"/>
  <c r="DU142" i="33"/>
  <c r="DU144" i="33"/>
  <c r="DL143" i="33"/>
  <c r="DL142" i="33"/>
  <c r="DL144" i="33"/>
  <c r="DL145" i="33"/>
  <c r="W200" i="33"/>
  <c r="D203" i="33" s="1"/>
  <c r="DN143" i="33"/>
  <c r="DN142" i="33"/>
  <c r="DN144" i="33"/>
  <c r="DN145" i="33"/>
  <c r="CX122" i="33"/>
  <c r="CX168" i="33" s="1"/>
  <c r="CX133" i="33"/>
  <c r="AY123" i="33"/>
  <c r="AY169" i="33" s="1"/>
  <c r="AY134" i="33"/>
  <c r="CE123" i="33"/>
  <c r="CE169" i="33" s="1"/>
  <c r="CE134" i="33"/>
  <c r="BH123" i="33"/>
  <c r="BH169" i="33" s="1"/>
  <c r="BH134" i="33"/>
  <c r="BH143" i="33" s="1"/>
  <c r="CG123" i="33"/>
  <c r="CG169" i="33" s="1"/>
  <c r="CG134" i="33"/>
  <c r="AX121" i="33"/>
  <c r="AX167" i="33" s="1"/>
  <c r="AX132" i="33"/>
  <c r="BD121" i="33"/>
  <c r="BD167" i="33" s="1"/>
  <c r="BD132" i="33"/>
  <c r="DO143" i="33"/>
  <c r="DO142" i="33"/>
  <c r="DO145" i="33"/>
  <c r="DO144" i="33"/>
  <c r="BP123" i="33"/>
  <c r="BP169" i="33" s="1"/>
  <c r="BP134" i="33"/>
  <c r="AZ123" i="33"/>
  <c r="AZ169" i="33" s="1"/>
  <c r="AZ134" i="33"/>
  <c r="CB121" i="33"/>
  <c r="CB167" i="33" s="1"/>
  <c r="CB132" i="33"/>
  <c r="DE143" i="33"/>
  <c r="DE145" i="33"/>
  <c r="DE142" i="33"/>
  <c r="DE144" i="33"/>
  <c r="BO123" i="33"/>
  <c r="BO169" i="33" s="1"/>
  <c r="BO134" i="33"/>
  <c r="BC123" i="33"/>
  <c r="BC169" i="33" s="1"/>
  <c r="BC134" i="33"/>
  <c r="BE121" i="33"/>
  <c r="BE167" i="33" s="1"/>
  <c r="BE132" i="33"/>
  <c r="CN178" i="33"/>
  <c r="DJ178" i="33"/>
  <c r="DU178" i="33"/>
  <c r="DI143" i="33"/>
  <c r="DI145" i="33"/>
  <c r="DI144" i="33"/>
  <c r="DI142" i="33"/>
  <c r="CF122" i="33"/>
  <c r="CF168" i="33" s="1"/>
  <c r="CF133" i="33"/>
  <c r="BB123" i="33"/>
  <c r="BB169" i="33" s="1"/>
  <c r="BB134" i="33"/>
  <c r="DG144" i="33"/>
  <c r="DG145" i="33"/>
  <c r="DG143" i="33"/>
  <c r="DG142" i="33"/>
  <c r="CX121" i="33"/>
  <c r="CX167" i="33" s="1"/>
  <c r="CX132" i="33"/>
  <c r="BA121" i="33"/>
  <c r="BA167" i="33" s="1"/>
  <c r="BA132" i="33"/>
  <c r="CM144" i="33"/>
  <c r="CM143" i="33"/>
  <c r="CM142" i="33"/>
  <c r="CM145" i="33"/>
  <c r="BL123" i="33"/>
  <c r="BL169" i="33" s="1"/>
  <c r="BL134" i="33"/>
  <c r="BL142" i="33" s="1"/>
  <c r="CD121" i="33"/>
  <c r="CD167" i="33" s="1"/>
  <c r="CD132" i="33"/>
  <c r="CT121" i="33"/>
  <c r="CT167" i="33" s="1"/>
  <c r="CT132" i="33"/>
  <c r="BB121" i="33"/>
  <c r="BB167" i="33" s="1"/>
  <c r="BB132" i="33"/>
  <c r="CG121" i="33"/>
  <c r="CG167" i="33" s="1"/>
  <c r="CG132" i="33"/>
  <c r="CD122" i="33"/>
  <c r="CD168" i="33" s="1"/>
  <c r="CD133" i="33"/>
  <c r="DM145" i="33"/>
  <c r="DM144" i="33"/>
  <c r="DM143" i="33"/>
  <c r="DM142" i="33"/>
  <c r="CJ121" i="33"/>
  <c r="CJ167" i="33" s="1"/>
  <c r="CJ132" i="33"/>
  <c r="CU121" i="33"/>
  <c r="CU167" i="33" s="1"/>
  <c r="CU132" i="33"/>
  <c r="DZ144" i="33"/>
  <c r="DZ145" i="33"/>
  <c r="DZ142" i="33"/>
  <c r="DZ143" i="33"/>
  <c r="CQ145" i="33"/>
  <c r="CQ144" i="33"/>
  <c r="CQ143" i="33"/>
  <c r="CQ142" i="33"/>
  <c r="BC121" i="33"/>
  <c r="BC167" i="33" s="1"/>
  <c r="BC132" i="33"/>
  <c r="CW121" i="33"/>
  <c r="CW167" i="33" s="1"/>
  <c r="CW132" i="33"/>
  <c r="AZ121" i="33"/>
  <c r="AZ167" i="33" s="1"/>
  <c r="AZ132" i="33"/>
  <c r="CV122" i="33"/>
  <c r="CV168" i="33" s="1"/>
  <c r="CV133" i="33"/>
  <c r="BG123" i="33"/>
  <c r="BG169" i="33" s="1"/>
  <c r="BG134" i="33"/>
  <c r="BG142" i="33" s="1"/>
  <c r="CL143" i="33"/>
  <c r="CL142" i="33"/>
  <c r="CL144" i="33"/>
  <c r="CL145" i="33"/>
  <c r="CK121" i="33"/>
  <c r="CK167" i="33" s="1"/>
  <c r="CK132" i="33"/>
  <c r="BP121" i="33"/>
  <c r="BP167" i="33" s="1"/>
  <c r="BP132" i="33"/>
  <c r="CY123" i="33"/>
  <c r="CY169" i="33" s="1"/>
  <c r="CY134" i="33"/>
  <c r="AV123" i="33"/>
  <c r="AV169" i="33" s="1"/>
  <c r="AV134" i="33"/>
  <c r="BF123" i="33"/>
  <c r="BF169" i="33" s="1"/>
  <c r="BF134" i="33"/>
  <c r="CR145" i="33"/>
  <c r="CR144" i="33"/>
  <c r="CR143" i="33"/>
  <c r="CR142" i="33"/>
  <c r="BS123" i="33"/>
  <c r="BS169" i="33" s="1"/>
  <c r="BS134" i="33"/>
  <c r="CW122" i="33"/>
  <c r="CW168" i="33" s="1"/>
  <c r="CW133" i="33"/>
  <c r="CK122" i="33"/>
  <c r="CK168" i="33" s="1"/>
  <c r="CK133" i="33"/>
  <c r="DQ178" i="33"/>
  <c r="DW178" i="33"/>
  <c r="DF178" i="33"/>
  <c r="EB178" i="33"/>
  <c r="CO178" i="33"/>
  <c r="CP178" i="33"/>
  <c r="DY178" i="33"/>
  <c r="AY160" i="33"/>
  <c r="AY161" i="33" s="1"/>
  <c r="AY162" i="33" s="1"/>
  <c r="X27" i="24"/>
  <c r="W27" i="24"/>
  <c r="V27" i="24"/>
  <c r="U27" i="24"/>
  <c r="T27" i="24"/>
  <c r="J27" i="24"/>
  <c r="I27" i="24"/>
  <c r="H27" i="24"/>
  <c r="G27" i="24"/>
  <c r="B27" i="24"/>
  <c r="Y27" i="24"/>
  <c r="BR64" i="33"/>
  <c r="BS64" i="33"/>
  <c r="BQ64" i="33"/>
  <c r="BO64" i="33"/>
  <c r="BP65" i="33"/>
  <c r="BO65" i="33"/>
  <c r="BP76" i="33" l="1"/>
  <c r="BP152" i="33"/>
  <c r="BP160" i="33" s="1"/>
  <c r="BP161" i="33" s="1"/>
  <c r="BP162" i="33" s="1"/>
  <c r="BO76" i="33"/>
  <c r="BO122" i="33" s="1"/>
  <c r="BO168" i="33" s="1"/>
  <c r="BO152" i="33"/>
  <c r="BJ143" i="33"/>
  <c r="BM178" i="33"/>
  <c r="X209" i="33"/>
  <c r="Z209" i="33" s="1"/>
  <c r="X208" i="33"/>
  <c r="BI142" i="33"/>
  <c r="BM145" i="33"/>
  <c r="BM142" i="33"/>
  <c r="BM144" i="33"/>
  <c r="BI144" i="33"/>
  <c r="BN145" i="33"/>
  <c r="BE178" i="33"/>
  <c r="BG178" i="33"/>
  <c r="AW178" i="33"/>
  <c r="CH178" i="33"/>
  <c r="BD178" i="33"/>
  <c r="BH178" i="33"/>
  <c r="CI178" i="33"/>
  <c r="BK178" i="33"/>
  <c r="BJ178" i="33"/>
  <c r="CU178" i="33"/>
  <c r="CT178" i="33"/>
  <c r="BL178" i="33"/>
  <c r="BI178" i="33"/>
  <c r="CB178" i="33"/>
  <c r="AZ178" i="33"/>
  <c r="CJ178" i="33"/>
  <c r="AX178" i="33"/>
  <c r="BR75" i="33"/>
  <c r="BR151" i="33"/>
  <c r="BR160" i="33" s="1"/>
  <c r="BR161" i="33" s="1"/>
  <c r="BR162" i="33" s="1"/>
  <c r="BH144" i="33"/>
  <c r="BJ145" i="33"/>
  <c r="BJ144" i="33"/>
  <c r="BB178" i="33"/>
  <c r="BK145" i="33"/>
  <c r="BK143" i="33"/>
  <c r="BP122" i="33"/>
  <c r="BP168" i="33" s="1"/>
  <c r="BP133" i="33"/>
  <c r="BP145" i="33" s="1"/>
  <c r="BK142" i="33"/>
  <c r="BO151" i="33"/>
  <c r="BO160" i="33" s="1"/>
  <c r="BO161" i="33" s="1"/>
  <c r="BO162" i="33" s="1"/>
  <c r="BO75" i="33"/>
  <c r="BQ151" i="33"/>
  <c r="BQ160" i="33" s="1"/>
  <c r="BQ161" i="33" s="1"/>
  <c r="BQ162" i="33" s="1"/>
  <c r="BQ75" i="33"/>
  <c r="CR146" i="33"/>
  <c r="CL146" i="33"/>
  <c r="BS151" i="33"/>
  <c r="BS160" i="33" s="1"/>
  <c r="BS161" i="33" s="1"/>
  <c r="BS162" i="33" s="1"/>
  <c r="BS75" i="33"/>
  <c r="BG145" i="33"/>
  <c r="EA146" i="33"/>
  <c r="DX146" i="33"/>
  <c r="CY178" i="33"/>
  <c r="CK178" i="33"/>
  <c r="CX178" i="33"/>
  <c r="DO146" i="33"/>
  <c r="AV178" i="33"/>
  <c r="DR146" i="33"/>
  <c r="BG143" i="33"/>
  <c r="CK144" i="33"/>
  <c r="CK145" i="33"/>
  <c r="CK142" i="33"/>
  <c r="CK143" i="33"/>
  <c r="CJ143" i="33"/>
  <c r="CJ145" i="33"/>
  <c r="CJ142" i="33"/>
  <c r="CG142" i="33"/>
  <c r="CG145" i="33"/>
  <c r="CG144" i="33"/>
  <c r="CG143" i="33"/>
  <c r="CX142" i="33"/>
  <c r="CX144" i="33"/>
  <c r="CX145" i="33"/>
  <c r="CX143" i="33"/>
  <c r="AY145" i="33"/>
  <c r="AY142" i="33"/>
  <c r="AY143" i="33"/>
  <c r="AY144" i="33"/>
  <c r="BL144" i="33"/>
  <c r="CF145" i="33"/>
  <c r="CF142" i="33"/>
  <c r="CF144" i="33"/>
  <c r="CF143" i="33"/>
  <c r="BH142" i="33"/>
  <c r="DT146" i="33"/>
  <c r="CE144" i="33"/>
  <c r="CE145" i="33"/>
  <c r="CE142" i="33"/>
  <c r="CE143" i="33"/>
  <c r="AY178" i="33"/>
  <c r="DY146" i="33"/>
  <c r="BL145" i="33"/>
  <c r="CO146" i="33"/>
  <c r="DK146" i="33"/>
  <c r="CC144" i="33"/>
  <c r="CC145" i="33"/>
  <c r="CC143" i="33"/>
  <c r="CC142" i="33"/>
  <c r="CN146" i="33"/>
  <c r="AZ142" i="33"/>
  <c r="AZ144" i="33"/>
  <c r="AZ143" i="33"/>
  <c r="AZ145" i="33"/>
  <c r="BC143" i="33"/>
  <c r="BC144" i="33"/>
  <c r="BC142" i="33"/>
  <c r="BC145" i="33"/>
  <c r="CQ146" i="33"/>
  <c r="BG144" i="33"/>
  <c r="CU145" i="33"/>
  <c r="CU142" i="33"/>
  <c r="CU144" i="33"/>
  <c r="CU143" i="33"/>
  <c r="BI145" i="33"/>
  <c r="DM146" i="33"/>
  <c r="BB142" i="33"/>
  <c r="BB144" i="33"/>
  <c r="BB143" i="33"/>
  <c r="BB145" i="33"/>
  <c r="CD143" i="33"/>
  <c r="CD144" i="33"/>
  <c r="CD142" i="33"/>
  <c r="CD145" i="33"/>
  <c r="BA144" i="33"/>
  <c r="BA142" i="33"/>
  <c r="BA143" i="33"/>
  <c r="BA145" i="33"/>
  <c r="DG146" i="33"/>
  <c r="BH145" i="33"/>
  <c r="DI146" i="33"/>
  <c r="BE144" i="33"/>
  <c r="BE145" i="33"/>
  <c r="BE143" i="33"/>
  <c r="BE142" i="33"/>
  <c r="BD144" i="33"/>
  <c r="BD143" i="33"/>
  <c r="BD142" i="33"/>
  <c r="BD145" i="33"/>
  <c r="DN146" i="33"/>
  <c r="DU146" i="33"/>
  <c r="BF178" i="33"/>
  <c r="CS146" i="33"/>
  <c r="CE178" i="33"/>
  <c r="CH142" i="33"/>
  <c r="CH144" i="33"/>
  <c r="CH145" i="33"/>
  <c r="CH143" i="33"/>
  <c r="BL143" i="33"/>
  <c r="AW144" i="33"/>
  <c r="CP146" i="33"/>
  <c r="EB146" i="33"/>
  <c r="DF146" i="33"/>
  <c r="DW146" i="33"/>
  <c r="DQ146" i="33"/>
  <c r="CV178" i="33"/>
  <c r="DH146" i="33"/>
  <c r="CC178" i="33"/>
  <c r="DJ146" i="33"/>
  <c r="CW144" i="33"/>
  <c r="CW142" i="33"/>
  <c r="CW143" i="33"/>
  <c r="CW145" i="33"/>
  <c r="CT144" i="33"/>
  <c r="CT143" i="33"/>
  <c r="CT145" i="33"/>
  <c r="CT142" i="33"/>
  <c r="CB143" i="33"/>
  <c r="CB145" i="33"/>
  <c r="CB142" i="33"/>
  <c r="CB144" i="33"/>
  <c r="AX144" i="33"/>
  <c r="AX145" i="33"/>
  <c r="AX142" i="33"/>
  <c r="AX143" i="33"/>
  <c r="CJ144" i="33"/>
  <c r="BN178" i="33"/>
  <c r="CW178" i="33"/>
  <c r="CG178" i="33"/>
  <c r="DE146" i="33"/>
  <c r="BF143" i="33"/>
  <c r="BF142" i="33"/>
  <c r="BF144" i="33"/>
  <c r="BF145" i="33"/>
  <c r="CF178" i="33"/>
  <c r="DV146" i="33"/>
  <c r="CV143" i="33"/>
  <c r="CV144" i="33"/>
  <c r="CV145" i="33"/>
  <c r="CV142" i="33"/>
  <c r="BC178" i="33"/>
  <c r="DZ146" i="33"/>
  <c r="CD178" i="33"/>
  <c r="CM146" i="33"/>
  <c r="BA178" i="33"/>
  <c r="DL146" i="33"/>
  <c r="DP146" i="33"/>
  <c r="AW143" i="33"/>
  <c r="AW142" i="33"/>
  <c r="AW145" i="33"/>
  <c r="AV144" i="33"/>
  <c r="AV143" i="33"/>
  <c r="AV142" i="33"/>
  <c r="AV145" i="33"/>
  <c r="CI145" i="33"/>
  <c r="CI142" i="33"/>
  <c r="CI144" i="33"/>
  <c r="CI143" i="33"/>
  <c r="BN142" i="33"/>
  <c r="BN143" i="33"/>
  <c r="BN144" i="33"/>
  <c r="CY143" i="33"/>
  <c r="CY145" i="33"/>
  <c r="CY142" i="33"/>
  <c r="CY144" i="33"/>
  <c r="DS146" i="33"/>
  <c r="BS4" i="30"/>
  <c r="BR4" i="30"/>
  <c r="BO5" i="30"/>
  <c r="BO16" i="30" s="1"/>
  <c r="AA69" i="29"/>
  <c r="BP5" i="30"/>
  <c r="BP16" i="30" s="1"/>
  <c r="BO4" i="30"/>
  <c r="AA68" i="29"/>
  <c r="BQ4" i="30"/>
  <c r="AC81" i="26"/>
  <c r="AC80" i="26"/>
  <c r="AC79" i="26"/>
  <c r="AC78" i="26"/>
  <c r="AC77" i="26"/>
  <c r="AC81" i="25"/>
  <c r="AC80" i="25"/>
  <c r="AC79" i="25"/>
  <c r="AC78" i="25"/>
  <c r="AC77" i="25"/>
  <c r="AC81" i="24"/>
  <c r="AC80" i="24"/>
  <c r="AC79" i="24"/>
  <c r="AC78" i="24"/>
  <c r="AC77" i="24"/>
  <c r="AC81" i="18"/>
  <c r="AC80" i="18"/>
  <c r="AC79" i="18"/>
  <c r="AC78" i="18"/>
  <c r="AC77" i="18"/>
  <c r="BO133" i="33" l="1"/>
  <c r="BJ146" i="33"/>
  <c r="BJ148" i="33" s="1"/>
  <c r="CY146" i="33"/>
  <c r="CY147" i="33" s="1"/>
  <c r="CE146" i="33"/>
  <c r="CE148" i="33" s="1"/>
  <c r="CX146" i="33"/>
  <c r="CX147" i="33" s="1"/>
  <c r="AW146" i="33"/>
  <c r="AW148" i="33" s="1"/>
  <c r="CG146" i="33"/>
  <c r="CG148" i="33" s="1"/>
  <c r="AY146" i="33"/>
  <c r="AY148" i="33" s="1"/>
  <c r="AV146" i="33"/>
  <c r="AV147" i="33" s="1"/>
  <c r="CD146" i="33"/>
  <c r="CD148" i="33" s="1"/>
  <c r="CC146" i="33"/>
  <c r="CC147" i="33" s="1"/>
  <c r="CB146" i="33"/>
  <c r="CB148" i="33" s="1"/>
  <c r="CF146" i="33"/>
  <c r="CF147" i="33" s="1"/>
  <c r="AZ146" i="33"/>
  <c r="AZ147" i="33" s="1"/>
  <c r="DS148" i="33"/>
  <c r="DS147" i="33"/>
  <c r="DZ148" i="33"/>
  <c r="DZ147" i="33"/>
  <c r="EB148" i="33"/>
  <c r="EB147" i="33"/>
  <c r="CL148" i="33"/>
  <c r="CL147" i="33"/>
  <c r="DJ148" i="33"/>
  <c r="DJ147" i="33"/>
  <c r="CP148" i="33"/>
  <c r="CP147" i="33"/>
  <c r="CS148" i="33"/>
  <c r="CS147" i="33"/>
  <c r="DK148" i="33"/>
  <c r="DK147" i="33"/>
  <c r="CR148" i="33"/>
  <c r="CR147" i="33"/>
  <c r="CO148" i="33"/>
  <c r="CO147" i="33"/>
  <c r="DT148" i="33"/>
  <c r="DT147" i="33"/>
  <c r="DP148" i="33"/>
  <c r="DP147" i="33"/>
  <c r="DH148" i="33"/>
  <c r="DH147" i="33"/>
  <c r="DU148" i="33"/>
  <c r="DU147" i="33"/>
  <c r="CQ148" i="33"/>
  <c r="CQ147" i="33"/>
  <c r="DX148" i="33"/>
  <c r="DX147" i="33"/>
  <c r="DL148" i="33"/>
  <c r="DL147" i="33"/>
  <c r="DE148" i="33"/>
  <c r="DE147" i="33"/>
  <c r="DN148" i="33"/>
  <c r="DN147" i="33"/>
  <c r="DM148" i="33"/>
  <c r="DM147" i="33"/>
  <c r="CN148" i="33"/>
  <c r="CN147" i="33"/>
  <c r="DY148" i="33"/>
  <c r="DY147" i="33"/>
  <c r="EA148" i="33"/>
  <c r="EA147" i="33"/>
  <c r="DQ148" i="33"/>
  <c r="DQ147" i="33"/>
  <c r="DI148" i="33"/>
  <c r="DI147" i="33"/>
  <c r="DR148" i="33"/>
  <c r="DR147" i="33"/>
  <c r="CM148" i="33"/>
  <c r="CM147" i="33"/>
  <c r="DV148" i="33"/>
  <c r="DV147" i="33"/>
  <c r="DW148" i="33"/>
  <c r="DW147" i="33"/>
  <c r="BJ147" i="33"/>
  <c r="DF148" i="33"/>
  <c r="DF147" i="33"/>
  <c r="DG148" i="33"/>
  <c r="DG147" i="33"/>
  <c r="DO147" i="33"/>
  <c r="DO148" i="33"/>
  <c r="AX146" i="33"/>
  <c r="BP178" i="33"/>
  <c r="BI146" i="33"/>
  <c r="BP144" i="33"/>
  <c r="BM146" i="33"/>
  <c r="BG146" i="33"/>
  <c r="BP143" i="33"/>
  <c r="BP142" i="33"/>
  <c r="BL146" i="33"/>
  <c r="BH146" i="33"/>
  <c r="BN146" i="33"/>
  <c r="BK146" i="33"/>
  <c r="CT146" i="33"/>
  <c r="BO121" i="33"/>
  <c r="BO167" i="33" s="1"/>
  <c r="BO132" i="33"/>
  <c r="BS121" i="33"/>
  <c r="BS167" i="33" s="1"/>
  <c r="BS132" i="33"/>
  <c r="BQ121" i="33"/>
  <c r="BQ167" i="33" s="1"/>
  <c r="BQ132" i="33"/>
  <c r="BR121" i="33"/>
  <c r="BR167" i="33" s="1"/>
  <c r="BR132" i="33"/>
  <c r="CH146" i="33"/>
  <c r="BD146" i="33"/>
  <c r="BA146" i="33"/>
  <c r="CI146" i="33"/>
  <c r="BF146" i="33"/>
  <c r="CU146" i="33"/>
  <c r="BB146" i="33"/>
  <c r="CV146" i="33"/>
  <c r="CW146" i="33"/>
  <c r="BE146" i="33"/>
  <c r="BC146" i="33"/>
  <c r="CJ146" i="33"/>
  <c r="CK146" i="33"/>
  <c r="BQ15" i="30"/>
  <c r="BQ90" i="30"/>
  <c r="BQ99" i="30" s="1"/>
  <c r="BQ100" i="30" s="1"/>
  <c r="BQ101" i="30" s="1"/>
  <c r="Z69" i="29"/>
  <c r="X69" i="29"/>
  <c r="H69" i="29"/>
  <c r="U69" i="29"/>
  <c r="E69" i="29"/>
  <c r="T69" i="29"/>
  <c r="D69" i="29"/>
  <c r="S69" i="29"/>
  <c r="C69" i="29"/>
  <c r="P69" i="29"/>
  <c r="M69" i="29"/>
  <c r="L69" i="29"/>
  <c r="K69" i="29"/>
  <c r="W69" i="29"/>
  <c r="I69" i="29"/>
  <c r="G69" i="29"/>
  <c r="Q69" i="29"/>
  <c r="Y69" i="29"/>
  <c r="F69" i="29"/>
  <c r="J69" i="29"/>
  <c r="N69" i="29"/>
  <c r="V69" i="29"/>
  <c r="O69" i="29"/>
  <c r="R69" i="29"/>
  <c r="BO72" i="30"/>
  <c r="BO61" i="30"/>
  <c r="BO107" i="30" s="1"/>
  <c r="T68" i="29"/>
  <c r="V68" i="29"/>
  <c r="J68" i="29"/>
  <c r="U68" i="29"/>
  <c r="G68" i="29"/>
  <c r="S68" i="29"/>
  <c r="F68" i="29"/>
  <c r="R68" i="29"/>
  <c r="E68" i="29"/>
  <c r="O68" i="29"/>
  <c r="C68" i="29"/>
  <c r="N68" i="29"/>
  <c r="Z68" i="29"/>
  <c r="M68" i="29"/>
  <c r="W68" i="29"/>
  <c r="K68" i="29"/>
  <c r="H68" i="29"/>
  <c r="P68" i="29"/>
  <c r="X68" i="29"/>
  <c r="I68" i="29"/>
  <c r="Q68" i="29"/>
  <c r="D68" i="29"/>
  <c r="Y68" i="29"/>
  <c r="L68" i="29"/>
  <c r="BO15" i="30"/>
  <c r="BO90" i="30"/>
  <c r="BO99" i="30" s="1"/>
  <c r="BO100" i="30" s="1"/>
  <c r="BO101" i="30" s="1"/>
  <c r="BR90" i="30"/>
  <c r="BR99" i="30" s="1"/>
  <c r="BR100" i="30" s="1"/>
  <c r="BR101" i="30" s="1"/>
  <c r="BR15" i="30"/>
  <c r="BP61" i="30"/>
  <c r="BP107" i="30" s="1"/>
  <c r="BP72" i="30"/>
  <c r="BS15" i="30"/>
  <c r="BS90" i="30"/>
  <c r="BS99" i="30" s="1"/>
  <c r="BS100" i="30" s="1"/>
  <c r="BS101" i="30" s="1"/>
  <c r="G20" i="22"/>
  <c r="G17" i="22"/>
  <c r="G21" i="22"/>
  <c r="G18" i="22"/>
  <c r="G19" i="22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Q64" i="7"/>
  <c r="Q65" i="7"/>
  <c r="CY148" i="33" l="1"/>
  <c r="CE147" i="33"/>
  <c r="CF148" i="33"/>
  <c r="CF163" i="33" s="1"/>
  <c r="CX148" i="33"/>
  <c r="CX163" i="33" s="1"/>
  <c r="BP146" i="33"/>
  <c r="BP148" i="33" s="1"/>
  <c r="AZ148" i="33"/>
  <c r="AZ163" i="33" s="1"/>
  <c r="AW147" i="33"/>
  <c r="AW163" i="33" s="1"/>
  <c r="CC148" i="33"/>
  <c r="CC163" i="33" s="1"/>
  <c r="CB147" i="33"/>
  <c r="CB163" i="33" s="1"/>
  <c r="AY147" i="33"/>
  <c r="AY163" i="33" s="1"/>
  <c r="CD147" i="33"/>
  <c r="CD163" i="33" s="1"/>
  <c r="AV148" i="33"/>
  <c r="AV163" i="33" s="1"/>
  <c r="CG147" i="33"/>
  <c r="CG163" i="33" s="1"/>
  <c r="CH148" i="33"/>
  <c r="CH147" i="33"/>
  <c r="BG148" i="33"/>
  <c r="BG147" i="33"/>
  <c r="CV148" i="33"/>
  <c r="CV147" i="33"/>
  <c r="CT148" i="33"/>
  <c r="CT147" i="33"/>
  <c r="BM148" i="33"/>
  <c r="BM147" i="33"/>
  <c r="BB148" i="33"/>
  <c r="BB147" i="33"/>
  <c r="BK148" i="33"/>
  <c r="BK147" i="33"/>
  <c r="CU148" i="33"/>
  <c r="CU147" i="33"/>
  <c r="BN148" i="33"/>
  <c r="BN147" i="33"/>
  <c r="BI148" i="33"/>
  <c r="BI147" i="33"/>
  <c r="CK148" i="33"/>
  <c r="CK147" i="33"/>
  <c r="BF147" i="33"/>
  <c r="BF148" i="33"/>
  <c r="BH148" i="33"/>
  <c r="BH147" i="33"/>
  <c r="CJ148" i="33"/>
  <c r="CJ147" i="33"/>
  <c r="CI148" i="33"/>
  <c r="CI147" i="33"/>
  <c r="BL148" i="33"/>
  <c r="BL147" i="33"/>
  <c r="AX147" i="33"/>
  <c r="AX148" i="33"/>
  <c r="BC148" i="33"/>
  <c r="BC147" i="33"/>
  <c r="BA148" i="33"/>
  <c r="BA147" i="33"/>
  <c r="CW148" i="33"/>
  <c r="CW147" i="33"/>
  <c r="BE148" i="33"/>
  <c r="BE147" i="33"/>
  <c r="BD148" i="33"/>
  <c r="BD147" i="33"/>
  <c r="DX163" i="33"/>
  <c r="DP163" i="33"/>
  <c r="CL163" i="33"/>
  <c r="BJ163" i="33"/>
  <c r="CR163" i="33"/>
  <c r="CS163" i="33"/>
  <c r="DR163" i="33"/>
  <c r="EA163" i="33"/>
  <c r="BP117" i="30"/>
  <c r="AA5" i="30" s="1"/>
  <c r="DW163" i="33"/>
  <c r="DO163" i="33"/>
  <c r="BQ178" i="33"/>
  <c r="BO178" i="33"/>
  <c r="BS178" i="33"/>
  <c r="BR178" i="33"/>
  <c r="DH163" i="33"/>
  <c r="BQ144" i="33"/>
  <c r="BQ143" i="33"/>
  <c r="BQ142" i="33"/>
  <c r="BQ145" i="33"/>
  <c r="BS143" i="33"/>
  <c r="BS145" i="33"/>
  <c r="BS144" i="33"/>
  <c r="BS142" i="33"/>
  <c r="CE163" i="33"/>
  <c r="DQ163" i="33"/>
  <c r="BO142" i="33"/>
  <c r="BO144" i="33"/>
  <c r="BO143" i="33"/>
  <c r="BO145" i="33"/>
  <c r="BR145" i="33"/>
  <c r="BR142" i="33"/>
  <c r="BR143" i="33"/>
  <c r="BR144" i="33"/>
  <c r="DV163" i="33"/>
  <c r="CO163" i="33"/>
  <c r="DG163" i="33"/>
  <c r="DT163" i="33"/>
  <c r="DS163" i="33"/>
  <c r="DJ163" i="33"/>
  <c r="DY163" i="33"/>
  <c r="CQ163" i="33"/>
  <c r="DM163" i="33"/>
  <c r="DI163" i="33"/>
  <c r="DU163" i="33"/>
  <c r="DL163" i="33"/>
  <c r="DK163" i="33"/>
  <c r="DE163" i="33"/>
  <c r="CN163" i="33"/>
  <c r="DN163" i="33"/>
  <c r="CP163" i="33"/>
  <c r="CM163" i="33"/>
  <c r="CY163" i="33"/>
  <c r="EB163" i="33"/>
  <c r="DF163" i="33"/>
  <c r="DZ163" i="33"/>
  <c r="L16" i="29"/>
  <c r="L19" i="29"/>
  <c r="L17" i="29"/>
  <c r="L15" i="29"/>
  <c r="R19" i="29"/>
  <c r="R15" i="29"/>
  <c r="R16" i="29"/>
  <c r="R17" i="29"/>
  <c r="BS71" i="30"/>
  <c r="BS60" i="30"/>
  <c r="D19" i="29"/>
  <c r="D15" i="29"/>
  <c r="D16" i="29"/>
  <c r="D17" i="29"/>
  <c r="M17" i="29"/>
  <c r="M15" i="29"/>
  <c r="M19" i="29"/>
  <c r="M16" i="29"/>
  <c r="S19" i="29"/>
  <c r="S17" i="29"/>
  <c r="S16" i="29"/>
  <c r="S15" i="29"/>
  <c r="BP84" i="30"/>
  <c r="BP82" i="30"/>
  <c r="BP83" i="30"/>
  <c r="BP81" i="30"/>
  <c r="BP85" i="30" s="1"/>
  <c r="Q19" i="29"/>
  <c r="Q17" i="29"/>
  <c r="Q15" i="29"/>
  <c r="Q16" i="29"/>
  <c r="Z16" i="29"/>
  <c r="Z15" i="29"/>
  <c r="Z19" i="29"/>
  <c r="Z17" i="29"/>
  <c r="G17" i="29"/>
  <c r="G19" i="29"/>
  <c r="G15" i="29"/>
  <c r="G16" i="29"/>
  <c r="BR60" i="30"/>
  <c r="BR71" i="30"/>
  <c r="I19" i="29"/>
  <c r="I17" i="29"/>
  <c r="I16" i="29"/>
  <c r="I15" i="29"/>
  <c r="N16" i="29"/>
  <c r="N17" i="29"/>
  <c r="N15" i="29"/>
  <c r="N19" i="29"/>
  <c r="U15" i="29"/>
  <c r="U19" i="29"/>
  <c r="U17" i="29"/>
  <c r="U16" i="29"/>
  <c r="BO60" i="30"/>
  <c r="BO71" i="30"/>
  <c r="X17" i="29"/>
  <c r="X15" i="29"/>
  <c r="X19" i="29"/>
  <c r="X16" i="29"/>
  <c r="C16" i="29"/>
  <c r="C17" i="29"/>
  <c r="C15" i="29"/>
  <c r="J19" i="29"/>
  <c r="J17" i="29"/>
  <c r="J16" i="29"/>
  <c r="J15" i="29"/>
  <c r="BQ60" i="30"/>
  <c r="BQ71" i="30"/>
  <c r="H20" i="22"/>
  <c r="P15" i="29"/>
  <c r="P19" i="29"/>
  <c r="P17" i="29"/>
  <c r="P16" i="29"/>
  <c r="O19" i="29"/>
  <c r="O17" i="29"/>
  <c r="O15" i="29"/>
  <c r="O16" i="29"/>
  <c r="V16" i="29"/>
  <c r="V15" i="29"/>
  <c r="V19" i="29"/>
  <c r="V17" i="29"/>
  <c r="H16" i="29"/>
  <c r="H19" i="29"/>
  <c r="H15" i="29"/>
  <c r="H17" i="29"/>
  <c r="E17" i="29"/>
  <c r="E19" i="29"/>
  <c r="E16" i="29"/>
  <c r="E15" i="29"/>
  <c r="T15" i="29"/>
  <c r="T19" i="29"/>
  <c r="T16" i="29"/>
  <c r="T17" i="29"/>
  <c r="K19" i="29"/>
  <c r="K16" i="29"/>
  <c r="K17" i="29"/>
  <c r="K15" i="29"/>
  <c r="Y19" i="29"/>
  <c r="Y17" i="29"/>
  <c r="Y15" i="29"/>
  <c r="Y16" i="29"/>
  <c r="W19" i="29"/>
  <c r="W17" i="29"/>
  <c r="W15" i="29"/>
  <c r="W16" i="29"/>
  <c r="F19" i="29"/>
  <c r="F15" i="29"/>
  <c r="F16" i="29"/>
  <c r="F17" i="29"/>
  <c r="H18" i="22"/>
  <c r="H21" i="22"/>
  <c r="H19" i="22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BP147" i="33" l="1"/>
  <c r="BP163" i="33" s="1"/>
  <c r="BP86" i="30"/>
  <c r="BP87" i="30"/>
  <c r="BQ146" i="33"/>
  <c r="BQ148" i="33" s="1"/>
  <c r="BR146" i="33"/>
  <c r="BR148" i="33" s="1"/>
  <c r="BS146" i="33"/>
  <c r="BS148" i="33" s="1"/>
  <c r="AX163" i="33"/>
  <c r="BH163" i="33"/>
  <c r="BM163" i="33"/>
  <c r="BI163" i="33"/>
  <c r="BL163" i="33"/>
  <c r="C18" i="29"/>
  <c r="C22" i="29" s="1"/>
  <c r="BG163" i="33"/>
  <c r="N6" i="29"/>
  <c r="N10" i="29" s="1"/>
  <c r="N181" i="29"/>
  <c r="N196" i="29" s="1"/>
  <c r="R76" i="30" s="1"/>
  <c r="V6" i="29"/>
  <c r="V10" i="29" s="1"/>
  <c r="V181" i="29"/>
  <c r="V196" i="29" s="1"/>
  <c r="Z76" i="30" s="1"/>
  <c r="J6" i="29"/>
  <c r="J10" i="29" s="1"/>
  <c r="J181" i="29"/>
  <c r="J196" i="29" s="1"/>
  <c r="N76" i="30" s="1"/>
  <c r="G6" i="29"/>
  <c r="G10" i="29" s="1"/>
  <c r="G181" i="29"/>
  <c r="G196" i="29" s="1"/>
  <c r="K76" i="30" s="1"/>
  <c r="C180" i="29"/>
  <c r="C195" i="29" s="1"/>
  <c r="G75" i="30" s="1"/>
  <c r="Q18" i="29"/>
  <c r="Q6" i="29"/>
  <c r="Q10" i="29" s="1"/>
  <c r="Q181" i="29"/>
  <c r="Q196" i="29" s="1"/>
  <c r="U76" i="30" s="1"/>
  <c r="S6" i="29"/>
  <c r="S10" i="29" s="1"/>
  <c r="S181" i="29"/>
  <c r="S196" i="29" s="1"/>
  <c r="W76" i="30" s="1"/>
  <c r="D6" i="29"/>
  <c r="D10" i="29" s="1"/>
  <c r="D181" i="29"/>
  <c r="D196" i="29" s="1"/>
  <c r="H76" i="30" s="1"/>
  <c r="E6" i="29"/>
  <c r="E10" i="29" s="1"/>
  <c r="E181" i="29"/>
  <c r="E196" i="29" s="1"/>
  <c r="I76" i="30" s="1"/>
  <c r="K6" i="29"/>
  <c r="K10" i="29" s="1"/>
  <c r="K181" i="29"/>
  <c r="K196" i="29" s="1"/>
  <c r="O76" i="30" s="1"/>
  <c r="G18" i="29"/>
  <c r="T6" i="29"/>
  <c r="T10" i="29" s="1"/>
  <c r="T181" i="29"/>
  <c r="T196" i="29" s="1"/>
  <c r="X76" i="30" s="1"/>
  <c r="H6" i="29"/>
  <c r="H10" i="29" s="1"/>
  <c r="H181" i="29"/>
  <c r="H196" i="29" s="1"/>
  <c r="L76" i="30" s="1"/>
  <c r="U6" i="29"/>
  <c r="U10" i="29" s="1"/>
  <c r="U181" i="29"/>
  <c r="U196" i="29" s="1"/>
  <c r="Y76" i="30" s="1"/>
  <c r="L6" i="29"/>
  <c r="L10" i="29" s="1"/>
  <c r="L181" i="29"/>
  <c r="L196" i="29" s="1"/>
  <c r="P76" i="30" s="1"/>
  <c r="P6" i="29"/>
  <c r="P10" i="29" s="1"/>
  <c r="P181" i="29"/>
  <c r="P196" i="29" s="1"/>
  <c r="T76" i="30" s="1"/>
  <c r="W6" i="29"/>
  <c r="W10" i="29" s="1"/>
  <c r="W181" i="29"/>
  <c r="W196" i="29" s="1"/>
  <c r="AA76" i="30" s="1"/>
  <c r="P18" i="29"/>
  <c r="R6" i="29"/>
  <c r="R10" i="29" s="1"/>
  <c r="R181" i="29"/>
  <c r="R196" i="29" s="1"/>
  <c r="V76" i="30" s="1"/>
  <c r="F6" i="29"/>
  <c r="F10" i="29" s="1"/>
  <c r="F181" i="29"/>
  <c r="F196" i="29" s="1"/>
  <c r="J76" i="30" s="1"/>
  <c r="Y6" i="29"/>
  <c r="Y10" i="29" s="1"/>
  <c r="Y181" i="29"/>
  <c r="Y196" i="29" s="1"/>
  <c r="AC76" i="30" s="1"/>
  <c r="O6" i="29"/>
  <c r="O10" i="29" s="1"/>
  <c r="O181" i="29"/>
  <c r="O196" i="29" s="1"/>
  <c r="S76" i="30" s="1"/>
  <c r="X6" i="29"/>
  <c r="X10" i="29" s="1"/>
  <c r="X181" i="29"/>
  <c r="X196" i="29" s="1"/>
  <c r="AB76" i="30" s="1"/>
  <c r="I6" i="29"/>
  <c r="I10" i="29" s="1"/>
  <c r="I181" i="29"/>
  <c r="I196" i="29" s="1"/>
  <c r="M76" i="30" s="1"/>
  <c r="Z6" i="29"/>
  <c r="Z10" i="29" s="1"/>
  <c r="Z181" i="29"/>
  <c r="Z196" i="29" s="1"/>
  <c r="AD76" i="30" s="1"/>
  <c r="M6" i="29"/>
  <c r="M10" i="29" s="1"/>
  <c r="M181" i="29"/>
  <c r="M196" i="29" s="1"/>
  <c r="Q76" i="30" s="1"/>
  <c r="CH163" i="33"/>
  <c r="BN163" i="33"/>
  <c r="BO117" i="30"/>
  <c r="Z5" i="30" s="1"/>
  <c r="BQ117" i="30"/>
  <c r="AB5" i="30" s="1"/>
  <c r="BS117" i="30"/>
  <c r="AD5" i="30" s="1"/>
  <c r="T18" i="29"/>
  <c r="T180" i="29" s="1"/>
  <c r="T195" i="29" s="1"/>
  <c r="X75" i="30" s="1"/>
  <c r="U18" i="29"/>
  <c r="U180" i="29" s="1"/>
  <c r="U195" i="29" s="1"/>
  <c r="Y75" i="30" s="1"/>
  <c r="BR117" i="30"/>
  <c r="AC5" i="30" s="1"/>
  <c r="BD163" i="33"/>
  <c r="CT163" i="33"/>
  <c r="BA163" i="33"/>
  <c r="BK163" i="33"/>
  <c r="CK163" i="33"/>
  <c r="O18" i="29"/>
  <c r="M18" i="29"/>
  <c r="W18" i="29"/>
  <c r="E18" i="29"/>
  <c r="N18" i="29"/>
  <c r="BO146" i="33"/>
  <c r="I18" i="29"/>
  <c r="I180" i="29" s="1"/>
  <c r="I195" i="29" s="1"/>
  <c r="M75" i="30" s="1"/>
  <c r="CV163" i="33"/>
  <c r="BB163" i="33"/>
  <c r="BE163" i="33"/>
  <c r="D250" i="33"/>
  <c r="CU163" i="33"/>
  <c r="CW163" i="33"/>
  <c r="BF163" i="33"/>
  <c r="CJ163" i="33"/>
  <c r="CI163" i="33"/>
  <c r="BC163" i="33"/>
  <c r="Y18" i="29"/>
  <c r="H18" i="29"/>
  <c r="J18" i="29"/>
  <c r="F18" i="29"/>
  <c r="V18" i="29"/>
  <c r="X18" i="29"/>
  <c r="S18" i="29"/>
  <c r="K18" i="29"/>
  <c r="BO84" i="30"/>
  <c r="BO83" i="30"/>
  <c r="BO82" i="30"/>
  <c r="BO81" i="30"/>
  <c r="D18" i="29"/>
  <c r="R18" i="29"/>
  <c r="BR82" i="30"/>
  <c r="BR81" i="30"/>
  <c r="BR85" i="30" s="1"/>
  <c r="BR84" i="30"/>
  <c r="BR83" i="30"/>
  <c r="Z18" i="29"/>
  <c r="L18" i="29"/>
  <c r="BQ84" i="30"/>
  <c r="BQ83" i="30"/>
  <c r="BQ82" i="30"/>
  <c r="BQ81" i="30"/>
  <c r="BQ85" i="30" s="1"/>
  <c r="BS82" i="30"/>
  <c r="BS84" i="30"/>
  <c r="BS81" i="30"/>
  <c r="BS85" i="30" s="1"/>
  <c r="BS83" i="30"/>
  <c r="BQ87" i="30" l="1"/>
  <c r="BQ86" i="30"/>
  <c r="BR87" i="30"/>
  <c r="BR86" i="30"/>
  <c r="BS87" i="30"/>
  <c r="BS86" i="30"/>
  <c r="BQ147" i="33"/>
  <c r="BQ163" i="33" s="1"/>
  <c r="BS147" i="33"/>
  <c r="BS163" i="33" s="1"/>
  <c r="BR147" i="33"/>
  <c r="BR163" i="33" s="1"/>
  <c r="BO148" i="33"/>
  <c r="BO147" i="33"/>
  <c r="T22" i="29"/>
  <c r="D11" i="29"/>
  <c r="D13" i="29" s="1"/>
  <c r="AD30" i="29"/>
  <c r="M77" i="30"/>
  <c r="Y77" i="30"/>
  <c r="G77" i="30"/>
  <c r="I22" i="29"/>
  <c r="X77" i="30"/>
  <c r="D22" i="29"/>
  <c r="D180" i="29"/>
  <c r="D195" i="29" s="1"/>
  <c r="H75" i="30" s="1"/>
  <c r="V22" i="29"/>
  <c r="V180" i="29"/>
  <c r="V195" i="29" s="1"/>
  <c r="Z75" i="30" s="1"/>
  <c r="F22" i="29"/>
  <c r="F180" i="29"/>
  <c r="F195" i="29" s="1"/>
  <c r="J75" i="30" s="1"/>
  <c r="N22" i="29"/>
  <c r="N180" i="29"/>
  <c r="N195" i="29" s="1"/>
  <c r="R75" i="30" s="1"/>
  <c r="X22" i="29"/>
  <c r="X180" i="29"/>
  <c r="X195" i="29" s="1"/>
  <c r="AB75" i="30" s="1"/>
  <c r="Z22" i="29"/>
  <c r="Z180" i="29"/>
  <c r="Z195" i="29" s="1"/>
  <c r="AD75" i="30" s="1"/>
  <c r="J22" i="29"/>
  <c r="J180" i="29"/>
  <c r="J195" i="29" s="1"/>
  <c r="N75" i="30" s="1"/>
  <c r="E22" i="29"/>
  <c r="E180" i="29"/>
  <c r="E195" i="29" s="1"/>
  <c r="I75" i="30" s="1"/>
  <c r="G22" i="29"/>
  <c r="G180" i="29"/>
  <c r="G195" i="29" s="1"/>
  <c r="K75" i="30" s="1"/>
  <c r="L22" i="29"/>
  <c r="L180" i="29"/>
  <c r="L195" i="29" s="1"/>
  <c r="P75" i="30" s="1"/>
  <c r="H22" i="29"/>
  <c r="H180" i="29"/>
  <c r="H195" i="29" s="1"/>
  <c r="L75" i="30" s="1"/>
  <c r="W22" i="29"/>
  <c r="W180" i="29"/>
  <c r="W195" i="29" s="1"/>
  <c r="AA75" i="30" s="1"/>
  <c r="Y22" i="29"/>
  <c r="Y180" i="29"/>
  <c r="Y195" i="29" s="1"/>
  <c r="AC75" i="30" s="1"/>
  <c r="M22" i="29"/>
  <c r="M180" i="29"/>
  <c r="M195" i="29" s="1"/>
  <c r="Q75" i="30" s="1"/>
  <c r="R22" i="29"/>
  <c r="R180" i="29"/>
  <c r="R195" i="29" s="1"/>
  <c r="V75" i="30" s="1"/>
  <c r="K22" i="29"/>
  <c r="K180" i="29"/>
  <c r="K195" i="29" s="1"/>
  <c r="O75" i="30" s="1"/>
  <c r="U22" i="29"/>
  <c r="P22" i="29"/>
  <c r="P180" i="29"/>
  <c r="P195" i="29" s="1"/>
  <c r="T75" i="30" s="1"/>
  <c r="Q22" i="29"/>
  <c r="Q180" i="29"/>
  <c r="Q195" i="29" s="1"/>
  <c r="U75" i="30" s="1"/>
  <c r="S22" i="29"/>
  <c r="S180" i="29"/>
  <c r="S195" i="29" s="1"/>
  <c r="W75" i="30" s="1"/>
  <c r="O22" i="29"/>
  <c r="O180" i="29"/>
  <c r="O195" i="29" s="1"/>
  <c r="S75" i="30" s="1"/>
  <c r="J11" i="29"/>
  <c r="J13" i="29" s="1"/>
  <c r="J202" i="29"/>
  <c r="M11" i="29"/>
  <c r="M13" i="29" s="1"/>
  <c r="M202" i="29"/>
  <c r="T11" i="29"/>
  <c r="T13" i="29" s="1"/>
  <c r="T202" i="29"/>
  <c r="R11" i="29"/>
  <c r="R13" i="29" s="1"/>
  <c r="R202" i="29"/>
  <c r="P11" i="29"/>
  <c r="P13" i="29" s="1"/>
  <c r="P202" i="29"/>
  <c r="W11" i="29"/>
  <c r="W13" i="29" s="1"/>
  <c r="W202" i="29"/>
  <c r="Z11" i="29"/>
  <c r="Z13" i="29" s="1"/>
  <c r="Z202" i="29"/>
  <c r="O11" i="29"/>
  <c r="O13" i="29" s="1"/>
  <c r="O202" i="29"/>
  <c r="L11" i="29"/>
  <c r="L13" i="29" s="1"/>
  <c r="L202" i="29"/>
  <c r="U11" i="29"/>
  <c r="U13" i="29" s="1"/>
  <c r="U202" i="29"/>
  <c r="S11" i="29"/>
  <c r="S13" i="29" s="1"/>
  <c r="S202" i="29"/>
  <c r="V11" i="29"/>
  <c r="V13" i="29" s="1"/>
  <c r="V202" i="29"/>
  <c r="F11" i="29"/>
  <c r="F13" i="29" s="1"/>
  <c r="F202" i="29"/>
  <c r="E11" i="29"/>
  <c r="E13" i="29" s="1"/>
  <c r="E202" i="29"/>
  <c r="N11" i="29"/>
  <c r="N13" i="29" s="1"/>
  <c r="N202" i="29"/>
  <c r="I11" i="29"/>
  <c r="I13" i="29" s="1"/>
  <c r="I202" i="29"/>
  <c r="Q11" i="29"/>
  <c r="Q13" i="29" s="1"/>
  <c r="Q202" i="29"/>
  <c r="X11" i="29"/>
  <c r="X13" i="29" s="1"/>
  <c r="X202" i="29"/>
  <c r="K11" i="29"/>
  <c r="K13" i="29" s="1"/>
  <c r="K202" i="29"/>
  <c r="Y11" i="29"/>
  <c r="Y13" i="29" s="1"/>
  <c r="Y202" i="29"/>
  <c r="H11" i="29"/>
  <c r="H13" i="29" s="1"/>
  <c r="H202" i="29"/>
  <c r="G11" i="29"/>
  <c r="G13" i="29" s="1"/>
  <c r="G202" i="29"/>
  <c r="F5" i="30"/>
  <c r="C245" i="33" s="1"/>
  <c r="D245" i="33" s="1"/>
  <c r="D249" i="33"/>
  <c r="BP102" i="30"/>
  <c r="AA9" i="30" s="1"/>
  <c r="AA13" i="30" s="1"/>
  <c r="BO85" i="30"/>
  <c r="AH19" i="18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AD31" i="29" l="1"/>
  <c r="T236" i="31" s="1"/>
  <c r="T235" i="31"/>
  <c r="BO86" i="30"/>
  <c r="BO87" i="30"/>
  <c r="O77" i="30"/>
  <c r="W77" i="30"/>
  <c r="V77" i="30"/>
  <c r="L77" i="30"/>
  <c r="N77" i="30"/>
  <c r="J77" i="30"/>
  <c r="AA77" i="30"/>
  <c r="U77" i="30"/>
  <c r="S77" i="30"/>
  <c r="R77" i="30"/>
  <c r="Q77" i="30"/>
  <c r="P77" i="30"/>
  <c r="AD77" i="30"/>
  <c r="Z77" i="30"/>
  <c r="T77" i="30"/>
  <c r="I77" i="30"/>
  <c r="AC77" i="30"/>
  <c r="K77" i="30"/>
  <c r="AB77" i="30"/>
  <c r="H77" i="30"/>
  <c r="D202" i="29"/>
  <c r="H213" i="29"/>
  <c r="H214" i="29" s="1"/>
  <c r="H203" i="29"/>
  <c r="K213" i="29"/>
  <c r="K214" i="29" s="1"/>
  <c r="K203" i="29"/>
  <c r="Q213" i="29"/>
  <c r="Q214" i="29" s="1"/>
  <c r="Q203" i="29"/>
  <c r="N213" i="29"/>
  <c r="N214" i="29" s="1"/>
  <c r="N203" i="29"/>
  <c r="F213" i="29"/>
  <c r="F214" i="29" s="1"/>
  <c r="F203" i="29"/>
  <c r="S213" i="29"/>
  <c r="S214" i="29" s="1"/>
  <c r="S203" i="29"/>
  <c r="L213" i="29"/>
  <c r="L214" i="29" s="1"/>
  <c r="L203" i="29"/>
  <c r="Z213" i="29"/>
  <c r="Z214" i="29" s="1"/>
  <c r="Z203" i="29"/>
  <c r="P213" i="29"/>
  <c r="P214" i="29" s="1"/>
  <c r="P203" i="29"/>
  <c r="T213" i="29"/>
  <c r="T214" i="29" s="1"/>
  <c r="T203" i="29"/>
  <c r="J213" i="29"/>
  <c r="J214" i="29" s="1"/>
  <c r="J203" i="29"/>
  <c r="G213" i="29"/>
  <c r="G214" i="29" s="1"/>
  <c r="G203" i="29"/>
  <c r="Y213" i="29"/>
  <c r="Y214" i="29" s="1"/>
  <c r="Y203" i="29"/>
  <c r="X213" i="29"/>
  <c r="X214" i="29" s="1"/>
  <c r="X203" i="29"/>
  <c r="I213" i="29"/>
  <c r="I214" i="29" s="1"/>
  <c r="I203" i="29"/>
  <c r="E213" i="29"/>
  <c r="E214" i="29" s="1"/>
  <c r="E203" i="29"/>
  <c r="V213" i="29"/>
  <c r="V214" i="29" s="1"/>
  <c r="V203" i="29"/>
  <c r="U213" i="29"/>
  <c r="U214" i="29" s="1"/>
  <c r="U203" i="29"/>
  <c r="O213" i="29"/>
  <c r="O214" i="29" s="1"/>
  <c r="O203" i="29"/>
  <c r="W213" i="29"/>
  <c r="W214" i="29" s="1"/>
  <c r="W203" i="29"/>
  <c r="R213" i="29"/>
  <c r="R214" i="29" s="1"/>
  <c r="R203" i="29"/>
  <c r="M213" i="29"/>
  <c r="M214" i="29" s="1"/>
  <c r="M203" i="29"/>
  <c r="BO163" i="33"/>
  <c r="D248" i="33" s="1"/>
  <c r="BR102" i="30"/>
  <c r="AC9" i="30" s="1"/>
  <c r="AC13" i="30" s="1"/>
  <c r="BS102" i="30"/>
  <c r="AD9" i="30" s="1"/>
  <c r="AD13" i="30" s="1"/>
  <c r="BQ102" i="30"/>
  <c r="AB9" i="30" s="1"/>
  <c r="AB13" i="30" s="1"/>
  <c r="AR37" i="25"/>
  <c r="AK37" i="25"/>
  <c r="CD48" i="24"/>
  <c r="AK48" i="24"/>
  <c r="AT40" i="24"/>
  <c r="AK40" i="24"/>
  <c r="AS32" i="24"/>
  <c r="AK32" i="24"/>
  <c r="AP51" i="26"/>
  <c r="AK51" i="26"/>
  <c r="AO43" i="26"/>
  <c r="AK43" i="26"/>
  <c r="AQ35" i="26"/>
  <c r="AK35" i="26"/>
  <c r="AS47" i="18"/>
  <c r="AK47" i="18"/>
  <c r="AO39" i="18"/>
  <c r="AK39" i="18"/>
  <c r="AO35" i="18"/>
  <c r="AK35" i="18"/>
  <c r="AP48" i="25"/>
  <c r="AK48" i="25"/>
  <c r="AQ40" i="25"/>
  <c r="AK40" i="25"/>
  <c r="AU51" i="24"/>
  <c r="AK51" i="24"/>
  <c r="AR50" i="26"/>
  <c r="AK50" i="26"/>
  <c r="AM46" i="26"/>
  <c r="AK46" i="26"/>
  <c r="AQ50" i="18"/>
  <c r="AK50" i="18"/>
  <c r="AM42" i="18"/>
  <c r="AK42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AW45" i="25"/>
  <c r="AK45" i="25"/>
  <c r="AM52" i="24"/>
  <c r="AK52" i="24"/>
  <c r="AY39" i="26"/>
  <c r="AK39" i="26"/>
  <c r="AS51" i="18"/>
  <c r="AK51" i="18"/>
  <c r="AO43" i="18"/>
  <c r="AK43" i="18"/>
  <c r="BR47" i="24"/>
  <c r="AK47" i="24"/>
  <c r="AS43" i="24"/>
  <c r="AK43" i="24"/>
  <c r="BM38" i="26"/>
  <c r="AK38" i="26"/>
  <c r="BS38" i="18"/>
  <c r="AK38" i="18"/>
  <c r="BS34" i="18"/>
  <c r="AK34" i="18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M52" i="18"/>
  <c r="AK52" i="18"/>
  <c r="AL48" i="18"/>
  <c r="AK48" i="18"/>
  <c r="BG36" i="18"/>
  <c r="AK36" i="18"/>
  <c r="AZ32" i="18"/>
  <c r="AK32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T274" i="31" l="1"/>
  <c r="X274" i="31" s="1"/>
  <c r="C187" i="33"/>
  <c r="D187" i="33" s="1"/>
  <c r="X235" i="31"/>
  <c r="C308" i="33" s="1"/>
  <c r="C188" i="33"/>
  <c r="D188" i="33" s="1"/>
  <c r="T275" i="31"/>
  <c r="X275" i="31" s="1"/>
  <c r="X236" i="31"/>
  <c r="C309" i="33" s="1"/>
  <c r="D213" i="29"/>
  <c r="D214" i="29" s="1"/>
  <c r="AJ8" i="29" s="1"/>
  <c r="F77" i="30" s="1"/>
  <c r="B129" i="30" s="1"/>
  <c r="D203" i="29"/>
  <c r="AJ5" i="29" s="1"/>
  <c r="X249" i="31" s="1"/>
  <c r="BO102" i="30"/>
  <c r="Z9" i="30" s="1"/>
  <c r="Z13" i="30" s="1"/>
  <c r="F13" i="30" s="1"/>
  <c r="B39" i="18"/>
  <c r="AJ219" i="33" l="1"/>
  <c r="AN219" i="33" s="1"/>
  <c r="AK227" i="33"/>
  <c r="AO227" i="33" s="1"/>
  <c r="AJ218" i="33"/>
  <c r="AN218" i="33" s="1"/>
  <c r="AK226" i="33"/>
  <c r="AO226" i="33" s="1"/>
  <c r="B81" i="30"/>
  <c r="F81" i="30" s="1"/>
  <c r="B114" i="30" s="1"/>
  <c r="F75" i="30"/>
  <c r="T245" i="31"/>
  <c r="F76" i="30"/>
  <c r="AH47" i="31"/>
  <c r="AH69" i="31" s="1"/>
  <c r="B49" i="18"/>
  <c r="AA49" i="18" s="1"/>
  <c r="V265" i="31"/>
  <c r="V264" i="31"/>
  <c r="V263" i="31" s="1"/>
  <c r="J46" i="31" s="1"/>
  <c r="C210" i="33" s="1"/>
  <c r="F9" i="30"/>
  <c r="C248" i="33" s="1"/>
  <c r="I66" i="7"/>
  <c r="J66" i="7"/>
  <c r="O66" i="7"/>
  <c r="P66" i="7"/>
  <c r="Q66" i="7"/>
  <c r="G66" i="7"/>
  <c r="C278" i="33" l="1"/>
  <c r="B113" i="30"/>
  <c r="B125" i="30" s="1"/>
  <c r="X245" i="31"/>
  <c r="C189" i="33"/>
  <c r="D189" i="33" s="1"/>
  <c r="AK189" i="33" s="1"/>
  <c r="AO189" i="33" s="1"/>
  <c r="AO192" i="33" s="1"/>
  <c r="C277" i="33"/>
  <c r="C193" i="33"/>
  <c r="D193" i="33" s="1"/>
  <c r="B91" i="30"/>
  <c r="D91" i="30" s="1"/>
  <c r="K59" i="7"/>
  <c r="L59" i="7" s="1"/>
  <c r="N59" i="7"/>
  <c r="R59" i="7"/>
  <c r="S59" i="7"/>
  <c r="U59" i="7"/>
  <c r="K60" i="7"/>
  <c r="L60" i="7" s="1"/>
  <c r="N60" i="7"/>
  <c r="R60" i="7"/>
  <c r="S60" i="7"/>
  <c r="U60" i="7"/>
  <c r="K61" i="7"/>
  <c r="L61" i="7" s="1"/>
  <c r="N61" i="7"/>
  <c r="R61" i="7"/>
  <c r="S61" i="7"/>
  <c r="U61" i="7"/>
  <c r="K62" i="7"/>
  <c r="L62" i="7" s="1"/>
  <c r="N62" i="7"/>
  <c r="R62" i="7"/>
  <c r="S62" i="7"/>
  <c r="U62" i="7"/>
  <c r="K63" i="7"/>
  <c r="L63" i="7" s="1"/>
  <c r="N63" i="7"/>
  <c r="R63" i="7"/>
  <c r="S63" i="7"/>
  <c r="U63" i="7"/>
  <c r="K64" i="7"/>
  <c r="L64" i="7" s="1"/>
  <c r="N64" i="7"/>
  <c r="R64" i="7"/>
  <c r="S64" i="7"/>
  <c r="U64" i="7"/>
  <c r="K65" i="7"/>
  <c r="L65" i="7" s="1"/>
  <c r="N65" i="7"/>
  <c r="R65" i="7"/>
  <c r="S65" i="7"/>
  <c r="U65" i="7"/>
  <c r="K40" i="7"/>
  <c r="L40" i="7" s="1"/>
  <c r="N40" i="7"/>
  <c r="R40" i="7"/>
  <c r="S40" i="7"/>
  <c r="U40" i="7"/>
  <c r="K41" i="7"/>
  <c r="L41" i="7" s="1"/>
  <c r="N41" i="7"/>
  <c r="R41" i="7"/>
  <c r="S41" i="7"/>
  <c r="U41" i="7"/>
  <c r="K42" i="7"/>
  <c r="L42" i="7" s="1"/>
  <c r="N42" i="7"/>
  <c r="R42" i="7"/>
  <c r="S42" i="7"/>
  <c r="U42" i="7"/>
  <c r="K43" i="7"/>
  <c r="L43" i="7" s="1"/>
  <c r="N43" i="7"/>
  <c r="R43" i="7"/>
  <c r="S43" i="7"/>
  <c r="U43" i="7"/>
  <c r="K44" i="7"/>
  <c r="L44" i="7" s="1"/>
  <c r="N44" i="7"/>
  <c r="R44" i="7"/>
  <c r="S44" i="7"/>
  <c r="U44" i="7"/>
  <c r="K45" i="7"/>
  <c r="L45" i="7" s="1"/>
  <c r="N45" i="7"/>
  <c r="R45" i="7"/>
  <c r="S45" i="7"/>
  <c r="U45" i="7"/>
  <c r="K46" i="7"/>
  <c r="L46" i="7" s="1"/>
  <c r="N46" i="7"/>
  <c r="R46" i="7"/>
  <c r="S46" i="7"/>
  <c r="U46" i="7"/>
  <c r="K47" i="7"/>
  <c r="L47" i="7" s="1"/>
  <c r="N47" i="7"/>
  <c r="R47" i="7"/>
  <c r="S47" i="7"/>
  <c r="U47" i="7"/>
  <c r="K48" i="7"/>
  <c r="L48" i="7" s="1"/>
  <c r="N48" i="7"/>
  <c r="R48" i="7"/>
  <c r="S48" i="7"/>
  <c r="U48" i="7"/>
  <c r="K49" i="7"/>
  <c r="L49" i="7" s="1"/>
  <c r="N49" i="7"/>
  <c r="R49" i="7"/>
  <c r="S49" i="7"/>
  <c r="U49" i="7"/>
  <c r="K50" i="7"/>
  <c r="L50" i="7" s="1"/>
  <c r="N50" i="7"/>
  <c r="R50" i="7"/>
  <c r="S50" i="7"/>
  <c r="U50" i="7"/>
  <c r="K51" i="7"/>
  <c r="L51" i="7" s="1"/>
  <c r="N51" i="7"/>
  <c r="R51" i="7"/>
  <c r="S51" i="7"/>
  <c r="U51" i="7"/>
  <c r="K52" i="7"/>
  <c r="L52" i="7" s="1"/>
  <c r="N52" i="7"/>
  <c r="R52" i="7"/>
  <c r="S52" i="7"/>
  <c r="U52" i="7"/>
  <c r="K53" i="7"/>
  <c r="L53" i="7" s="1"/>
  <c r="N53" i="7"/>
  <c r="R53" i="7"/>
  <c r="S53" i="7"/>
  <c r="U53" i="7"/>
  <c r="K54" i="7"/>
  <c r="L54" i="7" s="1"/>
  <c r="N54" i="7"/>
  <c r="R54" i="7"/>
  <c r="S54" i="7"/>
  <c r="U54" i="7"/>
  <c r="K55" i="7"/>
  <c r="L55" i="7" s="1"/>
  <c r="N55" i="7"/>
  <c r="R55" i="7"/>
  <c r="S55" i="7"/>
  <c r="U55" i="7"/>
  <c r="K56" i="7"/>
  <c r="L56" i="7" s="1"/>
  <c r="N56" i="7"/>
  <c r="R56" i="7"/>
  <c r="S56" i="7"/>
  <c r="U56" i="7"/>
  <c r="K57" i="7"/>
  <c r="L57" i="7" s="1"/>
  <c r="N57" i="7"/>
  <c r="R57" i="7"/>
  <c r="S57" i="7"/>
  <c r="U57" i="7"/>
  <c r="K58" i="7"/>
  <c r="L58" i="7" s="1"/>
  <c r="N58" i="7"/>
  <c r="R58" i="7"/>
  <c r="S58" i="7"/>
  <c r="U58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R48" i="26"/>
  <c r="EC56" i="31" s="1"/>
  <c r="EC78" i="31" s="1"/>
  <c r="Q48" i="26"/>
  <c r="EB56" i="31" s="1"/>
  <c r="EB78" i="31" s="1"/>
  <c r="P48" i="26"/>
  <c r="EA56" i="31" s="1"/>
  <c r="EA78" i="31" s="1"/>
  <c r="O48" i="26"/>
  <c r="N48" i="26"/>
  <c r="M48" i="26"/>
  <c r="L48" i="26"/>
  <c r="DW56" i="31" s="1"/>
  <c r="DW78" i="31" s="1"/>
  <c r="K48" i="26"/>
  <c r="DV56" i="31" s="1"/>
  <c r="DV78" i="31" s="1"/>
  <c r="J48" i="26"/>
  <c r="DU56" i="31" s="1"/>
  <c r="DU78" i="31" s="1"/>
  <c r="I48" i="26"/>
  <c r="DT56" i="31" s="1"/>
  <c r="DT78" i="31" s="1"/>
  <c r="H48" i="26"/>
  <c r="DS56" i="31" s="1"/>
  <c r="DS78" i="31" s="1"/>
  <c r="G48" i="26"/>
  <c r="F48" i="26"/>
  <c r="E48" i="26"/>
  <c r="D48" i="26"/>
  <c r="DO56" i="31" s="1"/>
  <c r="DO78" i="31" s="1"/>
  <c r="C48" i="26"/>
  <c r="DN56" i="31" s="1"/>
  <c r="DN78" i="31" s="1"/>
  <c r="B48" i="26"/>
  <c r="A48" i="26"/>
  <c r="DL56" i="31" s="1"/>
  <c r="DL67" i="31" s="1"/>
  <c r="DL78" i="31" s="1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S47" i="26"/>
  <c r="R47" i="26"/>
  <c r="EC55" i="31" s="1"/>
  <c r="EC77" i="31" s="1"/>
  <c r="Q47" i="26"/>
  <c r="EB55" i="31" s="1"/>
  <c r="EB77" i="31" s="1"/>
  <c r="P47" i="26"/>
  <c r="EA55" i="31" s="1"/>
  <c r="EA77" i="31" s="1"/>
  <c r="O47" i="26"/>
  <c r="DZ55" i="31" s="1"/>
  <c r="DZ77" i="31" s="1"/>
  <c r="N47" i="26"/>
  <c r="DY55" i="31" s="1"/>
  <c r="DY77" i="31" s="1"/>
  <c r="M47" i="26"/>
  <c r="DX55" i="31" s="1"/>
  <c r="DX77" i="31" s="1"/>
  <c r="L47" i="26"/>
  <c r="DW55" i="31" s="1"/>
  <c r="DW77" i="31" s="1"/>
  <c r="K47" i="26"/>
  <c r="J47" i="26"/>
  <c r="DU55" i="31" s="1"/>
  <c r="DU77" i="31" s="1"/>
  <c r="I47" i="26"/>
  <c r="DT55" i="31" s="1"/>
  <c r="DT77" i="31" s="1"/>
  <c r="H47" i="26"/>
  <c r="G47" i="26"/>
  <c r="F47" i="26"/>
  <c r="E47" i="26"/>
  <c r="DP55" i="31" s="1"/>
  <c r="DP77" i="31" s="1"/>
  <c r="D47" i="26"/>
  <c r="DO55" i="31" s="1"/>
  <c r="DO77" i="31" s="1"/>
  <c r="C47" i="26"/>
  <c r="DN55" i="31" s="1"/>
  <c r="DN77" i="31" s="1"/>
  <c r="B47" i="26"/>
  <c r="DM55" i="31" s="1"/>
  <c r="DM77" i="31" s="1"/>
  <c r="A47" i="26"/>
  <c r="DL55" i="31" s="1"/>
  <c r="DL66" i="31" s="1"/>
  <c r="DL77" i="31" s="1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EB54" i="31" s="1"/>
  <c r="EB76" i="31" s="1"/>
  <c r="P46" i="26"/>
  <c r="O46" i="26"/>
  <c r="N46" i="26"/>
  <c r="DY54" i="31" s="1"/>
  <c r="DY76" i="31" s="1"/>
  <c r="M46" i="26"/>
  <c r="L46" i="26"/>
  <c r="K46" i="26"/>
  <c r="DV54" i="31" s="1"/>
  <c r="DV76" i="31" s="1"/>
  <c r="J46" i="26"/>
  <c r="DU54" i="31" s="1"/>
  <c r="DU76" i="31" s="1"/>
  <c r="I46" i="26"/>
  <c r="DT54" i="31" s="1"/>
  <c r="DT76" i="31" s="1"/>
  <c r="H46" i="26"/>
  <c r="DS54" i="31" s="1"/>
  <c r="DS76" i="31" s="1"/>
  <c r="G46" i="26"/>
  <c r="DR54" i="31" s="1"/>
  <c r="DR76" i="31" s="1"/>
  <c r="F46" i="26"/>
  <c r="DQ54" i="31" s="1"/>
  <c r="DQ76" i="31" s="1"/>
  <c r="E46" i="26"/>
  <c r="D46" i="26"/>
  <c r="C46" i="26"/>
  <c r="DN54" i="31" s="1"/>
  <c r="DN76" i="31" s="1"/>
  <c r="B46" i="26"/>
  <c r="DM54" i="31" s="1"/>
  <c r="DM76" i="31" s="1"/>
  <c r="A46" i="26"/>
  <c r="DL54" i="31" s="1"/>
  <c r="DL65" i="31" s="1"/>
  <c r="DL76" i="31" s="1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R45" i="26"/>
  <c r="Q45" i="26"/>
  <c r="P45" i="26"/>
  <c r="O45" i="26"/>
  <c r="DZ53" i="31" s="1"/>
  <c r="DZ75" i="31" s="1"/>
  <c r="N45" i="26"/>
  <c r="M45" i="26"/>
  <c r="DX53" i="31" s="1"/>
  <c r="DX75" i="31" s="1"/>
  <c r="L45" i="26"/>
  <c r="DW53" i="31" s="1"/>
  <c r="DW75" i="31" s="1"/>
  <c r="K45" i="26"/>
  <c r="DV53" i="31" s="1"/>
  <c r="DV75" i="31" s="1"/>
  <c r="J45" i="26"/>
  <c r="DU53" i="31" s="1"/>
  <c r="DU75" i="31" s="1"/>
  <c r="I45" i="26"/>
  <c r="H45" i="26"/>
  <c r="G45" i="26"/>
  <c r="DR53" i="31" s="1"/>
  <c r="DR75" i="31" s="1"/>
  <c r="F45" i="26"/>
  <c r="E45" i="26"/>
  <c r="D45" i="26"/>
  <c r="DO53" i="31" s="1"/>
  <c r="DO75" i="31" s="1"/>
  <c r="C45" i="26"/>
  <c r="DN53" i="31" s="1"/>
  <c r="DN75" i="31" s="1"/>
  <c r="B45" i="26"/>
  <c r="DM53" i="31" s="1"/>
  <c r="DM75" i="31" s="1"/>
  <c r="A45" i="26"/>
  <c r="DL53" i="31" s="1"/>
  <c r="DL64" i="31" s="1"/>
  <c r="DL75" i="31" s="1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P44" i="26"/>
  <c r="EA52" i="31" s="1"/>
  <c r="EA74" i="31" s="1"/>
  <c r="O44" i="26"/>
  <c r="DZ52" i="31" s="1"/>
  <c r="DZ74" i="31" s="1"/>
  <c r="N44" i="26"/>
  <c r="DY52" i="31" s="1"/>
  <c r="DY74" i="31" s="1"/>
  <c r="M44" i="26"/>
  <c r="DX52" i="31" s="1"/>
  <c r="DX74" i="31" s="1"/>
  <c r="L44" i="26"/>
  <c r="DW52" i="31" s="1"/>
  <c r="DW74" i="31" s="1"/>
  <c r="K44" i="26"/>
  <c r="J44" i="26"/>
  <c r="I44" i="26"/>
  <c r="H44" i="26"/>
  <c r="DS52" i="31" s="1"/>
  <c r="DS74" i="31" s="1"/>
  <c r="G44" i="26"/>
  <c r="F44" i="26"/>
  <c r="DQ52" i="31" s="1"/>
  <c r="DQ74" i="31" s="1"/>
  <c r="E44" i="26"/>
  <c r="DP52" i="31" s="1"/>
  <c r="DP74" i="31" s="1"/>
  <c r="D44" i="26"/>
  <c r="DO52" i="31" s="1"/>
  <c r="DO74" i="31" s="1"/>
  <c r="C44" i="26"/>
  <c r="DN52" i="31" s="1"/>
  <c r="DN74" i="31" s="1"/>
  <c r="B44" i="26"/>
  <c r="A44" i="26"/>
  <c r="DL52" i="31" s="1"/>
  <c r="DL63" i="31" s="1"/>
  <c r="DL74" i="31" s="1"/>
  <c r="Y43" i="26"/>
  <c r="EJ51" i="31" s="1"/>
  <c r="EJ73" i="31" s="1"/>
  <c r="X43" i="26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EB51" i="31" s="1"/>
  <c r="EB73" i="31" s="1"/>
  <c r="P43" i="26"/>
  <c r="O43" i="26"/>
  <c r="N43" i="26"/>
  <c r="DY51" i="31" s="1"/>
  <c r="DY73" i="31" s="1"/>
  <c r="M43" i="26"/>
  <c r="DX51" i="31" s="1"/>
  <c r="DX73" i="31" s="1"/>
  <c r="L43" i="26"/>
  <c r="K43" i="26"/>
  <c r="J43" i="26"/>
  <c r="I43" i="26"/>
  <c r="DT51" i="31" s="1"/>
  <c r="DT73" i="31" s="1"/>
  <c r="H43" i="26"/>
  <c r="DS51" i="31" s="1"/>
  <c r="DS73" i="31" s="1"/>
  <c r="G43" i="26"/>
  <c r="DR51" i="31" s="1"/>
  <c r="DR73" i="31" s="1"/>
  <c r="F43" i="26"/>
  <c r="DQ51" i="31" s="1"/>
  <c r="DQ73" i="31" s="1"/>
  <c r="E43" i="26"/>
  <c r="D43" i="26"/>
  <c r="C43" i="26"/>
  <c r="B43" i="26"/>
  <c r="A43" i="26"/>
  <c r="DL51" i="31" s="1"/>
  <c r="DL62" i="31" s="1"/>
  <c r="DL73" i="31" s="1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P42" i="26"/>
  <c r="O42" i="26"/>
  <c r="DZ50" i="31" s="1"/>
  <c r="DZ72" i="31" s="1"/>
  <c r="N42" i="26"/>
  <c r="DY50" i="31" s="1"/>
  <c r="DY72" i="31" s="1"/>
  <c r="M42" i="26"/>
  <c r="DX50" i="31" s="1"/>
  <c r="DX72" i="31" s="1"/>
  <c r="L42" i="26"/>
  <c r="DW50" i="31" s="1"/>
  <c r="DW72" i="31" s="1"/>
  <c r="K42" i="26"/>
  <c r="J42" i="26"/>
  <c r="DU50" i="31" s="1"/>
  <c r="DU72" i="31" s="1"/>
  <c r="I42" i="26"/>
  <c r="H42" i="26"/>
  <c r="G42" i="26"/>
  <c r="DR50" i="31" s="1"/>
  <c r="DR72" i="31" s="1"/>
  <c r="F42" i="26"/>
  <c r="DQ50" i="31" s="1"/>
  <c r="DQ72" i="31" s="1"/>
  <c r="E42" i="26"/>
  <c r="D42" i="26"/>
  <c r="DO50" i="31" s="1"/>
  <c r="DO72" i="31" s="1"/>
  <c r="C42" i="26"/>
  <c r="B42" i="26"/>
  <c r="DM50" i="31" s="1"/>
  <c r="DM72" i="31" s="1"/>
  <c r="A42" i="26"/>
  <c r="DL50" i="31" s="1"/>
  <c r="DL61" i="31" s="1"/>
  <c r="DL72" i="31" s="1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P41" i="26"/>
  <c r="EA49" i="31" s="1"/>
  <c r="EA71" i="31" s="1"/>
  <c r="O41" i="26"/>
  <c r="DZ49" i="31" s="1"/>
  <c r="DZ71" i="31" s="1"/>
  <c r="N41" i="26"/>
  <c r="DY49" i="31" s="1"/>
  <c r="DY71" i="31" s="1"/>
  <c r="M41" i="26"/>
  <c r="DX49" i="31" s="1"/>
  <c r="DX71" i="31" s="1"/>
  <c r="L41" i="26"/>
  <c r="K41" i="26"/>
  <c r="DV49" i="31" s="1"/>
  <c r="DV71" i="31" s="1"/>
  <c r="J41" i="26"/>
  <c r="DU49" i="31" s="1"/>
  <c r="DU71" i="31" s="1"/>
  <c r="I41" i="26"/>
  <c r="H41" i="26"/>
  <c r="DS49" i="31" s="1"/>
  <c r="DS71" i="31" s="1"/>
  <c r="G41" i="26"/>
  <c r="DR49" i="31" s="1"/>
  <c r="DR71" i="31" s="1"/>
  <c r="F41" i="26"/>
  <c r="DQ49" i="31" s="1"/>
  <c r="DQ71" i="31" s="1"/>
  <c r="E41" i="26"/>
  <c r="DP49" i="31" s="1"/>
  <c r="DP71" i="31" s="1"/>
  <c r="D41" i="26"/>
  <c r="C41" i="26"/>
  <c r="DN49" i="31" s="1"/>
  <c r="DN71" i="31" s="1"/>
  <c r="B41" i="26"/>
  <c r="DM49" i="31" s="1"/>
  <c r="DM71" i="31" s="1"/>
  <c r="A41" i="26"/>
  <c r="DL49" i="31" s="1"/>
  <c r="DL60" i="31" s="1"/>
  <c r="DL71" i="31" s="1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EB48" i="31" s="1"/>
  <c r="EB70" i="31" s="1"/>
  <c r="P40" i="26"/>
  <c r="EA48" i="31" s="1"/>
  <c r="EA70" i="31" s="1"/>
  <c r="O40" i="26"/>
  <c r="DZ48" i="31" s="1"/>
  <c r="DZ70" i="31" s="1"/>
  <c r="N40" i="26"/>
  <c r="M40" i="26"/>
  <c r="L40" i="26"/>
  <c r="DW48" i="31" s="1"/>
  <c r="DW70" i="31" s="1"/>
  <c r="K40" i="26"/>
  <c r="DV48" i="31" s="1"/>
  <c r="DV70" i="31" s="1"/>
  <c r="J40" i="26"/>
  <c r="DU48" i="31" s="1"/>
  <c r="DU70" i="31" s="1"/>
  <c r="I40" i="26"/>
  <c r="DT48" i="31" s="1"/>
  <c r="DT70" i="31" s="1"/>
  <c r="H40" i="26"/>
  <c r="DS48" i="31" s="1"/>
  <c r="DS70" i="31" s="1"/>
  <c r="G40" i="26"/>
  <c r="DR48" i="31" s="1"/>
  <c r="DR70" i="31" s="1"/>
  <c r="F40" i="26"/>
  <c r="DQ48" i="31" s="1"/>
  <c r="DQ70" i="31" s="1"/>
  <c r="E40" i="26"/>
  <c r="D40" i="26"/>
  <c r="C40" i="26"/>
  <c r="DN48" i="31" s="1"/>
  <c r="DN70" i="31" s="1"/>
  <c r="B40" i="26"/>
  <c r="DM48" i="31" s="1"/>
  <c r="DM70" i="31" s="1"/>
  <c r="A40" i="26"/>
  <c r="DL48" i="31" s="1"/>
  <c r="DL59" i="31" s="1"/>
  <c r="DL70" i="31" s="1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G125" i="33" s="1"/>
  <c r="A84" i="25"/>
  <c r="G124" i="33" s="1"/>
  <c r="A83" i="25"/>
  <c r="G123" i="33" s="1"/>
  <c r="A82" i="25"/>
  <c r="G122" i="33" s="1"/>
  <c r="A81" i="25"/>
  <c r="G121" i="33" s="1"/>
  <c r="A80" i="25"/>
  <c r="G120" i="33" s="1"/>
  <c r="A79" i="25"/>
  <c r="G119" i="33" s="1"/>
  <c r="A78" i="25"/>
  <c r="G118" i="33" s="1"/>
  <c r="A77" i="25"/>
  <c r="G117" i="33" s="1"/>
  <c r="A76" i="25"/>
  <c r="G116" i="33" s="1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DH56" i="31" s="1"/>
  <c r="DH78" i="31" s="1"/>
  <c r="X48" i="25"/>
  <c r="DG56" i="31" s="1"/>
  <c r="DG78" i="31" s="1"/>
  <c r="W48" i="25"/>
  <c r="DF56" i="31" s="1"/>
  <c r="DF78" i="31" s="1"/>
  <c r="V48" i="25"/>
  <c r="DE56" i="31" s="1"/>
  <c r="DE78" i="31" s="1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CY56" i="31" s="1"/>
  <c r="CY78" i="31" s="1"/>
  <c r="O48" i="25"/>
  <c r="CX56" i="31" s="1"/>
  <c r="CX78" i="31" s="1"/>
  <c r="N48" i="25"/>
  <c r="CW56" i="31" s="1"/>
  <c r="CW78" i="31" s="1"/>
  <c r="M48" i="25"/>
  <c r="CV56" i="31" s="1"/>
  <c r="CV78" i="31" s="1"/>
  <c r="L48" i="25"/>
  <c r="CU56" i="31" s="1"/>
  <c r="CU78" i="31" s="1"/>
  <c r="K48" i="25"/>
  <c r="CT56" i="31" s="1"/>
  <c r="CT78" i="31" s="1"/>
  <c r="J48" i="25"/>
  <c r="CS56" i="31" s="1"/>
  <c r="CS78" i="31" s="1"/>
  <c r="I48" i="25"/>
  <c r="CR56" i="31" s="1"/>
  <c r="CR78" i="31" s="1"/>
  <c r="H48" i="25"/>
  <c r="CQ56" i="31" s="1"/>
  <c r="CQ78" i="31" s="1"/>
  <c r="G48" i="25"/>
  <c r="CP56" i="31" s="1"/>
  <c r="CP78" i="31" s="1"/>
  <c r="F48" i="25"/>
  <c r="CO56" i="31" s="1"/>
  <c r="CO78" i="31" s="1"/>
  <c r="E48" i="25"/>
  <c r="CN56" i="31" s="1"/>
  <c r="CN78" i="31" s="1"/>
  <c r="D48" i="25"/>
  <c r="CM56" i="31" s="1"/>
  <c r="CM78" i="31" s="1"/>
  <c r="C48" i="25"/>
  <c r="CL56" i="31" s="1"/>
  <c r="CL78" i="31" s="1"/>
  <c r="B48" i="25"/>
  <c r="CK56" i="31" s="1"/>
  <c r="CK78" i="31" s="1"/>
  <c r="A48" i="25"/>
  <c r="CJ56" i="31" s="1"/>
  <c r="CJ67" i="31" s="1"/>
  <c r="CJ78" i="31" s="1"/>
  <c r="Y47" i="25"/>
  <c r="DH55" i="31" s="1"/>
  <c r="DH77" i="31" s="1"/>
  <c r="X47" i="25"/>
  <c r="DG55" i="31" s="1"/>
  <c r="DG77" i="31" s="1"/>
  <c r="W47" i="25"/>
  <c r="DF55" i="31" s="1"/>
  <c r="DF77" i="31" s="1"/>
  <c r="V47" i="25"/>
  <c r="DE55" i="31" s="1"/>
  <c r="DE77" i="31" s="1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CY55" i="31" s="1"/>
  <c r="CY77" i="31" s="1"/>
  <c r="O47" i="25"/>
  <c r="CX55" i="31" s="1"/>
  <c r="CX77" i="31" s="1"/>
  <c r="N47" i="25"/>
  <c r="CW55" i="31" s="1"/>
  <c r="CW77" i="31" s="1"/>
  <c r="M47" i="25"/>
  <c r="CV55" i="31" s="1"/>
  <c r="CV77" i="31" s="1"/>
  <c r="L47" i="25"/>
  <c r="CU55" i="31" s="1"/>
  <c r="CU77" i="31" s="1"/>
  <c r="K47" i="25"/>
  <c r="CT55" i="31" s="1"/>
  <c r="CT77" i="31" s="1"/>
  <c r="J47" i="25"/>
  <c r="CS55" i="31" s="1"/>
  <c r="CS77" i="31" s="1"/>
  <c r="I47" i="25"/>
  <c r="CR55" i="31" s="1"/>
  <c r="CR77" i="31" s="1"/>
  <c r="H47" i="25"/>
  <c r="CQ55" i="31" s="1"/>
  <c r="CQ77" i="31" s="1"/>
  <c r="G47" i="25"/>
  <c r="CP55" i="31" s="1"/>
  <c r="CP77" i="31" s="1"/>
  <c r="F47" i="25"/>
  <c r="CO55" i="31" s="1"/>
  <c r="CO77" i="31" s="1"/>
  <c r="E47" i="25"/>
  <c r="CN55" i="31" s="1"/>
  <c r="CN77" i="31" s="1"/>
  <c r="D47" i="25"/>
  <c r="CM55" i="31" s="1"/>
  <c r="CM77" i="31" s="1"/>
  <c r="C47" i="25"/>
  <c r="CL55" i="31" s="1"/>
  <c r="CL77" i="31" s="1"/>
  <c r="B47" i="25"/>
  <c r="CK55" i="31" s="1"/>
  <c r="CK77" i="31" s="1"/>
  <c r="A47" i="25"/>
  <c r="CJ55" i="31" s="1"/>
  <c r="CJ66" i="31" s="1"/>
  <c r="CJ77" i="31" s="1"/>
  <c r="Y46" i="25"/>
  <c r="DH54" i="31" s="1"/>
  <c r="DH76" i="31" s="1"/>
  <c r="X46" i="25"/>
  <c r="DG54" i="31" s="1"/>
  <c r="DG76" i="31" s="1"/>
  <c r="W46" i="25"/>
  <c r="DF54" i="31" s="1"/>
  <c r="DF76" i="31" s="1"/>
  <c r="V46" i="25"/>
  <c r="DE54" i="31" s="1"/>
  <c r="DE76" i="31" s="1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CY54" i="31" s="1"/>
  <c r="CY76" i="31" s="1"/>
  <c r="O46" i="25"/>
  <c r="CX54" i="31" s="1"/>
  <c r="CX76" i="31" s="1"/>
  <c r="N46" i="25"/>
  <c r="CW54" i="31" s="1"/>
  <c r="CW76" i="31" s="1"/>
  <c r="M46" i="25"/>
  <c r="CV54" i="31" s="1"/>
  <c r="CV76" i="31" s="1"/>
  <c r="L46" i="25"/>
  <c r="CU54" i="31" s="1"/>
  <c r="CU76" i="31" s="1"/>
  <c r="K46" i="25"/>
  <c r="CT54" i="31" s="1"/>
  <c r="CT76" i="31" s="1"/>
  <c r="J46" i="25"/>
  <c r="CS54" i="31" s="1"/>
  <c r="CS76" i="31" s="1"/>
  <c r="I46" i="25"/>
  <c r="CR54" i="31" s="1"/>
  <c r="CR76" i="31" s="1"/>
  <c r="H46" i="25"/>
  <c r="CQ54" i="31" s="1"/>
  <c r="CQ76" i="31" s="1"/>
  <c r="G46" i="25"/>
  <c r="CP54" i="31" s="1"/>
  <c r="CP76" i="31" s="1"/>
  <c r="F46" i="25"/>
  <c r="CO54" i="31" s="1"/>
  <c r="CO76" i="31" s="1"/>
  <c r="E46" i="25"/>
  <c r="CN54" i="31" s="1"/>
  <c r="CN76" i="31" s="1"/>
  <c r="D46" i="25"/>
  <c r="CM54" i="31" s="1"/>
  <c r="CM76" i="31" s="1"/>
  <c r="C46" i="25"/>
  <c r="CL54" i="31" s="1"/>
  <c r="CL76" i="31" s="1"/>
  <c r="B46" i="25"/>
  <c r="CK54" i="31" s="1"/>
  <c r="CK76" i="31" s="1"/>
  <c r="A46" i="25"/>
  <c r="CJ54" i="31" s="1"/>
  <c r="CJ65" i="31" s="1"/>
  <c r="CJ76" i="31" s="1"/>
  <c r="Y45" i="25"/>
  <c r="DH53" i="31" s="1"/>
  <c r="DH75" i="31" s="1"/>
  <c r="X45" i="25"/>
  <c r="DG53" i="31" s="1"/>
  <c r="DG75" i="31" s="1"/>
  <c r="W45" i="25"/>
  <c r="DF53" i="31" s="1"/>
  <c r="DF75" i="31" s="1"/>
  <c r="V45" i="25"/>
  <c r="DE53" i="31" s="1"/>
  <c r="DE75" i="31" s="1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CY53" i="31" s="1"/>
  <c r="CY75" i="31" s="1"/>
  <c r="O45" i="25"/>
  <c r="CX53" i="31" s="1"/>
  <c r="CX75" i="31" s="1"/>
  <c r="N45" i="25"/>
  <c r="CW53" i="31" s="1"/>
  <c r="CW75" i="31" s="1"/>
  <c r="M45" i="25"/>
  <c r="CV53" i="31" s="1"/>
  <c r="CV75" i="31" s="1"/>
  <c r="L45" i="25"/>
  <c r="CU53" i="31" s="1"/>
  <c r="CU75" i="31" s="1"/>
  <c r="K45" i="25"/>
  <c r="CT53" i="31" s="1"/>
  <c r="CT75" i="31" s="1"/>
  <c r="J45" i="25"/>
  <c r="CS53" i="31" s="1"/>
  <c r="CS75" i="31" s="1"/>
  <c r="I45" i="25"/>
  <c r="CR53" i="31" s="1"/>
  <c r="CR75" i="31" s="1"/>
  <c r="H45" i="25"/>
  <c r="CQ53" i="31" s="1"/>
  <c r="CQ75" i="31" s="1"/>
  <c r="G45" i="25"/>
  <c r="CP53" i="31" s="1"/>
  <c r="CP75" i="31" s="1"/>
  <c r="F45" i="25"/>
  <c r="CO53" i="31" s="1"/>
  <c r="CO75" i="31" s="1"/>
  <c r="E45" i="25"/>
  <c r="CN53" i="31" s="1"/>
  <c r="CN75" i="31" s="1"/>
  <c r="D45" i="25"/>
  <c r="CM53" i="31" s="1"/>
  <c r="CM75" i="31" s="1"/>
  <c r="C45" i="25"/>
  <c r="CL53" i="31" s="1"/>
  <c r="CL75" i="31" s="1"/>
  <c r="B45" i="25"/>
  <c r="CK53" i="31" s="1"/>
  <c r="CK75" i="31" s="1"/>
  <c r="A45" i="25"/>
  <c r="CJ53" i="31" s="1"/>
  <c r="CJ64" i="31" s="1"/>
  <c r="CJ75" i="31" s="1"/>
  <c r="Y44" i="25"/>
  <c r="DH52" i="31" s="1"/>
  <c r="DH74" i="31" s="1"/>
  <c r="X44" i="25"/>
  <c r="DG52" i="31" s="1"/>
  <c r="DG74" i="31" s="1"/>
  <c r="W44" i="25"/>
  <c r="DF52" i="31" s="1"/>
  <c r="DF74" i="31" s="1"/>
  <c r="V44" i="25"/>
  <c r="DE52" i="31" s="1"/>
  <c r="DE74" i="31" s="1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CY52" i="31" s="1"/>
  <c r="CY74" i="31" s="1"/>
  <c r="O44" i="25"/>
  <c r="CX52" i="31" s="1"/>
  <c r="CX74" i="31" s="1"/>
  <c r="N44" i="25"/>
  <c r="CW52" i="31" s="1"/>
  <c r="CW74" i="31" s="1"/>
  <c r="M44" i="25"/>
  <c r="CV52" i="31" s="1"/>
  <c r="CV74" i="31" s="1"/>
  <c r="L44" i="25"/>
  <c r="CU52" i="31" s="1"/>
  <c r="CU74" i="31" s="1"/>
  <c r="K44" i="25"/>
  <c r="CT52" i="31" s="1"/>
  <c r="CT74" i="31" s="1"/>
  <c r="J44" i="25"/>
  <c r="CS52" i="31" s="1"/>
  <c r="CS74" i="31" s="1"/>
  <c r="I44" i="25"/>
  <c r="CR52" i="31" s="1"/>
  <c r="CR74" i="31" s="1"/>
  <c r="H44" i="25"/>
  <c r="CQ52" i="31" s="1"/>
  <c r="CQ74" i="31" s="1"/>
  <c r="G44" i="25"/>
  <c r="CP52" i="31" s="1"/>
  <c r="CP74" i="31" s="1"/>
  <c r="F44" i="25"/>
  <c r="CO52" i="31" s="1"/>
  <c r="CO74" i="31" s="1"/>
  <c r="E44" i="25"/>
  <c r="CN52" i="31" s="1"/>
  <c r="CN74" i="31" s="1"/>
  <c r="D44" i="25"/>
  <c r="CM52" i="31" s="1"/>
  <c r="CM74" i="31" s="1"/>
  <c r="C44" i="25"/>
  <c r="CL52" i="31" s="1"/>
  <c r="CL74" i="31" s="1"/>
  <c r="B44" i="25"/>
  <c r="CK52" i="31" s="1"/>
  <c r="CK74" i="31" s="1"/>
  <c r="A44" i="25"/>
  <c r="CJ52" i="31" s="1"/>
  <c r="CJ63" i="31" s="1"/>
  <c r="CJ74" i="31" s="1"/>
  <c r="Y43" i="25"/>
  <c r="DH51" i="31" s="1"/>
  <c r="DH73" i="31" s="1"/>
  <c r="X43" i="25"/>
  <c r="DG51" i="31" s="1"/>
  <c r="DG73" i="31" s="1"/>
  <c r="W43" i="25"/>
  <c r="DF51" i="31" s="1"/>
  <c r="DF73" i="31" s="1"/>
  <c r="V43" i="25"/>
  <c r="DE51" i="31" s="1"/>
  <c r="DE73" i="31" s="1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CY51" i="31" s="1"/>
  <c r="CY73" i="31" s="1"/>
  <c r="O43" i="25"/>
  <c r="CX51" i="31" s="1"/>
  <c r="CX73" i="31" s="1"/>
  <c r="N43" i="25"/>
  <c r="CW51" i="31" s="1"/>
  <c r="CW73" i="31" s="1"/>
  <c r="M43" i="25"/>
  <c r="CV51" i="31" s="1"/>
  <c r="CV73" i="31" s="1"/>
  <c r="L43" i="25"/>
  <c r="CU51" i="31" s="1"/>
  <c r="CU73" i="31" s="1"/>
  <c r="K43" i="25"/>
  <c r="CT51" i="31" s="1"/>
  <c r="CT73" i="31" s="1"/>
  <c r="J43" i="25"/>
  <c r="CS51" i="31" s="1"/>
  <c r="CS73" i="31" s="1"/>
  <c r="I43" i="25"/>
  <c r="CR51" i="31" s="1"/>
  <c r="CR73" i="31" s="1"/>
  <c r="H43" i="25"/>
  <c r="CQ51" i="31" s="1"/>
  <c r="CQ73" i="31" s="1"/>
  <c r="G43" i="25"/>
  <c r="CP51" i="31" s="1"/>
  <c r="CP73" i="31" s="1"/>
  <c r="F43" i="25"/>
  <c r="CO51" i="31" s="1"/>
  <c r="CO73" i="31" s="1"/>
  <c r="E43" i="25"/>
  <c r="CN51" i="31" s="1"/>
  <c r="CN73" i="31" s="1"/>
  <c r="D43" i="25"/>
  <c r="CM51" i="31" s="1"/>
  <c r="CM73" i="31" s="1"/>
  <c r="C43" i="25"/>
  <c r="CL51" i="31" s="1"/>
  <c r="CL73" i="31" s="1"/>
  <c r="B43" i="25"/>
  <c r="CK51" i="31" s="1"/>
  <c r="CK73" i="31" s="1"/>
  <c r="A43" i="25"/>
  <c r="CJ51" i="31" s="1"/>
  <c r="CJ62" i="31" s="1"/>
  <c r="CJ73" i="31" s="1"/>
  <c r="Y42" i="25"/>
  <c r="DH50" i="31" s="1"/>
  <c r="DH72" i="31" s="1"/>
  <c r="X42" i="25"/>
  <c r="DG50" i="31" s="1"/>
  <c r="DG72" i="31" s="1"/>
  <c r="W42" i="25"/>
  <c r="DF50" i="31" s="1"/>
  <c r="DF72" i="31" s="1"/>
  <c r="V42" i="25"/>
  <c r="DE50" i="31" s="1"/>
  <c r="DE72" i="31" s="1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CY50" i="31" s="1"/>
  <c r="CY72" i="31" s="1"/>
  <c r="O42" i="25"/>
  <c r="CX50" i="31" s="1"/>
  <c r="CX72" i="31" s="1"/>
  <c r="N42" i="25"/>
  <c r="CW50" i="31" s="1"/>
  <c r="CW72" i="31" s="1"/>
  <c r="M42" i="25"/>
  <c r="CV50" i="31" s="1"/>
  <c r="CV72" i="31" s="1"/>
  <c r="L42" i="25"/>
  <c r="CU50" i="31" s="1"/>
  <c r="CU72" i="31" s="1"/>
  <c r="K42" i="25"/>
  <c r="CT50" i="31" s="1"/>
  <c r="CT72" i="31" s="1"/>
  <c r="J42" i="25"/>
  <c r="CS50" i="31" s="1"/>
  <c r="CS72" i="31" s="1"/>
  <c r="I42" i="25"/>
  <c r="CR50" i="31" s="1"/>
  <c r="CR72" i="31" s="1"/>
  <c r="H42" i="25"/>
  <c r="CQ50" i="31" s="1"/>
  <c r="CQ72" i="31" s="1"/>
  <c r="G42" i="25"/>
  <c r="CP50" i="31" s="1"/>
  <c r="CP72" i="31" s="1"/>
  <c r="F42" i="25"/>
  <c r="CO50" i="31" s="1"/>
  <c r="CO72" i="31" s="1"/>
  <c r="E42" i="25"/>
  <c r="CN50" i="31" s="1"/>
  <c r="CN72" i="31" s="1"/>
  <c r="D42" i="25"/>
  <c r="CM50" i="31" s="1"/>
  <c r="CM72" i="31" s="1"/>
  <c r="C42" i="25"/>
  <c r="CL50" i="31" s="1"/>
  <c r="CL72" i="31" s="1"/>
  <c r="B42" i="25"/>
  <c r="CK50" i="31" s="1"/>
  <c r="CK72" i="31" s="1"/>
  <c r="A42" i="25"/>
  <c r="CJ50" i="31" s="1"/>
  <c r="CJ61" i="31" s="1"/>
  <c r="CJ72" i="31" s="1"/>
  <c r="Y41" i="25"/>
  <c r="DH49" i="31" s="1"/>
  <c r="DH71" i="31" s="1"/>
  <c r="X41" i="25"/>
  <c r="DG49" i="31" s="1"/>
  <c r="DG71" i="31" s="1"/>
  <c r="W41" i="25"/>
  <c r="DF49" i="31" s="1"/>
  <c r="DF71" i="31" s="1"/>
  <c r="V41" i="25"/>
  <c r="DE49" i="31" s="1"/>
  <c r="DE71" i="31" s="1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CY49" i="31" s="1"/>
  <c r="CY71" i="31" s="1"/>
  <c r="O41" i="25"/>
  <c r="CX49" i="31" s="1"/>
  <c r="CX71" i="31" s="1"/>
  <c r="N41" i="25"/>
  <c r="CW49" i="31" s="1"/>
  <c r="CW71" i="31" s="1"/>
  <c r="M41" i="25"/>
  <c r="CV49" i="31" s="1"/>
  <c r="CV71" i="31" s="1"/>
  <c r="L41" i="25"/>
  <c r="CU49" i="31" s="1"/>
  <c r="CU71" i="31" s="1"/>
  <c r="K41" i="25"/>
  <c r="CT49" i="31" s="1"/>
  <c r="CT71" i="31" s="1"/>
  <c r="J41" i="25"/>
  <c r="CS49" i="31" s="1"/>
  <c r="CS71" i="31" s="1"/>
  <c r="I41" i="25"/>
  <c r="CR49" i="31" s="1"/>
  <c r="CR71" i="31" s="1"/>
  <c r="H41" i="25"/>
  <c r="CQ49" i="31" s="1"/>
  <c r="CQ71" i="31" s="1"/>
  <c r="G41" i="25"/>
  <c r="CP49" i="31" s="1"/>
  <c r="CP71" i="31" s="1"/>
  <c r="F41" i="25"/>
  <c r="CO49" i="31" s="1"/>
  <c r="CO71" i="31" s="1"/>
  <c r="E41" i="25"/>
  <c r="CN49" i="31" s="1"/>
  <c r="CN71" i="31" s="1"/>
  <c r="D41" i="25"/>
  <c r="CM49" i="31" s="1"/>
  <c r="CM71" i="31" s="1"/>
  <c r="C41" i="25"/>
  <c r="CL49" i="31" s="1"/>
  <c r="CL71" i="31" s="1"/>
  <c r="B41" i="25"/>
  <c r="CK49" i="31" s="1"/>
  <c r="CK71" i="31" s="1"/>
  <c r="A41" i="25"/>
  <c r="CJ49" i="31" s="1"/>
  <c r="CJ60" i="31" s="1"/>
  <c r="CJ71" i="31" s="1"/>
  <c r="Y40" i="25"/>
  <c r="DH48" i="31" s="1"/>
  <c r="DH70" i="31" s="1"/>
  <c r="X40" i="25"/>
  <c r="DG48" i="31" s="1"/>
  <c r="DG70" i="31" s="1"/>
  <c r="W40" i="25"/>
  <c r="DF48" i="31" s="1"/>
  <c r="DF70" i="31" s="1"/>
  <c r="V40" i="25"/>
  <c r="DE48" i="31" s="1"/>
  <c r="DE70" i="31" s="1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CY48" i="31" s="1"/>
  <c r="CY70" i="31" s="1"/>
  <c r="O40" i="25"/>
  <c r="CX48" i="31" s="1"/>
  <c r="CX70" i="31" s="1"/>
  <c r="N40" i="25"/>
  <c r="CW48" i="31" s="1"/>
  <c r="CW70" i="31" s="1"/>
  <c r="M40" i="25"/>
  <c r="CV48" i="31" s="1"/>
  <c r="CV70" i="31" s="1"/>
  <c r="L40" i="25"/>
  <c r="CU48" i="31" s="1"/>
  <c r="CU70" i="31" s="1"/>
  <c r="K40" i="25"/>
  <c r="CT48" i="31" s="1"/>
  <c r="CT70" i="31" s="1"/>
  <c r="J40" i="25"/>
  <c r="CS48" i="31" s="1"/>
  <c r="CS70" i="31" s="1"/>
  <c r="I40" i="25"/>
  <c r="CR48" i="31" s="1"/>
  <c r="CR70" i="31" s="1"/>
  <c r="H40" i="25"/>
  <c r="CQ48" i="31" s="1"/>
  <c r="CQ70" i="31" s="1"/>
  <c r="G40" i="25"/>
  <c r="CP48" i="31" s="1"/>
  <c r="CP70" i="31" s="1"/>
  <c r="F40" i="25"/>
  <c r="CO48" i="31" s="1"/>
  <c r="CO70" i="31" s="1"/>
  <c r="E40" i="25"/>
  <c r="CN48" i="31" s="1"/>
  <c r="CN70" i="31" s="1"/>
  <c r="D40" i="25"/>
  <c r="CM48" i="31" s="1"/>
  <c r="CM70" i="31" s="1"/>
  <c r="C40" i="25"/>
  <c r="CL48" i="31" s="1"/>
  <c r="CL70" i="31" s="1"/>
  <c r="B40" i="25"/>
  <c r="CK48" i="31" s="1"/>
  <c r="CK70" i="31" s="1"/>
  <c r="A40" i="25"/>
  <c r="CJ48" i="31" s="1"/>
  <c r="CJ59" i="31" s="1"/>
  <c r="CJ70" i="31" s="1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C176" i="24"/>
  <c r="B176" i="24"/>
  <c r="A176" i="24"/>
  <c r="Q175" i="24"/>
  <c r="P175" i="24"/>
  <c r="O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E164" i="24"/>
  <c r="D164" i="24"/>
  <c r="C164" i="24"/>
  <c r="B164" i="24"/>
  <c r="A164" i="24"/>
  <c r="Y163" i="24"/>
  <c r="X163" i="24"/>
  <c r="C163" i="24"/>
  <c r="B163" i="24"/>
  <c r="A163" i="24"/>
  <c r="Y162" i="24"/>
  <c r="X162" i="24"/>
  <c r="U162" i="24"/>
  <c r="S162" i="24"/>
  <c r="R162" i="24"/>
  <c r="N162" i="24"/>
  <c r="M162" i="24"/>
  <c r="L162" i="24"/>
  <c r="K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G114" i="33" s="1"/>
  <c r="A84" i="24"/>
  <c r="G113" i="33" s="1"/>
  <c r="A83" i="24"/>
  <c r="G112" i="33" s="1"/>
  <c r="A82" i="24"/>
  <c r="G111" i="33" s="1"/>
  <c r="A81" i="24"/>
  <c r="G110" i="33" s="1"/>
  <c r="A80" i="24"/>
  <c r="G109" i="33" s="1"/>
  <c r="A79" i="24"/>
  <c r="G108" i="33" s="1"/>
  <c r="A78" i="24"/>
  <c r="G107" i="33" s="1"/>
  <c r="A77" i="24"/>
  <c r="G106" i="33" s="1"/>
  <c r="A76" i="24"/>
  <c r="G105" i="33" s="1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CF56" i="31" s="1"/>
  <c r="CF78" i="31" s="1"/>
  <c r="X48" i="24"/>
  <c r="CE56" i="31" s="1"/>
  <c r="CE78" i="31" s="1"/>
  <c r="W48" i="24"/>
  <c r="CD56" i="31" s="1"/>
  <c r="CD78" i="31" s="1"/>
  <c r="V48" i="24"/>
  <c r="CC56" i="31" s="1"/>
  <c r="CC78" i="31" s="1"/>
  <c r="U48" i="24"/>
  <c r="CB56" i="31" s="1"/>
  <c r="CB78" i="31" s="1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BS56" i="31" s="1"/>
  <c r="BS78" i="31" s="1"/>
  <c r="K48" i="24"/>
  <c r="J48" i="24"/>
  <c r="I48" i="24"/>
  <c r="H48" i="24"/>
  <c r="BO56" i="31" s="1"/>
  <c r="BO78" i="31" s="1"/>
  <c r="G48" i="24"/>
  <c r="BN56" i="31" s="1"/>
  <c r="BN78" i="31" s="1"/>
  <c r="F48" i="24"/>
  <c r="BM56" i="31" s="1"/>
  <c r="BM78" i="31" s="1"/>
  <c r="E48" i="24"/>
  <c r="BL56" i="31" s="1"/>
  <c r="BL78" i="31" s="1"/>
  <c r="D48" i="24"/>
  <c r="BK56" i="31" s="1"/>
  <c r="BK78" i="31" s="1"/>
  <c r="C48" i="24"/>
  <c r="B48" i="24"/>
  <c r="A48" i="24"/>
  <c r="BH56" i="31" s="1"/>
  <c r="BH67" i="31" s="1"/>
  <c r="BH78" i="31" s="1"/>
  <c r="Y47" i="24"/>
  <c r="CF55" i="31" s="1"/>
  <c r="CF77" i="31" s="1"/>
  <c r="X47" i="24"/>
  <c r="W47" i="24"/>
  <c r="CD55" i="31" s="1"/>
  <c r="CD77" i="31" s="1"/>
  <c r="V47" i="24"/>
  <c r="CC55" i="31" s="1"/>
  <c r="CC77" i="31" s="1"/>
  <c r="U47" i="24"/>
  <c r="CB55" i="31" s="1"/>
  <c r="CB77" i="31" s="1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K47" i="24"/>
  <c r="J47" i="24"/>
  <c r="I47" i="24"/>
  <c r="H47" i="24"/>
  <c r="G47" i="24"/>
  <c r="BN55" i="31" s="1"/>
  <c r="BN77" i="31" s="1"/>
  <c r="F47" i="24"/>
  <c r="BM55" i="31" s="1"/>
  <c r="BM77" i="31" s="1"/>
  <c r="E47" i="24"/>
  <c r="BL55" i="31" s="1"/>
  <c r="BL77" i="31" s="1"/>
  <c r="D47" i="24"/>
  <c r="BK55" i="31" s="1"/>
  <c r="BK77" i="31" s="1"/>
  <c r="C47" i="24"/>
  <c r="B47" i="24"/>
  <c r="A47" i="24"/>
  <c r="BH55" i="31" s="1"/>
  <c r="BH66" i="31" s="1"/>
  <c r="BH77" i="31" s="1"/>
  <c r="Y46" i="24"/>
  <c r="X46" i="24"/>
  <c r="CE54" i="31" s="1"/>
  <c r="CE76" i="31" s="1"/>
  <c r="W46" i="24"/>
  <c r="CD54" i="31" s="1"/>
  <c r="CD76" i="31" s="1"/>
  <c r="V46" i="24"/>
  <c r="CC54" i="31" s="1"/>
  <c r="CC76" i="31" s="1"/>
  <c r="U46" i="24"/>
  <c r="CB54" i="31" s="1"/>
  <c r="CB76" i="31" s="1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BS54" i="31" s="1"/>
  <c r="BS76" i="31" s="1"/>
  <c r="K46" i="24"/>
  <c r="BR54" i="31" s="1"/>
  <c r="BR76" i="31" s="1"/>
  <c r="J46" i="24"/>
  <c r="BQ54" i="31" s="1"/>
  <c r="BQ76" i="31" s="1"/>
  <c r="I46" i="24"/>
  <c r="BP54" i="31" s="1"/>
  <c r="BP76" i="31" s="1"/>
  <c r="H46" i="24"/>
  <c r="BO54" i="31" s="1"/>
  <c r="BO76" i="31" s="1"/>
  <c r="G46" i="24"/>
  <c r="BN54" i="31" s="1"/>
  <c r="BN76" i="31" s="1"/>
  <c r="F46" i="24"/>
  <c r="E46" i="24"/>
  <c r="D46" i="24"/>
  <c r="C46" i="24"/>
  <c r="B46" i="24"/>
  <c r="BI54" i="31" s="1"/>
  <c r="BI76" i="31" s="1"/>
  <c r="A46" i="24"/>
  <c r="BH54" i="31" s="1"/>
  <c r="BH65" i="31" s="1"/>
  <c r="BH76" i="31" s="1"/>
  <c r="Y45" i="24"/>
  <c r="CF53" i="31" s="1"/>
  <c r="CF75" i="31" s="1"/>
  <c r="X45" i="24"/>
  <c r="CE53" i="31" s="1"/>
  <c r="CE75" i="31" s="1"/>
  <c r="W45" i="24"/>
  <c r="CD53" i="31" s="1"/>
  <c r="CD75" i="31" s="1"/>
  <c r="V45" i="24"/>
  <c r="U45" i="24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K45" i="24"/>
  <c r="BR53" i="31" s="1"/>
  <c r="BR75" i="31" s="1"/>
  <c r="J45" i="24"/>
  <c r="I45" i="24"/>
  <c r="BP53" i="31" s="1"/>
  <c r="BP75" i="31" s="1"/>
  <c r="H45" i="24"/>
  <c r="BO53" i="31" s="1"/>
  <c r="BO75" i="31" s="1"/>
  <c r="G45" i="24"/>
  <c r="BN53" i="31" s="1"/>
  <c r="BN75" i="31" s="1"/>
  <c r="F45" i="24"/>
  <c r="E45" i="24"/>
  <c r="D45" i="24"/>
  <c r="C45" i="24"/>
  <c r="BJ53" i="31" s="1"/>
  <c r="BJ75" i="31" s="1"/>
  <c r="B45" i="24"/>
  <c r="BI53" i="31" s="1"/>
  <c r="BI75" i="31" s="1"/>
  <c r="A45" i="24"/>
  <c r="BH53" i="31" s="1"/>
  <c r="BH64" i="31" s="1"/>
  <c r="BH75" i="31" s="1"/>
  <c r="Y44" i="24"/>
  <c r="CF52" i="31" s="1"/>
  <c r="CF74" i="31" s="1"/>
  <c r="X44" i="24"/>
  <c r="CE52" i="31" s="1"/>
  <c r="CE74" i="31" s="1"/>
  <c r="W44" i="24"/>
  <c r="V44" i="24"/>
  <c r="U44" i="24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BS52" i="31" s="1"/>
  <c r="BS74" i="31" s="1"/>
  <c r="K44" i="24"/>
  <c r="J44" i="24"/>
  <c r="BQ52" i="31" s="1"/>
  <c r="BQ74" i="31" s="1"/>
  <c r="I44" i="24"/>
  <c r="BP52" i="31" s="1"/>
  <c r="BP74" i="31" s="1"/>
  <c r="H44" i="24"/>
  <c r="BO52" i="31" s="1"/>
  <c r="BO74" i="31" s="1"/>
  <c r="G44" i="24"/>
  <c r="BN52" i="31" s="1"/>
  <c r="BN74" i="31" s="1"/>
  <c r="F44" i="24"/>
  <c r="BM52" i="31" s="1"/>
  <c r="BM74" i="31" s="1"/>
  <c r="E44" i="24"/>
  <c r="D44" i="24"/>
  <c r="BK52" i="31" s="1"/>
  <c r="BK74" i="31" s="1"/>
  <c r="C44" i="24"/>
  <c r="BJ52" i="31" s="1"/>
  <c r="BJ74" i="31" s="1"/>
  <c r="B44" i="24"/>
  <c r="A44" i="24"/>
  <c r="BH52" i="31" s="1"/>
  <c r="BH63" i="31" s="1"/>
  <c r="BH74" i="31" s="1"/>
  <c r="Y43" i="24"/>
  <c r="CF51" i="31" s="1"/>
  <c r="CF73" i="31" s="1"/>
  <c r="X43" i="24"/>
  <c r="W43" i="24"/>
  <c r="CD51" i="31" s="1"/>
  <c r="CD73" i="31" s="1"/>
  <c r="V43" i="24"/>
  <c r="U43" i="24"/>
  <c r="CB51" i="31" s="1"/>
  <c r="CB73" i="31" s="1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K43" i="24"/>
  <c r="BR51" i="31" s="1"/>
  <c r="BR73" i="31" s="1"/>
  <c r="J43" i="24"/>
  <c r="BQ51" i="31" s="1"/>
  <c r="BQ73" i="31" s="1"/>
  <c r="I43" i="24"/>
  <c r="H43" i="24"/>
  <c r="G43" i="24"/>
  <c r="BN51" i="31" s="1"/>
  <c r="BN73" i="31" s="1"/>
  <c r="F43" i="24"/>
  <c r="BM51" i="31" s="1"/>
  <c r="BM73" i="31" s="1"/>
  <c r="E43" i="24"/>
  <c r="BL51" i="31" s="1"/>
  <c r="BL73" i="31" s="1"/>
  <c r="D43" i="24"/>
  <c r="BK51" i="31" s="1"/>
  <c r="BK73" i="31" s="1"/>
  <c r="C43" i="24"/>
  <c r="BJ51" i="31" s="1"/>
  <c r="BJ73" i="31" s="1"/>
  <c r="B43" i="24"/>
  <c r="BI51" i="31" s="1"/>
  <c r="BI73" i="31" s="1"/>
  <c r="A43" i="24"/>
  <c r="BH51" i="31" s="1"/>
  <c r="BH62" i="31" s="1"/>
  <c r="BH73" i="31" s="1"/>
  <c r="Y42" i="24"/>
  <c r="X42" i="24"/>
  <c r="W42" i="24"/>
  <c r="V42" i="24"/>
  <c r="CC50" i="31" s="1"/>
  <c r="CC72" i="31" s="1"/>
  <c r="U42" i="24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BS50" i="31" s="1"/>
  <c r="BS72" i="31" s="1"/>
  <c r="K42" i="24"/>
  <c r="BR50" i="31" s="1"/>
  <c r="BR72" i="31" s="1"/>
  <c r="J42" i="24"/>
  <c r="BQ50" i="31" s="1"/>
  <c r="BQ72" i="31" s="1"/>
  <c r="I42" i="24"/>
  <c r="H42" i="24"/>
  <c r="G42" i="24"/>
  <c r="F42" i="24"/>
  <c r="BM50" i="31" s="1"/>
  <c r="BM72" i="31" s="1"/>
  <c r="E42" i="24"/>
  <c r="D42" i="24"/>
  <c r="BK50" i="31" s="1"/>
  <c r="BK72" i="31" s="1"/>
  <c r="C42" i="24"/>
  <c r="BJ50" i="31" s="1"/>
  <c r="BJ72" i="31" s="1"/>
  <c r="B42" i="24"/>
  <c r="BI50" i="31" s="1"/>
  <c r="BI72" i="31" s="1"/>
  <c r="A42" i="24"/>
  <c r="BH50" i="31" s="1"/>
  <c r="BH61" i="31" s="1"/>
  <c r="BH72" i="31" s="1"/>
  <c r="Y41" i="24"/>
  <c r="X41" i="24"/>
  <c r="W41" i="24"/>
  <c r="V41" i="24"/>
  <c r="U41" i="24"/>
  <c r="CB49" i="31" s="1"/>
  <c r="CB71" i="31" s="1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BS49" i="31" s="1"/>
  <c r="BS71" i="31" s="1"/>
  <c r="K41" i="24"/>
  <c r="BR49" i="31" s="1"/>
  <c r="BR71" i="31" s="1"/>
  <c r="J41" i="24"/>
  <c r="BQ49" i="31" s="1"/>
  <c r="BQ71" i="31" s="1"/>
  <c r="I41" i="24"/>
  <c r="BP49" i="31" s="1"/>
  <c r="BP71" i="31" s="1"/>
  <c r="H41" i="24"/>
  <c r="G41" i="24"/>
  <c r="BN49" i="31" s="1"/>
  <c r="BN71" i="31" s="1"/>
  <c r="F41" i="24"/>
  <c r="BM49" i="31" s="1"/>
  <c r="BM71" i="31" s="1"/>
  <c r="E41" i="24"/>
  <c r="BL49" i="31" s="1"/>
  <c r="BL71" i="31" s="1"/>
  <c r="D41" i="24"/>
  <c r="BK49" i="31" s="1"/>
  <c r="BK71" i="31" s="1"/>
  <c r="C41" i="24"/>
  <c r="BJ49" i="31" s="1"/>
  <c r="BJ71" i="31" s="1"/>
  <c r="B41" i="24"/>
  <c r="A41" i="24"/>
  <c r="BH49" i="31" s="1"/>
  <c r="BH60" i="31" s="1"/>
  <c r="BH71" i="31" s="1"/>
  <c r="Y40" i="24"/>
  <c r="X40" i="24"/>
  <c r="CE48" i="31" s="1"/>
  <c r="CE70" i="31" s="1"/>
  <c r="W40" i="24"/>
  <c r="V40" i="24"/>
  <c r="CC48" i="31" s="1"/>
  <c r="CC70" i="31" s="1"/>
  <c r="U40" i="24"/>
  <c r="CB48" i="31" s="1"/>
  <c r="CB70" i="31" s="1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BT48" i="31" s="1"/>
  <c r="BT70" i="31" s="1"/>
  <c r="L40" i="24"/>
  <c r="BS48" i="31" s="1"/>
  <c r="BS70" i="31" s="1"/>
  <c r="K40" i="24"/>
  <c r="J40" i="24"/>
  <c r="I40" i="24"/>
  <c r="H40" i="24"/>
  <c r="BO48" i="31" s="1"/>
  <c r="BO70" i="31" s="1"/>
  <c r="G40" i="24"/>
  <c r="BN48" i="31" s="1"/>
  <c r="BN70" i="31" s="1"/>
  <c r="F40" i="24"/>
  <c r="E40" i="24"/>
  <c r="BL48" i="31" s="1"/>
  <c r="BL70" i="31" s="1"/>
  <c r="D40" i="24"/>
  <c r="BK48" i="31" s="1"/>
  <c r="BK70" i="31" s="1"/>
  <c r="C40" i="24"/>
  <c r="BJ48" i="31" s="1"/>
  <c r="BJ70" i="31" s="1"/>
  <c r="B40" i="24"/>
  <c r="BI48" i="31" s="1"/>
  <c r="BI70" i="31" s="1"/>
  <c r="A40" i="24"/>
  <c r="BH48" i="31" s="1"/>
  <c r="BH59" i="31" s="1"/>
  <c r="BH70" i="31" s="1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R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D277" i="33" l="1"/>
  <c r="AL208" i="33"/>
  <c r="AL209" i="33"/>
  <c r="AL207" i="33" s="1"/>
  <c r="D210" i="33" s="1"/>
  <c r="J141" i="31"/>
  <c r="C219" i="33" s="1"/>
  <c r="D219" i="33" s="1"/>
  <c r="X248" i="31"/>
  <c r="D278" i="33"/>
  <c r="D291" i="33" s="1"/>
  <c r="C291" i="33"/>
  <c r="CJ79" i="31"/>
  <c r="B94" i="30"/>
  <c r="G63" i="24"/>
  <c r="BN47" i="31"/>
  <c r="BN69" i="31" s="1"/>
  <c r="V63" i="26"/>
  <c r="EG47" i="31"/>
  <c r="EG69" i="31" s="1"/>
  <c r="T65" i="26"/>
  <c r="EE49" i="31"/>
  <c r="EE71" i="31" s="1"/>
  <c r="W70" i="26"/>
  <c r="EH54" i="31"/>
  <c r="EH76" i="31" s="1"/>
  <c r="W64" i="24"/>
  <c r="CD48" i="31"/>
  <c r="CD70" i="31" s="1"/>
  <c r="N65" i="24"/>
  <c r="BU49" i="31"/>
  <c r="BU71" i="31" s="1"/>
  <c r="V65" i="24"/>
  <c r="CC49" i="31"/>
  <c r="CC71" i="31" s="1"/>
  <c r="E66" i="24"/>
  <c r="BL50" i="31"/>
  <c r="BL72" i="31" s="1"/>
  <c r="M66" i="24"/>
  <c r="BT50" i="31"/>
  <c r="BT72" i="31" s="1"/>
  <c r="U66" i="24"/>
  <c r="CB50" i="31"/>
  <c r="CB72" i="31" s="1"/>
  <c r="L67" i="24"/>
  <c r="BS51" i="31"/>
  <c r="BS73" i="31" s="1"/>
  <c r="K68" i="24"/>
  <c r="BR52" i="31"/>
  <c r="BR74" i="31" s="1"/>
  <c r="S68" i="24"/>
  <c r="BZ52" i="31"/>
  <c r="BZ74" i="31" s="1"/>
  <c r="J69" i="24"/>
  <c r="BQ53" i="31"/>
  <c r="BQ75" i="31" s="1"/>
  <c r="Y70" i="24"/>
  <c r="CF54" i="31"/>
  <c r="CF76" i="31" s="1"/>
  <c r="H71" i="24"/>
  <c r="BO55" i="31"/>
  <c r="BO77" i="31" s="1"/>
  <c r="P71" i="24"/>
  <c r="BW55" i="31"/>
  <c r="BW77" i="31" s="1"/>
  <c r="X71" i="24"/>
  <c r="CE55" i="31"/>
  <c r="CE77" i="31" s="1"/>
  <c r="B123" i="29"/>
  <c r="B131" i="29"/>
  <c r="B169" i="29"/>
  <c r="O63" i="26"/>
  <c r="DZ47" i="31"/>
  <c r="DZ69" i="31" s="1"/>
  <c r="N64" i="26"/>
  <c r="DY48" i="31"/>
  <c r="DY70" i="31" s="1"/>
  <c r="U65" i="26"/>
  <c r="EF49" i="31"/>
  <c r="EF71" i="31" s="1"/>
  <c r="T66" i="26"/>
  <c r="EE50" i="31"/>
  <c r="EE72" i="31" s="1"/>
  <c r="C67" i="26"/>
  <c r="DN51" i="31"/>
  <c r="DN73" i="31" s="1"/>
  <c r="K67" i="26"/>
  <c r="DV51" i="31"/>
  <c r="DV73" i="31" s="1"/>
  <c r="B68" i="26"/>
  <c r="DM52" i="31"/>
  <c r="DM74" i="31" s="1"/>
  <c r="J68" i="26"/>
  <c r="DU52" i="31"/>
  <c r="DU74" i="31" s="1"/>
  <c r="R68" i="26"/>
  <c r="EC52" i="31"/>
  <c r="EC74" i="31" s="1"/>
  <c r="I69" i="26"/>
  <c r="DT53" i="31"/>
  <c r="DT75" i="31" s="1"/>
  <c r="Q69" i="26"/>
  <c r="EB53" i="31"/>
  <c r="EB75" i="31" s="1"/>
  <c r="Y69" i="26"/>
  <c r="EJ53" i="31"/>
  <c r="EJ75" i="31" s="1"/>
  <c r="P70" i="26"/>
  <c r="EA54" i="31"/>
  <c r="EA76" i="31" s="1"/>
  <c r="X70" i="26"/>
  <c r="EI54" i="31"/>
  <c r="EI76" i="31" s="1"/>
  <c r="G71" i="26"/>
  <c r="DR55" i="31"/>
  <c r="DR77" i="31" s="1"/>
  <c r="W71" i="26"/>
  <c r="EH55" i="31"/>
  <c r="EH77" i="31" s="1"/>
  <c r="F72" i="26"/>
  <c r="DQ56" i="31"/>
  <c r="DQ78" i="31" s="1"/>
  <c r="N72" i="26"/>
  <c r="DY56" i="31"/>
  <c r="DY78" i="31" s="1"/>
  <c r="V72" i="26"/>
  <c r="EG56" i="31"/>
  <c r="EG78" i="31" s="1"/>
  <c r="C72" i="26"/>
  <c r="O70" i="26"/>
  <c r="DZ54" i="31"/>
  <c r="DZ76" i="31" s="1"/>
  <c r="M72" i="26"/>
  <c r="DX56" i="31"/>
  <c r="DX78" i="31" s="1"/>
  <c r="W65" i="24"/>
  <c r="CD49" i="31"/>
  <c r="CD71" i="31" s="1"/>
  <c r="I71" i="24"/>
  <c r="BP55" i="31"/>
  <c r="BP77" i="31" s="1"/>
  <c r="B124" i="29"/>
  <c r="B132" i="29"/>
  <c r="B170" i="29"/>
  <c r="P63" i="26"/>
  <c r="EA47" i="31"/>
  <c r="EA69" i="31" s="1"/>
  <c r="E66" i="26"/>
  <c r="DP50" i="31"/>
  <c r="DP72" i="31" s="1"/>
  <c r="D67" i="26"/>
  <c r="DO51" i="31"/>
  <c r="DO73" i="31" s="1"/>
  <c r="L67" i="26"/>
  <c r="DW51" i="31"/>
  <c r="DW73" i="31" s="1"/>
  <c r="K68" i="26"/>
  <c r="DV52" i="31"/>
  <c r="DV74" i="31" s="1"/>
  <c r="S68" i="26"/>
  <c r="ED52" i="31"/>
  <c r="ED74" i="31" s="1"/>
  <c r="R69" i="26"/>
  <c r="EC53" i="31"/>
  <c r="EC75" i="31" s="1"/>
  <c r="Y70" i="26"/>
  <c r="EJ54" i="31"/>
  <c r="EJ76" i="31" s="1"/>
  <c r="H71" i="26"/>
  <c r="DS55" i="31"/>
  <c r="DS77" i="31" s="1"/>
  <c r="G72" i="26"/>
  <c r="DR56" i="31"/>
  <c r="DR78" i="31" s="1"/>
  <c r="O72" i="26"/>
  <c r="DZ56" i="31"/>
  <c r="DZ78" i="31" s="1"/>
  <c r="W72" i="26"/>
  <c r="P70" i="24"/>
  <c r="BW54" i="31"/>
  <c r="BW76" i="31" s="1"/>
  <c r="E64" i="26"/>
  <c r="DP48" i="31"/>
  <c r="DP70" i="31" s="1"/>
  <c r="C66" i="26"/>
  <c r="DN50" i="31"/>
  <c r="DN72" i="31" s="1"/>
  <c r="I68" i="26"/>
  <c r="DT52" i="31"/>
  <c r="DT74" i="31" s="1"/>
  <c r="B63" i="24"/>
  <c r="BI47" i="31"/>
  <c r="BI69" i="31" s="1"/>
  <c r="J63" i="24"/>
  <c r="BQ47" i="31"/>
  <c r="BQ69" i="31" s="1"/>
  <c r="R63" i="24"/>
  <c r="BY47" i="31"/>
  <c r="BY69" i="31" s="1"/>
  <c r="I64" i="24"/>
  <c r="BP48" i="31"/>
  <c r="BP70" i="31" s="1"/>
  <c r="Q64" i="24"/>
  <c r="BX48" i="31"/>
  <c r="BX70" i="31" s="1"/>
  <c r="Y64" i="24"/>
  <c r="CF48" i="31"/>
  <c r="CF70" i="31" s="1"/>
  <c r="H65" i="24"/>
  <c r="BO49" i="31"/>
  <c r="BO71" i="31" s="1"/>
  <c r="P65" i="24"/>
  <c r="BW49" i="31"/>
  <c r="BW71" i="31" s="1"/>
  <c r="X65" i="24"/>
  <c r="CE49" i="31"/>
  <c r="CE71" i="31" s="1"/>
  <c r="G66" i="24"/>
  <c r="BN50" i="31"/>
  <c r="BN72" i="31" s="1"/>
  <c r="O66" i="24"/>
  <c r="BV50" i="31"/>
  <c r="BV72" i="31" s="1"/>
  <c r="W66" i="24"/>
  <c r="CD50" i="31"/>
  <c r="CD72" i="31" s="1"/>
  <c r="N67" i="24"/>
  <c r="BU51" i="31"/>
  <c r="BU73" i="31" s="1"/>
  <c r="V67" i="24"/>
  <c r="CC51" i="31"/>
  <c r="CC73" i="31" s="1"/>
  <c r="E68" i="24"/>
  <c r="BL52" i="31"/>
  <c r="BL74" i="31" s="1"/>
  <c r="M68" i="24"/>
  <c r="BT52" i="31"/>
  <c r="BT74" i="31" s="1"/>
  <c r="U68" i="24"/>
  <c r="CB52" i="31"/>
  <c r="CB74" i="31" s="1"/>
  <c r="D69" i="24"/>
  <c r="BK53" i="31"/>
  <c r="BK75" i="31" s="1"/>
  <c r="L69" i="24"/>
  <c r="BS53" i="31"/>
  <c r="BS75" i="31" s="1"/>
  <c r="C70" i="24"/>
  <c r="BJ54" i="31"/>
  <c r="BJ76" i="31" s="1"/>
  <c r="S70" i="24"/>
  <c r="BZ54" i="31"/>
  <c r="BZ76" i="31" s="1"/>
  <c r="B71" i="24"/>
  <c r="BI55" i="31"/>
  <c r="BI77" i="31" s="1"/>
  <c r="J71" i="24"/>
  <c r="BQ55" i="31"/>
  <c r="BQ77" i="31" s="1"/>
  <c r="R71" i="24"/>
  <c r="BY55" i="31"/>
  <c r="BY77" i="31" s="1"/>
  <c r="B125" i="29"/>
  <c r="B171" i="29"/>
  <c r="E67" i="26"/>
  <c r="DP51" i="31"/>
  <c r="DP73" i="31" s="1"/>
  <c r="S69" i="26"/>
  <c r="ED53" i="31"/>
  <c r="ED75" i="31" s="1"/>
  <c r="O63" i="24"/>
  <c r="BV47" i="31"/>
  <c r="BV69" i="31" s="1"/>
  <c r="B130" i="29"/>
  <c r="U64" i="26"/>
  <c r="EF48" i="31"/>
  <c r="EF70" i="31" s="1"/>
  <c r="H69" i="26"/>
  <c r="DS53" i="31"/>
  <c r="DS75" i="31" s="1"/>
  <c r="F71" i="26"/>
  <c r="DQ55" i="31"/>
  <c r="DQ77" i="31" s="1"/>
  <c r="J64" i="24"/>
  <c r="BQ48" i="31"/>
  <c r="BQ70" i="31" s="1"/>
  <c r="Q65" i="24"/>
  <c r="BX49" i="31"/>
  <c r="BX71" i="31" s="1"/>
  <c r="Y65" i="24"/>
  <c r="CF49" i="31"/>
  <c r="CF71" i="31" s="1"/>
  <c r="H66" i="24"/>
  <c r="BO50" i="31"/>
  <c r="BO72" i="31" s="1"/>
  <c r="P66" i="24"/>
  <c r="BW50" i="31"/>
  <c r="BW72" i="31" s="1"/>
  <c r="X66" i="24"/>
  <c r="CE50" i="31"/>
  <c r="CE72" i="31" s="1"/>
  <c r="O67" i="24"/>
  <c r="BV51" i="31"/>
  <c r="BV73" i="31" s="1"/>
  <c r="N68" i="24"/>
  <c r="BU52" i="31"/>
  <c r="BU74" i="31" s="1"/>
  <c r="V68" i="24"/>
  <c r="CC52" i="31"/>
  <c r="CC74" i="31" s="1"/>
  <c r="E69" i="24"/>
  <c r="BL53" i="31"/>
  <c r="BL75" i="31" s="1"/>
  <c r="M69" i="24"/>
  <c r="BT53" i="31"/>
  <c r="BT75" i="31" s="1"/>
  <c r="U69" i="24"/>
  <c r="CB53" i="31"/>
  <c r="CB75" i="31" s="1"/>
  <c r="D70" i="24"/>
  <c r="BK54" i="31"/>
  <c r="BK76" i="31" s="1"/>
  <c r="T70" i="24"/>
  <c r="CA54" i="31"/>
  <c r="CA76" i="31" s="1"/>
  <c r="C71" i="24"/>
  <c r="BJ55" i="31"/>
  <c r="BJ77" i="31" s="1"/>
  <c r="K71" i="24"/>
  <c r="BR55" i="31"/>
  <c r="BR77" i="31" s="1"/>
  <c r="S71" i="24"/>
  <c r="BZ55" i="31"/>
  <c r="BZ77" i="31" s="1"/>
  <c r="B126" i="29"/>
  <c r="B172" i="29"/>
  <c r="F64" i="24"/>
  <c r="BM48" i="31"/>
  <c r="BM70" i="31" s="1"/>
  <c r="B168" i="29"/>
  <c r="N63" i="26"/>
  <c r="DY47" i="31"/>
  <c r="DY69" i="31" s="1"/>
  <c r="D65" i="26"/>
  <c r="DO49" i="31"/>
  <c r="DO71" i="31" s="1"/>
  <c r="K66" i="26"/>
  <c r="DV50" i="31"/>
  <c r="DV72" i="31" s="1"/>
  <c r="J67" i="26"/>
  <c r="DU51" i="31"/>
  <c r="DU73" i="31" s="1"/>
  <c r="Q68" i="26"/>
  <c r="EB52" i="31"/>
  <c r="EB74" i="31" s="1"/>
  <c r="X69" i="26"/>
  <c r="EI53" i="31"/>
  <c r="EI75" i="31" s="1"/>
  <c r="V71" i="26"/>
  <c r="EG55" i="31"/>
  <c r="EG77" i="31" s="1"/>
  <c r="D63" i="24"/>
  <c r="BK47" i="31"/>
  <c r="BK69" i="31" s="1"/>
  <c r="T63" i="24"/>
  <c r="CA47" i="31"/>
  <c r="CA69" i="31" s="1"/>
  <c r="K64" i="24"/>
  <c r="BR48" i="31"/>
  <c r="BR70" i="31" s="1"/>
  <c r="B65" i="24"/>
  <c r="BI49" i="31"/>
  <c r="BI71" i="31" s="1"/>
  <c r="R65" i="24"/>
  <c r="BY49" i="31"/>
  <c r="BY71" i="31" s="1"/>
  <c r="I66" i="24"/>
  <c r="BP50" i="31"/>
  <c r="BP72" i="31" s="1"/>
  <c r="Q66" i="24"/>
  <c r="BX50" i="31"/>
  <c r="BX72" i="31" s="1"/>
  <c r="Y66" i="24"/>
  <c r="CF50" i="31"/>
  <c r="CF72" i="31" s="1"/>
  <c r="H67" i="24"/>
  <c r="BO51" i="31"/>
  <c r="BO73" i="31" s="1"/>
  <c r="P67" i="24"/>
  <c r="BW51" i="31"/>
  <c r="BW73" i="31" s="1"/>
  <c r="X67" i="24"/>
  <c r="CE51" i="31"/>
  <c r="CE73" i="31" s="1"/>
  <c r="O68" i="24"/>
  <c r="BV52" i="31"/>
  <c r="BV74" i="31" s="1"/>
  <c r="W68" i="24"/>
  <c r="CD52" i="31"/>
  <c r="CD74" i="31" s="1"/>
  <c r="F69" i="24"/>
  <c r="BM53" i="31"/>
  <c r="BM75" i="31" s="1"/>
  <c r="N69" i="24"/>
  <c r="BU53" i="31"/>
  <c r="BU75" i="31" s="1"/>
  <c r="V69" i="24"/>
  <c r="CC53" i="31"/>
  <c r="CC75" i="31" s="1"/>
  <c r="E70" i="24"/>
  <c r="BL54" i="31"/>
  <c r="BL76" i="31" s="1"/>
  <c r="L71" i="24"/>
  <c r="BS55" i="31"/>
  <c r="BS77" i="31" s="1"/>
  <c r="T71" i="24"/>
  <c r="CA55" i="31"/>
  <c r="CA77" i="31" s="1"/>
  <c r="B127" i="29"/>
  <c r="B173" i="29"/>
  <c r="R64" i="26"/>
  <c r="EC48" i="31"/>
  <c r="EC70" i="31" s="1"/>
  <c r="I65" i="26"/>
  <c r="DT49" i="31"/>
  <c r="DT71" i="31" s="1"/>
  <c r="Q65" i="26"/>
  <c r="EB49" i="31"/>
  <c r="EB71" i="31" s="1"/>
  <c r="Y65" i="26"/>
  <c r="EJ49" i="31"/>
  <c r="EJ71" i="31" s="1"/>
  <c r="H66" i="26"/>
  <c r="DS50" i="31"/>
  <c r="DS72" i="31" s="1"/>
  <c r="P66" i="26"/>
  <c r="EA50" i="31"/>
  <c r="EA72" i="31" s="1"/>
  <c r="O67" i="26"/>
  <c r="DZ51" i="31"/>
  <c r="DZ73" i="31" s="1"/>
  <c r="W67" i="26"/>
  <c r="EH51" i="31"/>
  <c r="EH73" i="31" s="1"/>
  <c r="V68" i="26"/>
  <c r="EG52" i="31"/>
  <c r="EG74" i="31" s="1"/>
  <c r="E69" i="26"/>
  <c r="DP53" i="31"/>
  <c r="DP75" i="31" s="1"/>
  <c r="D70" i="26"/>
  <c r="DO54" i="31"/>
  <c r="DO76" i="31" s="1"/>
  <c r="L70" i="26"/>
  <c r="DW54" i="31"/>
  <c r="DW76" i="31" s="1"/>
  <c r="K71" i="26"/>
  <c r="DV55" i="31"/>
  <c r="DV77" i="31" s="1"/>
  <c r="S71" i="26"/>
  <c r="ED55" i="31"/>
  <c r="ED77" i="31" s="1"/>
  <c r="B72" i="26"/>
  <c r="DM56" i="31"/>
  <c r="DM78" i="31" s="1"/>
  <c r="B68" i="24"/>
  <c r="BI52" i="31"/>
  <c r="BI74" i="31" s="1"/>
  <c r="F63" i="26"/>
  <c r="DQ47" i="31"/>
  <c r="DQ69" i="31" s="1"/>
  <c r="L65" i="26"/>
  <c r="DW49" i="31"/>
  <c r="DW71" i="31" s="1"/>
  <c r="B67" i="26"/>
  <c r="DM51" i="31"/>
  <c r="DM73" i="31" s="1"/>
  <c r="P69" i="26"/>
  <c r="EA53" i="31"/>
  <c r="EA75" i="31" s="1"/>
  <c r="I67" i="24"/>
  <c r="BP51" i="31"/>
  <c r="BP73" i="31" s="1"/>
  <c r="F70" i="24"/>
  <c r="BM54" i="31"/>
  <c r="BM76" i="31" s="1"/>
  <c r="B128" i="29"/>
  <c r="B166" i="29"/>
  <c r="B174" i="29"/>
  <c r="I66" i="26"/>
  <c r="DT50" i="31"/>
  <c r="DT72" i="31" s="1"/>
  <c r="Q66" i="26"/>
  <c r="EB50" i="31"/>
  <c r="EB72" i="31" s="1"/>
  <c r="P67" i="26"/>
  <c r="EA51" i="31"/>
  <c r="EA73" i="31" s="1"/>
  <c r="X67" i="26"/>
  <c r="EI51" i="31"/>
  <c r="EI73" i="31" s="1"/>
  <c r="G68" i="26"/>
  <c r="DR52" i="31"/>
  <c r="DR74" i="31" s="1"/>
  <c r="W68" i="26"/>
  <c r="EH52" i="31"/>
  <c r="EH74" i="31" s="1"/>
  <c r="F69" i="26"/>
  <c r="DQ53" i="31"/>
  <c r="DQ75" i="31" s="1"/>
  <c r="N69" i="26"/>
  <c r="DY53" i="31"/>
  <c r="DY75" i="31" s="1"/>
  <c r="E70" i="26"/>
  <c r="DP54" i="31"/>
  <c r="DP76" i="31" s="1"/>
  <c r="M70" i="26"/>
  <c r="DX54" i="31"/>
  <c r="DX76" i="31" s="1"/>
  <c r="U70" i="26"/>
  <c r="EF54" i="31"/>
  <c r="EF76" i="31" s="1"/>
  <c r="T71" i="26"/>
  <c r="EE55" i="31"/>
  <c r="EE77" i="31" s="1"/>
  <c r="S72" i="26"/>
  <c r="ED56" i="31"/>
  <c r="ED78" i="31" s="1"/>
  <c r="W63" i="24"/>
  <c r="CD47" i="31"/>
  <c r="CD69" i="31" s="1"/>
  <c r="M64" i="26"/>
  <c r="DX48" i="31"/>
  <c r="DX70" i="31" s="1"/>
  <c r="S66" i="26"/>
  <c r="ED50" i="31"/>
  <c r="ED72" i="31" s="1"/>
  <c r="E72" i="26"/>
  <c r="DP56" i="31"/>
  <c r="DP78" i="31" s="1"/>
  <c r="B129" i="29"/>
  <c r="B167" i="29"/>
  <c r="B175" i="29"/>
  <c r="D64" i="26"/>
  <c r="DO48" i="31"/>
  <c r="DO70" i="31" s="1"/>
  <c r="E13" i="23"/>
  <c r="F50" i="23" s="1"/>
  <c r="A82" i="31"/>
  <c r="AC13" i="31"/>
  <c r="A129" i="31"/>
  <c r="AC10" i="31"/>
  <c r="A126" i="31"/>
  <c r="AC8" i="31"/>
  <c r="A124" i="31"/>
  <c r="A123" i="31"/>
  <c r="AC7" i="31"/>
  <c r="A128" i="31"/>
  <c r="AC12" i="31"/>
  <c r="A125" i="31"/>
  <c r="AC9" i="31"/>
  <c r="A131" i="31"/>
  <c r="AC15" i="31"/>
  <c r="AC6" i="31"/>
  <c r="A122" i="31"/>
  <c r="D122" i="31" s="1"/>
  <c r="AC14" i="31"/>
  <c r="A130" i="31"/>
  <c r="AC11" i="31"/>
  <c r="A127" i="31"/>
  <c r="O72" i="24"/>
  <c r="BV56" i="31"/>
  <c r="BV78" i="31" s="1"/>
  <c r="T72" i="24"/>
  <c r="CA56" i="31"/>
  <c r="CA78" i="31" s="1"/>
  <c r="I72" i="24"/>
  <c r="BP56" i="31"/>
  <c r="BP78" i="31" s="1"/>
  <c r="Q72" i="24"/>
  <c r="BX56" i="31"/>
  <c r="BX78" i="31" s="1"/>
  <c r="B72" i="24"/>
  <c r="BI56" i="31"/>
  <c r="BI78" i="31" s="1"/>
  <c r="J72" i="24"/>
  <c r="BQ56" i="31"/>
  <c r="BQ78" i="31" s="1"/>
  <c r="R72" i="24"/>
  <c r="BY56" i="31"/>
  <c r="BY78" i="31" s="1"/>
  <c r="C72" i="24"/>
  <c r="BJ56" i="31"/>
  <c r="BJ78" i="31" s="1"/>
  <c r="K72" i="24"/>
  <c r="BR56" i="31"/>
  <c r="BR78" i="31" s="1"/>
  <c r="S72" i="24"/>
  <c r="BZ56" i="31"/>
  <c r="BZ78" i="31" s="1"/>
  <c r="M49" i="24"/>
  <c r="CE25" i="25"/>
  <c r="AK25" i="25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BX25" i="26"/>
  <c r="AK25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O118" i="24" s="1"/>
  <c r="O144" i="24" s="1"/>
  <c r="O157" i="24" s="1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N115" i="26" s="1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W114" i="26" s="1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175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H177" i="24" s="1"/>
  <c r="H185" i="24" s="1"/>
  <c r="H216" i="24" s="1"/>
  <c r="L101" i="24"/>
  <c r="L112" i="24" s="1"/>
  <c r="P101" i="24"/>
  <c r="P112" i="24" s="1"/>
  <c r="P138" i="24" s="1"/>
  <c r="P151" i="24" s="1"/>
  <c r="P177" i="24" s="1"/>
  <c r="P185" i="24" s="1"/>
  <c r="P216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I163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E177" i="24" s="1"/>
  <c r="I101" i="24"/>
  <c r="I112" i="24" s="1"/>
  <c r="I138" i="24" s="1"/>
  <c r="I151" i="24" s="1"/>
  <c r="I177" i="24" s="1"/>
  <c r="M101" i="24"/>
  <c r="M112" i="24" s="1"/>
  <c r="Q101" i="24"/>
  <c r="Q112" i="24" s="1"/>
  <c r="Q138" i="24" s="1"/>
  <c r="Q151" i="24" s="1"/>
  <c r="Q177" i="24" s="1"/>
  <c r="Q185" i="24" s="1"/>
  <c r="Q216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N163" i="24" s="1"/>
  <c r="N172" i="24" s="1"/>
  <c r="N215" i="24" s="1"/>
  <c r="R100" i="24"/>
  <c r="R111" i="24" s="1"/>
  <c r="R137" i="24" s="1"/>
  <c r="R150" i="24" s="1"/>
  <c r="R163" i="24" s="1"/>
  <c r="R172" i="24" s="1"/>
  <c r="R215" i="24" s="1"/>
  <c r="V100" i="24"/>
  <c r="V111" i="24" s="1"/>
  <c r="V137" i="24" s="1"/>
  <c r="V150" i="24" s="1"/>
  <c r="V163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S163" i="24" s="1"/>
  <c r="S172" i="24" s="1"/>
  <c r="S215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I198" i="24"/>
  <c r="I217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X172" i="24"/>
  <c r="X215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Y172" i="24"/>
  <c r="Y215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F68" i="26"/>
  <c r="N68" i="26"/>
  <c r="M69" i="26"/>
  <c r="U69" i="26"/>
  <c r="T70" i="26"/>
  <c r="C71" i="26"/>
  <c r="J72" i="26"/>
  <c r="R72" i="26"/>
  <c r="R65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E211" i="24"/>
  <c r="E218" i="24" s="1"/>
  <c r="D198" i="24"/>
  <c r="D217" i="24" s="1"/>
  <c r="L198" i="24"/>
  <c r="L217" i="24" s="1"/>
  <c r="U211" i="24"/>
  <c r="U218" i="24" s="1"/>
  <c r="B185" i="24"/>
  <c r="E198" i="24"/>
  <c r="E217" i="24" s="1"/>
  <c r="M198" i="24"/>
  <c r="M217" i="24" s="1"/>
  <c r="C185" i="24"/>
  <c r="C216" i="24" s="1"/>
  <c r="H55" i="23"/>
  <c r="F55" i="23"/>
  <c r="H10" i="23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L201" i="24" l="1"/>
  <c r="L211" i="24" s="1"/>
  <c r="L218" i="24" s="1"/>
  <c r="L175" i="24"/>
  <c r="F176" i="24"/>
  <c r="F163" i="24"/>
  <c r="W177" i="24"/>
  <c r="W164" i="24"/>
  <c r="J122" i="31"/>
  <c r="C217" i="33" s="1"/>
  <c r="DL79" i="31"/>
  <c r="O156" i="26"/>
  <c r="AH15" i="31"/>
  <c r="AG15" i="31"/>
  <c r="AI15" i="31"/>
  <c r="AF15" i="31"/>
  <c r="AJ15" i="31"/>
  <c r="AH8" i="31"/>
  <c r="AG8" i="31"/>
  <c r="AJ8" i="31"/>
  <c r="AF8" i="31"/>
  <c r="AI8" i="31"/>
  <c r="AI9" i="31"/>
  <c r="AH9" i="31"/>
  <c r="AG9" i="31"/>
  <c r="AF9" i="31"/>
  <c r="AJ9" i="31"/>
  <c r="V157" i="26"/>
  <c r="AI11" i="31"/>
  <c r="AH11" i="31"/>
  <c r="AF11" i="31"/>
  <c r="AG11" i="31"/>
  <c r="AJ11" i="31"/>
  <c r="AJ10" i="31"/>
  <c r="AG10" i="31"/>
  <c r="AF10" i="31"/>
  <c r="AI10" i="31"/>
  <c r="AH10" i="31"/>
  <c r="G157" i="26"/>
  <c r="AJ12" i="31"/>
  <c r="AI12" i="31"/>
  <c r="AG12" i="31"/>
  <c r="AF12" i="31"/>
  <c r="AH12" i="31"/>
  <c r="AI14" i="31"/>
  <c r="AJ14" i="31"/>
  <c r="AG14" i="31"/>
  <c r="AF14" i="31"/>
  <c r="AH14" i="31"/>
  <c r="AJ13" i="31"/>
  <c r="AI13" i="31"/>
  <c r="AG13" i="31"/>
  <c r="AH13" i="31"/>
  <c r="AF13" i="31"/>
  <c r="AI7" i="31"/>
  <c r="AF7" i="31"/>
  <c r="AJ7" i="31"/>
  <c r="AH7" i="31"/>
  <c r="AG7" i="31"/>
  <c r="AJ6" i="31"/>
  <c r="AH6" i="31"/>
  <c r="AG6" i="31"/>
  <c r="AF6" i="31"/>
  <c r="AI6" i="31"/>
  <c r="BH79" i="31"/>
  <c r="X73" i="26"/>
  <c r="R73" i="24"/>
  <c r="J73" i="24"/>
  <c r="J175" i="24"/>
  <c r="J162" i="24"/>
  <c r="D151" i="26"/>
  <c r="BY54" i="26"/>
  <c r="CA54" i="25"/>
  <c r="BX54" i="24"/>
  <c r="CE54" i="25"/>
  <c r="AZ54" i="24"/>
  <c r="CD104" i="31" s="1"/>
  <c r="E97" i="31" s="1"/>
  <c r="L97" i="31" s="1"/>
  <c r="AS54" i="24"/>
  <c r="CD97" i="31" s="1"/>
  <c r="E90" i="31" s="1"/>
  <c r="L90" i="31" s="1"/>
  <c r="AT54" i="24"/>
  <c r="CD98" i="31" s="1"/>
  <c r="E91" i="31" s="1"/>
  <c r="L91" i="31" s="1"/>
  <c r="BB54" i="24"/>
  <c r="CD106" i="31" s="1"/>
  <c r="E99" i="31" s="1"/>
  <c r="L99" i="31" s="1"/>
  <c r="BL54" i="24"/>
  <c r="BA54" i="25"/>
  <c r="CE105" i="31" s="1"/>
  <c r="F98" i="31" s="1"/>
  <c r="M98" i="31" s="1"/>
  <c r="BR54" i="25"/>
  <c r="BE54" i="25"/>
  <c r="CE109" i="31" s="1"/>
  <c r="F102" i="31" s="1"/>
  <c r="M102" i="31" s="1"/>
  <c r="BV54" i="25"/>
  <c r="AQ54" i="24"/>
  <c r="CD95" i="31" s="1"/>
  <c r="E88" i="31" s="1"/>
  <c r="L88" i="31" s="1"/>
  <c r="AV54" i="24"/>
  <c r="CD100" i="31" s="1"/>
  <c r="E93" i="31" s="1"/>
  <c r="L93" i="31" s="1"/>
  <c r="BA54" i="24"/>
  <c r="CD105" i="31" s="1"/>
  <c r="E98" i="31" s="1"/>
  <c r="L98" i="31" s="1"/>
  <c r="BJ54" i="24"/>
  <c r="BR54" i="24"/>
  <c r="AO54" i="24"/>
  <c r="CD93" i="31" s="1"/>
  <c r="E86" i="31" s="1"/>
  <c r="L86" i="31" s="1"/>
  <c r="BI54" i="25"/>
  <c r="CE113" i="31" s="1"/>
  <c r="F106" i="31" s="1"/>
  <c r="M106" i="31" s="1"/>
  <c r="BZ54" i="25"/>
  <c r="AV54" i="25"/>
  <c r="CE100" i="31" s="1"/>
  <c r="F93" i="31" s="1"/>
  <c r="M93" i="31" s="1"/>
  <c r="BM54" i="25"/>
  <c r="CD54" i="25"/>
  <c r="AS54" i="25"/>
  <c r="CE97" i="31" s="1"/>
  <c r="F90" i="31" s="1"/>
  <c r="M90" i="31" s="1"/>
  <c r="CB54" i="24"/>
  <c r="BI54" i="24"/>
  <c r="CD113" i="31" s="1"/>
  <c r="E106" i="31" s="1"/>
  <c r="L106" i="31" s="1"/>
  <c r="BZ54" i="24"/>
  <c r="AW54" i="24"/>
  <c r="CD101" i="31" s="1"/>
  <c r="E94" i="31" s="1"/>
  <c r="L94" i="31" s="1"/>
  <c r="AR54" i="25"/>
  <c r="CE96" i="31" s="1"/>
  <c r="F89" i="31" s="1"/>
  <c r="M89" i="31" s="1"/>
  <c r="BQ54" i="25"/>
  <c r="BD54" i="25"/>
  <c r="CE108" i="31" s="1"/>
  <c r="F101" i="31" s="1"/>
  <c r="M101" i="31" s="1"/>
  <c r="BU54" i="25"/>
  <c r="BF54" i="26"/>
  <c r="BN54" i="24"/>
  <c r="AW54" i="25"/>
  <c r="CE101" i="31" s="1"/>
  <c r="F94" i="31" s="1"/>
  <c r="M94" i="31" s="1"/>
  <c r="BG54" i="24"/>
  <c r="CD111" i="31" s="1"/>
  <c r="E104" i="31" s="1"/>
  <c r="L104" i="31" s="1"/>
  <c r="AX54" i="24"/>
  <c r="CD102" i="31" s="1"/>
  <c r="E95" i="31" s="1"/>
  <c r="L95" i="31" s="1"/>
  <c r="BQ54" i="24"/>
  <c r="BT54" i="24"/>
  <c r="AU54" i="24"/>
  <c r="CD99" i="31" s="1"/>
  <c r="E92" i="31" s="1"/>
  <c r="L92" i="31" s="1"/>
  <c r="BE54" i="24"/>
  <c r="CD109" i="31" s="1"/>
  <c r="E102" i="31" s="1"/>
  <c r="L102" i="31" s="1"/>
  <c r="AZ54" i="25"/>
  <c r="CE104" i="31" s="1"/>
  <c r="F97" i="31" s="1"/>
  <c r="M97" i="31" s="1"/>
  <c r="BY54" i="25"/>
  <c r="AU54" i="25"/>
  <c r="CE99" i="31" s="1"/>
  <c r="F92" i="31" s="1"/>
  <c r="M92" i="31" s="1"/>
  <c r="BL54" i="25"/>
  <c r="CC54" i="25"/>
  <c r="AY54" i="25"/>
  <c r="CE103" i="31" s="1"/>
  <c r="F96" i="31" s="1"/>
  <c r="M96" i="31" s="1"/>
  <c r="BO54" i="24"/>
  <c r="BV54" i="24"/>
  <c r="BY54" i="24"/>
  <c r="BC54" i="24"/>
  <c r="CD107" i="31" s="1"/>
  <c r="E100" i="31" s="1"/>
  <c r="L100" i="31" s="1"/>
  <c r="BM54" i="24"/>
  <c r="BH54" i="25"/>
  <c r="CE112" i="31" s="1"/>
  <c r="F105" i="31" s="1"/>
  <c r="M105" i="31" s="1"/>
  <c r="BC54" i="25"/>
  <c r="CE107" i="31" s="1"/>
  <c r="F100" i="31" s="1"/>
  <c r="M100" i="31" s="1"/>
  <c r="BT54" i="25"/>
  <c r="BG54" i="25"/>
  <c r="CE111" i="31" s="1"/>
  <c r="F104" i="31" s="1"/>
  <c r="M104" i="31" s="1"/>
  <c r="CA54" i="24"/>
  <c r="BN54" i="25"/>
  <c r="BW54" i="24"/>
  <c r="AR54" i="24"/>
  <c r="CD96" i="31" s="1"/>
  <c r="E89" i="31" s="1"/>
  <c r="L89" i="31" s="1"/>
  <c r="BD54" i="24"/>
  <c r="CD108" i="31" s="1"/>
  <c r="E101" i="31" s="1"/>
  <c r="L101" i="31" s="1"/>
  <c r="BF54" i="24"/>
  <c r="CD110" i="31" s="1"/>
  <c r="E103" i="31" s="1"/>
  <c r="L103" i="31" s="1"/>
  <c r="BK54" i="24"/>
  <c r="BU54" i="24"/>
  <c r="BP54" i="25"/>
  <c r="AT54" i="25"/>
  <c r="CE98" i="31" s="1"/>
  <c r="F91" i="31" s="1"/>
  <c r="M91" i="31" s="1"/>
  <c r="BK54" i="25"/>
  <c r="CB54" i="25"/>
  <c r="BO54" i="25"/>
  <c r="BJ54" i="25"/>
  <c r="CE54" i="24"/>
  <c r="BP54" i="24"/>
  <c r="BH54" i="24"/>
  <c r="CD112" i="31" s="1"/>
  <c r="E105" i="31" s="1"/>
  <c r="L105" i="31" s="1"/>
  <c r="CD54" i="24"/>
  <c r="BS54" i="24"/>
  <c r="CC54" i="24"/>
  <c r="BX54" i="25"/>
  <c r="BB54" i="25"/>
  <c r="CE106" i="31" s="1"/>
  <c r="F99" i="31" s="1"/>
  <c r="M99" i="31" s="1"/>
  <c r="BS54" i="25"/>
  <c r="BF54" i="25"/>
  <c r="CE110" i="31" s="1"/>
  <c r="F103" i="31" s="1"/>
  <c r="M103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J177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Q163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3" s="1"/>
  <c r="D69" i="33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S177" i="24" s="1"/>
  <c r="N139" i="24"/>
  <c r="N152" i="24" s="1"/>
  <c r="V120" i="24"/>
  <c r="V136" i="24"/>
  <c r="V149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M163" i="24" s="1"/>
  <c r="M172" i="24" s="1"/>
  <c r="M215" i="24" s="1"/>
  <c r="F73" i="24"/>
  <c r="B155" i="24"/>
  <c r="S136" i="24"/>
  <c r="S149" i="24" s="1"/>
  <c r="S120" i="24"/>
  <c r="G138" i="24"/>
  <c r="G151" i="24" s="1"/>
  <c r="W120" i="24"/>
  <c r="W136" i="24"/>
  <c r="W149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K177" i="24" s="1"/>
  <c r="K185" i="24" s="1"/>
  <c r="K216" i="24" s="1"/>
  <c r="L137" i="24"/>
  <c r="L150" i="24" s="1"/>
  <c r="L163" i="24" s="1"/>
  <c r="L172" i="24" s="1"/>
  <c r="L215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V138" i="24"/>
  <c r="V151" i="24" s="1"/>
  <c r="S73" i="24"/>
  <c r="R138" i="24"/>
  <c r="R151" i="24" s="1"/>
  <c r="R177" i="24" s="1"/>
  <c r="O145" i="24"/>
  <c r="O158" i="24" s="1"/>
  <c r="O141" i="24"/>
  <c r="O154" i="24" s="1"/>
  <c r="E120" i="24"/>
  <c r="E136" i="24"/>
  <c r="E149" i="24" s="1"/>
  <c r="AA49" i="24"/>
  <c r="C68" i="33" s="1"/>
  <c r="D68" i="33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L177" i="24" s="1"/>
  <c r="L185" i="24" s="1"/>
  <c r="L216" i="24" s="1"/>
  <c r="E137" i="24"/>
  <c r="E150" i="24" s="1"/>
  <c r="F138" i="24"/>
  <c r="F151" i="24" s="1"/>
  <c r="P120" i="24"/>
  <c r="P136" i="24"/>
  <c r="P149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P163" i="24" s="1"/>
  <c r="Q136" i="24"/>
  <c r="Q149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N177" i="24" s="1"/>
  <c r="L120" i="24"/>
  <c r="P73" i="24"/>
  <c r="B216" i="24"/>
  <c r="L73" i="24"/>
  <c r="C73" i="24"/>
  <c r="K137" i="24"/>
  <c r="K150" i="24" s="1"/>
  <c r="K163" i="24" s="1"/>
  <c r="K172" i="24" s="1"/>
  <c r="K215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D177" i="24" s="1"/>
  <c r="N73" i="24"/>
  <c r="O137" i="24"/>
  <c r="O150" i="24" s="1"/>
  <c r="O163" i="24" s="1"/>
  <c r="U140" i="24"/>
  <c r="U153" i="24" s="1"/>
  <c r="H144" i="24"/>
  <c r="H157" i="24" s="1"/>
  <c r="T136" i="24"/>
  <c r="T149" i="24" s="1"/>
  <c r="T188" i="24" s="1"/>
  <c r="T120" i="24"/>
  <c r="N140" i="24"/>
  <c r="N153" i="24" s="1"/>
  <c r="R136" i="24"/>
  <c r="R149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O177" i="24" s="1"/>
  <c r="O185" i="24" s="1"/>
  <c r="O216" i="24" s="1"/>
  <c r="H137" i="24"/>
  <c r="H150" i="24" s="1"/>
  <c r="H163" i="24" s="1"/>
  <c r="Q142" i="24"/>
  <c r="Q155" i="24" s="1"/>
  <c r="B154" i="24"/>
  <c r="T139" i="24"/>
  <c r="T152" i="24" s="1"/>
  <c r="M138" i="24"/>
  <c r="M151" i="24" s="1"/>
  <c r="M177" i="24" s="1"/>
  <c r="P142" i="24"/>
  <c r="P155" i="24" s="1"/>
  <c r="N120" i="24"/>
  <c r="N136" i="24"/>
  <c r="N149" i="24" s="1"/>
  <c r="W137" i="24"/>
  <c r="W150" i="24" s="1"/>
  <c r="W163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J163" i="24" s="1"/>
  <c r="B136" i="24"/>
  <c r="B120" i="24"/>
  <c r="T137" i="24"/>
  <c r="T150" i="24" s="1"/>
  <c r="T163" i="24" s="1"/>
  <c r="U120" i="24"/>
  <c r="U136" i="24"/>
  <c r="U149" i="24" s="1"/>
  <c r="Y73" i="24"/>
  <c r="I136" i="24"/>
  <c r="I149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U163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Q201" i="24" l="1"/>
  <c r="Q211" i="24" s="1"/>
  <c r="Q218" i="24" s="1"/>
  <c r="Q162" i="24"/>
  <c r="T177" i="24"/>
  <c r="T190" i="24"/>
  <c r="M201" i="24"/>
  <c r="M211" i="24" s="1"/>
  <c r="M218" i="24" s="1"/>
  <c r="M175" i="24"/>
  <c r="M185" i="24" s="1"/>
  <c r="M216" i="24" s="1"/>
  <c r="O201" i="24"/>
  <c r="O211" i="24" s="1"/>
  <c r="O218" i="24" s="1"/>
  <c r="O162" i="24"/>
  <c r="O172" i="24" s="1"/>
  <c r="O215" i="24" s="1"/>
  <c r="N201" i="24"/>
  <c r="N211" i="24" s="1"/>
  <c r="N218" i="24" s="1"/>
  <c r="N175" i="24"/>
  <c r="R201" i="24"/>
  <c r="R211" i="24" s="1"/>
  <c r="R218" i="24" s="1"/>
  <c r="R175" i="24"/>
  <c r="R185" i="24" s="1"/>
  <c r="R216" i="24" s="1"/>
  <c r="N185" i="24"/>
  <c r="N216" i="24" s="1"/>
  <c r="Q172" i="24"/>
  <c r="Q215" i="24" s="1"/>
  <c r="T198" i="24"/>
  <c r="T217" i="24" s="1"/>
  <c r="P201" i="24"/>
  <c r="P211" i="24" s="1"/>
  <c r="P218" i="24" s="1"/>
  <c r="P162" i="24"/>
  <c r="P172" i="24" s="1"/>
  <c r="P215" i="24" s="1"/>
  <c r="D217" i="33"/>
  <c r="D176" i="24"/>
  <c r="D185" i="24" s="1"/>
  <c r="D216" i="24" s="1"/>
  <c r="D163" i="24"/>
  <c r="D172" i="24" s="1"/>
  <c r="D215" i="24" s="1"/>
  <c r="E176" i="24"/>
  <c r="E185" i="24" s="1"/>
  <c r="E216" i="24" s="1"/>
  <c r="E163" i="24"/>
  <c r="E172" i="24" s="1"/>
  <c r="E215" i="24" s="1"/>
  <c r="W175" i="24"/>
  <c r="W185" i="24" s="1"/>
  <c r="W216" i="24" s="1"/>
  <c r="W162" i="24"/>
  <c r="W172" i="24" s="1"/>
  <c r="W215" i="24" s="1"/>
  <c r="U177" i="24"/>
  <c r="U164" i="24"/>
  <c r="U172" i="24" s="1"/>
  <c r="U215" i="24" s="1"/>
  <c r="G163" i="24"/>
  <c r="G176" i="24"/>
  <c r="V177" i="24"/>
  <c r="V164" i="24"/>
  <c r="F164" i="24"/>
  <c r="F172" i="24" s="1"/>
  <c r="F215" i="24" s="1"/>
  <c r="F177" i="24"/>
  <c r="F185" i="24" s="1"/>
  <c r="F216" i="24" s="1"/>
  <c r="U175" i="24"/>
  <c r="U188" i="24"/>
  <c r="U198" i="24" s="1"/>
  <c r="U217" i="24" s="1"/>
  <c r="G164" i="24"/>
  <c r="G177" i="24"/>
  <c r="AI16" i="31"/>
  <c r="AG16" i="31"/>
  <c r="AF16" i="31"/>
  <c r="AC18" i="31"/>
  <c r="AC19" i="31"/>
  <c r="AC20" i="31"/>
  <c r="AJ16" i="31"/>
  <c r="AH16" i="31"/>
  <c r="J185" i="24"/>
  <c r="J216" i="24" s="1"/>
  <c r="J172" i="24"/>
  <c r="J215" i="24" s="1"/>
  <c r="H172" i="24"/>
  <c r="H215" i="24" s="1"/>
  <c r="T175" i="24"/>
  <c r="T185" i="24" s="1"/>
  <c r="T216" i="24" s="1"/>
  <c r="T162" i="24"/>
  <c r="T172" i="24" s="1"/>
  <c r="T215" i="24" s="1"/>
  <c r="V175" i="24"/>
  <c r="V162" i="24"/>
  <c r="I162" i="24"/>
  <c r="I172" i="24" s="1"/>
  <c r="I215" i="24" s="1"/>
  <c r="I175" i="24"/>
  <c r="I185" i="24" s="1"/>
  <c r="I216" i="24" s="1"/>
  <c r="S175" i="24"/>
  <c r="S185" i="24" s="1"/>
  <c r="S216" i="24" s="1"/>
  <c r="S201" i="24"/>
  <c r="S211" i="24" s="1"/>
  <c r="S218" i="24" s="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CC103" i="31" s="1"/>
  <c r="D96" i="31" s="1"/>
  <c r="K96" i="31" s="1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O156" i="24"/>
  <c r="AA137" i="24"/>
  <c r="D154" i="24"/>
  <c r="AA140" i="24"/>
  <c r="C155" i="24"/>
  <c r="B153" i="24"/>
  <c r="AA120" i="24"/>
  <c r="AA138" i="24"/>
  <c r="B149" i="24"/>
  <c r="AA139" i="24"/>
  <c r="AA221" i="24" l="1"/>
  <c r="C301" i="33" s="1"/>
  <c r="V185" i="24"/>
  <c r="V216" i="24" s="1"/>
  <c r="G172" i="24"/>
  <c r="G215" i="24" s="1"/>
  <c r="V172" i="24"/>
  <c r="V215" i="24" s="1"/>
  <c r="U185" i="24"/>
  <c r="U216" i="24" s="1"/>
  <c r="AA198" i="24"/>
  <c r="G185" i="24"/>
  <c r="G216" i="24" s="1"/>
  <c r="V14" i="22"/>
  <c r="C26" i="22" s="1"/>
  <c r="CC104" i="31"/>
  <c r="D97" i="31" s="1"/>
  <c r="K97" i="31" s="1"/>
  <c r="J97" i="31" s="1"/>
  <c r="AB14" i="22"/>
  <c r="C32" i="22" s="1"/>
  <c r="CC110" i="31"/>
  <c r="D103" i="31" s="1"/>
  <c r="K103" i="31" s="1"/>
  <c r="J103" i="31" s="1"/>
  <c r="R14" i="22"/>
  <c r="C22" i="22" s="1"/>
  <c r="CC100" i="31"/>
  <c r="D93" i="31" s="1"/>
  <c r="K93" i="31" s="1"/>
  <c r="J93" i="31" s="1"/>
  <c r="W14" i="22"/>
  <c r="C27" i="22" s="1"/>
  <c r="CC105" i="31"/>
  <c r="D98" i="31" s="1"/>
  <c r="K98" i="31" s="1"/>
  <c r="J98" i="31" s="1"/>
  <c r="AC14" i="22"/>
  <c r="C33" i="22" s="1"/>
  <c r="CC111" i="31"/>
  <c r="D104" i="31" s="1"/>
  <c r="K104" i="31" s="1"/>
  <c r="J104" i="31" s="1"/>
  <c r="AE14" i="22"/>
  <c r="C35" i="22" s="1"/>
  <c r="CC113" i="31"/>
  <c r="D106" i="31" s="1"/>
  <c r="K106" i="31" s="1"/>
  <c r="J106" i="31" s="1"/>
  <c r="Y14" i="22"/>
  <c r="C29" i="22" s="1"/>
  <c r="CC107" i="31"/>
  <c r="D100" i="31" s="1"/>
  <c r="K100" i="31" s="1"/>
  <c r="J100" i="31" s="1"/>
  <c r="X14" i="22"/>
  <c r="C28" i="22" s="1"/>
  <c r="CC106" i="31"/>
  <c r="D99" i="31" s="1"/>
  <c r="K99" i="31" s="1"/>
  <c r="J99" i="31" s="1"/>
  <c r="AA14" i="22"/>
  <c r="C31" i="22" s="1"/>
  <c r="CC109" i="31"/>
  <c r="D102" i="31" s="1"/>
  <c r="K102" i="31" s="1"/>
  <c r="J102" i="31" s="1"/>
  <c r="AD14" i="22"/>
  <c r="C34" i="22" s="1"/>
  <c r="CC112" i="31"/>
  <c r="D105" i="31" s="1"/>
  <c r="K105" i="31" s="1"/>
  <c r="J105" i="31" s="1"/>
  <c r="N14" i="22"/>
  <c r="C18" i="22" s="1"/>
  <c r="CC96" i="31"/>
  <c r="D89" i="31" s="1"/>
  <c r="K89" i="31" s="1"/>
  <c r="J89" i="31" s="1"/>
  <c r="O14" i="22"/>
  <c r="C19" i="22" s="1"/>
  <c r="CC97" i="31"/>
  <c r="D90" i="31" s="1"/>
  <c r="K90" i="31" s="1"/>
  <c r="J90" i="31" s="1"/>
  <c r="Z14" i="22"/>
  <c r="C30" i="22" s="1"/>
  <c r="CC108" i="31"/>
  <c r="D101" i="31" s="1"/>
  <c r="K101" i="31" s="1"/>
  <c r="J101" i="31" s="1"/>
  <c r="P14" i="22"/>
  <c r="C20" i="22" s="1"/>
  <c r="CC98" i="31"/>
  <c r="D91" i="31" s="1"/>
  <c r="K91" i="31" s="1"/>
  <c r="J91" i="31" s="1"/>
  <c r="AA211" i="24"/>
  <c r="AA146" i="25"/>
  <c r="AA147" i="25" s="1"/>
  <c r="AA159" i="25"/>
  <c r="AA146" i="24"/>
  <c r="AA147" i="24" s="1"/>
  <c r="C166" i="33" s="1"/>
  <c r="AA220" i="26"/>
  <c r="AA219" i="26"/>
  <c r="AA159" i="26"/>
  <c r="AA146" i="26"/>
  <c r="AA147" i="26" s="1"/>
  <c r="AA159" i="24"/>
  <c r="C165" i="33" s="1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1" s="1"/>
  <c r="D88" i="31" s="1"/>
  <c r="K88" i="31" s="1"/>
  <c r="B74" i="15"/>
  <c r="AI20" i="18" s="1"/>
  <c r="B73" i="15"/>
  <c r="AI19" i="18" s="1"/>
  <c r="D166" i="33" l="1"/>
  <c r="D165" i="33"/>
  <c r="AA172" i="24"/>
  <c r="AA219" i="24"/>
  <c r="AA185" i="24"/>
  <c r="AA220" i="24"/>
  <c r="C300" i="33" s="1"/>
  <c r="AL19" i="18"/>
  <c r="AK19" i="18"/>
  <c r="AM20" i="18"/>
  <c r="AM54" i="18" s="1"/>
  <c r="CC91" i="31" s="1"/>
  <c r="D84" i="31" s="1"/>
  <c r="K84" i="31" s="1"/>
  <c r="AW20" i="18"/>
  <c r="AL19" i="26"/>
  <c r="AN21" i="26"/>
  <c r="AQ21" i="26"/>
  <c r="AQ54" i="26" s="1"/>
  <c r="AM54" i="26"/>
  <c r="AM20" i="24"/>
  <c r="AM20" i="25"/>
  <c r="AM54" i="25" s="1"/>
  <c r="CE91" i="31" s="1"/>
  <c r="F84" i="31" s="1"/>
  <c r="M84" i="31" s="1"/>
  <c r="AN21" i="24"/>
  <c r="AN54" i="24" s="1"/>
  <c r="CD92" i="31" s="1"/>
  <c r="E85" i="31" s="1"/>
  <c r="L85" i="31" s="1"/>
  <c r="AQ21" i="25"/>
  <c r="AQ54" i="25" s="1"/>
  <c r="CE95" i="31" s="1"/>
  <c r="F88" i="31" s="1"/>
  <c r="M88" i="31" s="1"/>
  <c r="J88" i="31" s="1"/>
  <c r="AI18" i="24"/>
  <c r="AY18" i="24" s="1"/>
  <c r="AY54" i="24" s="1"/>
  <c r="AK18" i="25"/>
  <c r="AX22" i="18"/>
  <c r="AX22" i="26"/>
  <c r="AX54" i="26" s="1"/>
  <c r="AL21" i="18"/>
  <c r="AL21" i="26"/>
  <c r="AL21" i="25"/>
  <c r="AO19" i="18"/>
  <c r="AO54" i="18" s="1"/>
  <c r="CC93" i="31" s="1"/>
  <c r="D86" i="31" s="1"/>
  <c r="K86" i="31" s="1"/>
  <c r="AO19" i="26"/>
  <c r="AO54" i="26" s="1"/>
  <c r="AN27" i="26"/>
  <c r="L34" i="23"/>
  <c r="H9" i="23" s="1"/>
  <c r="K34" i="23"/>
  <c r="AD6" i="31" s="1"/>
  <c r="AN54" i="26" l="1"/>
  <c r="U14" i="22"/>
  <c r="C25" i="22" s="1"/>
  <c r="CD103" i="31"/>
  <c r="E96" i="31" s="1"/>
  <c r="L96" i="31" s="1"/>
  <c r="J96" i="31" s="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1" s="1"/>
  <c r="F95" i="31" s="1"/>
  <c r="M95" i="31" s="1"/>
  <c r="AP22" i="25"/>
  <c r="AO19" i="25"/>
  <c r="AO54" i="25" s="1"/>
  <c r="CE93" i="31" s="1"/>
  <c r="F86" i="31" s="1"/>
  <c r="M86" i="31" s="1"/>
  <c r="J86" i="31" s="1"/>
  <c r="AL19" i="25"/>
  <c r="AM18" i="24"/>
  <c r="AM54" i="24" s="1"/>
  <c r="CD91" i="31" s="1"/>
  <c r="E84" i="31" s="1"/>
  <c r="L84" i="31" s="1"/>
  <c r="J84" i="31" s="1"/>
  <c r="AK18" i="24"/>
  <c r="BS12" i="23"/>
  <c r="I23" i="23" s="1"/>
  <c r="BS11" i="23"/>
  <c r="BS10" i="23"/>
  <c r="BS9" i="23"/>
  <c r="BS8" i="23"/>
  <c r="BS7" i="23"/>
  <c r="D23" i="23" l="1"/>
  <c r="D81" i="23"/>
  <c r="D71" i="23"/>
  <c r="D91" i="23"/>
  <c r="E23" i="23"/>
  <c r="E81" i="23"/>
  <c r="E71" i="23"/>
  <c r="E91" i="23"/>
  <c r="F23" i="23"/>
  <c r="F71" i="23"/>
  <c r="F91" i="23"/>
  <c r="F81" i="23"/>
  <c r="G23" i="23"/>
  <c r="G91" i="23"/>
  <c r="G81" i="23"/>
  <c r="G71" i="23"/>
  <c r="H23" i="23"/>
  <c r="H91" i="23"/>
  <c r="H81" i="23"/>
  <c r="H71" i="23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O12" i="23" s="1"/>
  <c r="AD20" i="31" l="1"/>
  <c r="R18" i="31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S18" i="31" l="1"/>
  <c r="T18" i="31"/>
  <c r="AE20" i="31"/>
  <c r="C21" i="31" s="1"/>
  <c r="C153" i="33" s="1"/>
  <c r="AF20" i="31"/>
  <c r="D21" i="31" s="1"/>
  <c r="C156" i="33" s="1"/>
  <c r="I24" i="23"/>
  <c r="F24" i="23"/>
  <c r="G24" i="23"/>
  <c r="E24" i="23"/>
  <c r="K24" i="23"/>
  <c r="D24" i="23"/>
  <c r="H24" i="23"/>
  <c r="BR12" i="23"/>
  <c r="I25" i="23" s="1"/>
  <c r="AF3" i="22"/>
  <c r="A210" i="18"/>
  <c r="A209" i="18"/>
  <c r="A208" i="18"/>
  <c r="A207" i="18"/>
  <c r="A206" i="18"/>
  <c r="A205" i="18"/>
  <c r="A204" i="18"/>
  <c r="A203" i="18"/>
  <c r="A202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S189" i="18"/>
  <c r="R189" i="18"/>
  <c r="Q189" i="18"/>
  <c r="P189" i="18"/>
  <c r="O189" i="18"/>
  <c r="N189" i="18"/>
  <c r="M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T178" i="18"/>
  <c r="S178" i="18"/>
  <c r="R178" i="18"/>
  <c r="Q178" i="18"/>
  <c r="P178" i="18"/>
  <c r="O178" i="18"/>
  <c r="N178" i="18"/>
  <c r="M178" i="18"/>
  <c r="L178" i="18"/>
  <c r="A178" i="18"/>
  <c r="A177" i="18"/>
  <c r="S176" i="18"/>
  <c r="R176" i="18"/>
  <c r="Q176" i="18"/>
  <c r="P176" i="18"/>
  <c r="O176" i="18"/>
  <c r="N176" i="18"/>
  <c r="M176" i="18"/>
  <c r="A176" i="18"/>
  <c r="R175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V164" i="18"/>
  <c r="C164" i="18"/>
  <c r="B164" i="18"/>
  <c r="A164" i="18"/>
  <c r="A163" i="18"/>
  <c r="Y162" i="18"/>
  <c r="X162" i="18"/>
  <c r="W162" i="18"/>
  <c r="V162" i="18"/>
  <c r="S162" i="18"/>
  <c r="R162" i="18"/>
  <c r="Q162" i="18"/>
  <c r="P162" i="18"/>
  <c r="O162" i="18"/>
  <c r="N162" i="18"/>
  <c r="M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3" s="1"/>
  <c r="A96" i="18"/>
  <c r="G102" i="33" s="1"/>
  <c r="A95" i="18"/>
  <c r="G101" i="33" s="1"/>
  <c r="A94" i="18"/>
  <c r="G100" i="33" s="1"/>
  <c r="A93" i="18"/>
  <c r="G99" i="33" s="1"/>
  <c r="A92" i="18"/>
  <c r="G98" i="33" s="1"/>
  <c r="A91" i="18"/>
  <c r="G97" i="33" s="1"/>
  <c r="A90" i="18"/>
  <c r="G96" i="33" s="1"/>
  <c r="A89" i="18"/>
  <c r="G95" i="33" s="1"/>
  <c r="A88" i="18"/>
  <c r="G94" i="33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T107" i="33" s="1"/>
  <c r="AT118" i="33" s="1"/>
  <c r="AT130" i="33" s="1"/>
  <c r="A60" i="18"/>
  <c r="AT106" i="33" s="1"/>
  <c r="AT117" i="33" s="1"/>
  <c r="AT129" i="33" s="1"/>
  <c r="A59" i="18"/>
  <c r="AT105" i="33" s="1"/>
  <c r="AT116" i="33" s="1"/>
  <c r="AT128" i="33" s="1"/>
  <c r="A58" i="18"/>
  <c r="AT104" i="33" s="1"/>
  <c r="AT115" i="33" s="1"/>
  <c r="AT127" i="33" s="1"/>
  <c r="A57" i="18"/>
  <c r="AT103" i="33" s="1"/>
  <c r="AT114" i="33" s="1"/>
  <c r="AT126" i="33" s="1"/>
  <c r="A56" i="18"/>
  <c r="AT102" i="33" s="1"/>
  <c r="AT113" i="33" s="1"/>
  <c r="AT125" i="33" s="1"/>
  <c r="A55" i="18"/>
  <c r="AT101" i="33" s="1"/>
  <c r="AT112" i="33" s="1"/>
  <c r="AT124" i="33" s="1"/>
  <c r="AD57" i="18"/>
  <c r="A54" i="18"/>
  <c r="AT100" i="33" s="1"/>
  <c r="AT111" i="33" s="1"/>
  <c r="AT123" i="33" s="1"/>
  <c r="A53" i="18"/>
  <c r="AT99" i="33" s="1"/>
  <c r="AT110" i="33" s="1"/>
  <c r="AT122" i="33" s="1"/>
  <c r="A52" i="18"/>
  <c r="AT98" i="33" s="1"/>
  <c r="AT109" i="33" s="1"/>
  <c r="AT121" i="33" s="1"/>
  <c r="Y48" i="18"/>
  <c r="X48" i="18"/>
  <c r="BD56" i="31" s="1"/>
  <c r="BD78" i="31" s="1"/>
  <c r="W48" i="18"/>
  <c r="BC56" i="31" s="1"/>
  <c r="BC78" i="31" s="1"/>
  <c r="V48" i="18"/>
  <c r="BB56" i="31" s="1"/>
  <c r="BB78" i="31" s="1"/>
  <c r="U48" i="18"/>
  <c r="BA56" i="31" s="1"/>
  <c r="BA78" i="31" s="1"/>
  <c r="T48" i="18"/>
  <c r="AZ56" i="31" s="1"/>
  <c r="AZ78" i="31" s="1"/>
  <c r="S48" i="18"/>
  <c r="AY56" i="31" s="1"/>
  <c r="AY78" i="31" s="1"/>
  <c r="R48" i="18"/>
  <c r="AX56" i="31" s="1"/>
  <c r="AX78" i="31" s="1"/>
  <c r="Q48" i="18"/>
  <c r="P48" i="18"/>
  <c r="AV56" i="31" s="1"/>
  <c r="AV78" i="31" s="1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BE55" i="31" s="1"/>
  <c r="BE77" i="31" s="1"/>
  <c r="X47" i="18"/>
  <c r="W47" i="18"/>
  <c r="BC55" i="31" s="1"/>
  <c r="BC77" i="31" s="1"/>
  <c r="V47" i="18"/>
  <c r="BB55" i="31" s="1"/>
  <c r="BB77" i="31" s="1"/>
  <c r="U47" i="18"/>
  <c r="BA55" i="31" s="1"/>
  <c r="BA77" i="31" s="1"/>
  <c r="T47" i="18"/>
  <c r="AZ55" i="31" s="1"/>
  <c r="AZ77" i="31" s="1"/>
  <c r="S47" i="18"/>
  <c r="AY55" i="31" s="1"/>
  <c r="AY77" i="31" s="1"/>
  <c r="R47" i="18"/>
  <c r="Q47" i="18"/>
  <c r="AW55" i="31" s="1"/>
  <c r="AW77" i="31" s="1"/>
  <c r="P47" i="18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BE54" i="31" s="1"/>
  <c r="BE76" i="31" s="1"/>
  <c r="X46" i="18"/>
  <c r="BD54" i="31" s="1"/>
  <c r="BD76" i="31" s="1"/>
  <c r="W46" i="18"/>
  <c r="BC54" i="31" s="1"/>
  <c r="BC76" i="31" s="1"/>
  <c r="V46" i="18"/>
  <c r="BB54" i="31" s="1"/>
  <c r="BB76" i="31" s="1"/>
  <c r="U46" i="18"/>
  <c r="BA54" i="31" s="1"/>
  <c r="BA76" i="31" s="1"/>
  <c r="T46" i="18"/>
  <c r="AZ54" i="31" s="1"/>
  <c r="AZ76" i="31" s="1"/>
  <c r="S46" i="18"/>
  <c r="AY54" i="31" s="1"/>
  <c r="AY76" i="31" s="1"/>
  <c r="R46" i="18"/>
  <c r="AX54" i="31" s="1"/>
  <c r="AX76" i="31" s="1"/>
  <c r="Q46" i="18"/>
  <c r="P46" i="18"/>
  <c r="AV54" i="31" s="1"/>
  <c r="AV76" i="31" s="1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BE53" i="31" s="1"/>
  <c r="BE75" i="31" s="1"/>
  <c r="X45" i="18"/>
  <c r="BD53" i="31" s="1"/>
  <c r="BD75" i="31" s="1"/>
  <c r="W45" i="18"/>
  <c r="BC53" i="31" s="1"/>
  <c r="BC75" i="31" s="1"/>
  <c r="V45" i="18"/>
  <c r="BB53" i="31" s="1"/>
  <c r="BB75" i="31" s="1"/>
  <c r="U45" i="18"/>
  <c r="BA53" i="31" s="1"/>
  <c r="BA75" i="31" s="1"/>
  <c r="T45" i="18"/>
  <c r="S45" i="18"/>
  <c r="AY53" i="31" s="1"/>
  <c r="AY75" i="31" s="1"/>
  <c r="R45" i="18"/>
  <c r="AX53" i="31" s="1"/>
  <c r="AX75" i="31" s="1"/>
  <c r="Q45" i="18"/>
  <c r="AW53" i="31" s="1"/>
  <c r="AW75" i="31" s="1"/>
  <c r="P45" i="18"/>
  <c r="AV53" i="31" s="1"/>
  <c r="AV75" i="31" s="1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BE52" i="31" s="1"/>
  <c r="BE74" i="31" s="1"/>
  <c r="X44" i="18"/>
  <c r="BD52" i="31" s="1"/>
  <c r="BD74" i="31" s="1"/>
  <c r="W44" i="18"/>
  <c r="BC52" i="31" s="1"/>
  <c r="BC74" i="31" s="1"/>
  <c r="V44" i="18"/>
  <c r="BB52" i="31" s="1"/>
  <c r="BB74" i="31" s="1"/>
  <c r="U44" i="18"/>
  <c r="BA52" i="31" s="1"/>
  <c r="BA74" i="31" s="1"/>
  <c r="T44" i="18"/>
  <c r="AZ52" i="31" s="1"/>
  <c r="AZ74" i="31" s="1"/>
  <c r="S44" i="18"/>
  <c r="AY52" i="31" s="1"/>
  <c r="AY74" i="31" s="1"/>
  <c r="R44" i="18"/>
  <c r="AX52" i="31" s="1"/>
  <c r="AX74" i="31" s="1"/>
  <c r="Q44" i="18"/>
  <c r="AW52" i="31" s="1"/>
  <c r="AW74" i="31" s="1"/>
  <c r="P44" i="18"/>
  <c r="AV52" i="31" s="1"/>
  <c r="AV74" i="31" s="1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BE51" i="31" s="1"/>
  <c r="BE73" i="31" s="1"/>
  <c r="X43" i="18"/>
  <c r="BD51" i="31" s="1"/>
  <c r="BD73" i="31" s="1"/>
  <c r="W43" i="18"/>
  <c r="BC51" i="31" s="1"/>
  <c r="BC73" i="31" s="1"/>
  <c r="V43" i="18"/>
  <c r="U43" i="18"/>
  <c r="BA51" i="31" s="1"/>
  <c r="BA73" i="31" s="1"/>
  <c r="T43" i="18"/>
  <c r="AZ51" i="31" s="1"/>
  <c r="AZ73" i="31" s="1"/>
  <c r="S43" i="18"/>
  <c r="AY51" i="31" s="1"/>
  <c r="AY73" i="31" s="1"/>
  <c r="R43" i="18"/>
  <c r="AX51" i="31" s="1"/>
  <c r="AX73" i="31" s="1"/>
  <c r="Q43" i="18"/>
  <c r="AW51" i="31" s="1"/>
  <c r="AW73" i="31" s="1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BE50" i="31" s="1"/>
  <c r="BE72" i="31" s="1"/>
  <c r="X42" i="18"/>
  <c r="BD50" i="31" s="1"/>
  <c r="BD72" i="31" s="1"/>
  <c r="W42" i="18"/>
  <c r="BC50" i="31" s="1"/>
  <c r="BC72" i="31" s="1"/>
  <c r="V42" i="18"/>
  <c r="BB50" i="31" s="1"/>
  <c r="BB72" i="31" s="1"/>
  <c r="U42" i="18"/>
  <c r="BA50" i="31" s="1"/>
  <c r="BA72" i="31" s="1"/>
  <c r="T42" i="18"/>
  <c r="AZ50" i="31" s="1"/>
  <c r="AZ72" i="31" s="1"/>
  <c r="S42" i="18"/>
  <c r="AY50" i="31" s="1"/>
  <c r="AY72" i="31" s="1"/>
  <c r="R42" i="18"/>
  <c r="AX50" i="31" s="1"/>
  <c r="AX72" i="31" s="1"/>
  <c r="Q42" i="18"/>
  <c r="AW50" i="31" s="1"/>
  <c r="AW72" i="31" s="1"/>
  <c r="P42" i="18"/>
  <c r="AV50" i="31" s="1"/>
  <c r="AV72" i="31" s="1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BE49" i="31" s="1"/>
  <c r="BE71" i="31" s="1"/>
  <c r="X41" i="18"/>
  <c r="BD49" i="31" s="1"/>
  <c r="BD71" i="31" s="1"/>
  <c r="W41" i="18"/>
  <c r="BC49" i="31" s="1"/>
  <c r="BC71" i="31" s="1"/>
  <c r="V41" i="18"/>
  <c r="BB49" i="31" s="1"/>
  <c r="BB71" i="31" s="1"/>
  <c r="U41" i="18"/>
  <c r="BA49" i="31" s="1"/>
  <c r="BA71" i="31" s="1"/>
  <c r="T41" i="18"/>
  <c r="AZ49" i="31" s="1"/>
  <c r="AZ71" i="31" s="1"/>
  <c r="S41" i="18"/>
  <c r="AY49" i="31" s="1"/>
  <c r="AY71" i="31" s="1"/>
  <c r="R41" i="18"/>
  <c r="AX49" i="31" s="1"/>
  <c r="AX71" i="31" s="1"/>
  <c r="Q41" i="18"/>
  <c r="AW49" i="31" s="1"/>
  <c r="AW71" i="31" s="1"/>
  <c r="P41" i="18"/>
  <c r="O41" i="18"/>
  <c r="AU49" i="31" s="1"/>
  <c r="AU71" i="31" s="1"/>
  <c r="N41" i="18"/>
  <c r="AT49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BE48" i="31" s="1"/>
  <c r="BE70" i="31" s="1"/>
  <c r="X40" i="18"/>
  <c r="BD48" i="31" s="1"/>
  <c r="BD70" i="31" s="1"/>
  <c r="W40" i="18"/>
  <c r="V40" i="18"/>
  <c r="BB48" i="31" s="1"/>
  <c r="BB70" i="31" s="1"/>
  <c r="U40" i="18"/>
  <c r="BA48" i="31" s="1"/>
  <c r="BA70" i="31" s="1"/>
  <c r="T40" i="18"/>
  <c r="AZ48" i="31" s="1"/>
  <c r="AZ70" i="31" s="1"/>
  <c r="S40" i="18"/>
  <c r="AY48" i="31" s="1"/>
  <c r="AY70" i="31" s="1"/>
  <c r="R40" i="18"/>
  <c r="AX48" i="31" s="1"/>
  <c r="AX70" i="31" s="1"/>
  <c r="Q40" i="18"/>
  <c r="AW48" i="31" s="1"/>
  <c r="AW70" i="31" s="1"/>
  <c r="P40" i="18"/>
  <c r="AV48" i="31" s="1"/>
  <c r="AV70" i="31" s="1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3" i="18"/>
  <c r="A32" i="18"/>
  <c r="A31" i="18"/>
  <c r="A30" i="18"/>
  <c r="A29" i="18"/>
  <c r="A28" i="18"/>
  <c r="A27" i="18"/>
  <c r="AA3" i="18"/>
  <c r="D156" i="33" l="1"/>
  <c r="C171" i="33"/>
  <c r="D171" i="33" s="1"/>
  <c r="AT133" i="33"/>
  <c r="AT168" i="33"/>
  <c r="AT175" i="33"/>
  <c r="AT140" i="33"/>
  <c r="AT169" i="33"/>
  <c r="AT134" i="33"/>
  <c r="AT141" i="33"/>
  <c r="AT176" i="33"/>
  <c r="AT170" i="33"/>
  <c r="AT135" i="33"/>
  <c r="AT171" i="33"/>
  <c r="AT136" i="33"/>
  <c r="AT174" i="33"/>
  <c r="AT139" i="33"/>
  <c r="AT172" i="33"/>
  <c r="AT137" i="33"/>
  <c r="AT167" i="33"/>
  <c r="AT132" i="33"/>
  <c r="AT173" i="33"/>
  <c r="AT138" i="33"/>
  <c r="C159" i="33"/>
  <c r="D153" i="33"/>
  <c r="C169" i="33"/>
  <c r="B64" i="18"/>
  <c r="AH48" i="31"/>
  <c r="AH70" i="31" s="1"/>
  <c r="AT37" i="30"/>
  <c r="AT48" i="30" s="1"/>
  <c r="AT60" i="30" s="1"/>
  <c r="B68" i="29"/>
  <c r="AT44" i="30"/>
  <c r="AT55" i="30" s="1"/>
  <c r="AT67" i="30" s="1"/>
  <c r="B75" i="29"/>
  <c r="AG63" i="31"/>
  <c r="AG74" i="31" s="1"/>
  <c r="B86" i="29"/>
  <c r="AT39" i="30"/>
  <c r="AT50" i="30" s="1"/>
  <c r="AT62" i="30" s="1"/>
  <c r="B70" i="29"/>
  <c r="AT46" i="30"/>
  <c r="AT57" i="30" s="1"/>
  <c r="AT69" i="30" s="1"/>
  <c r="B77" i="29"/>
  <c r="AG65" i="31"/>
  <c r="AG76" i="31" s="1"/>
  <c r="B88" i="29"/>
  <c r="AT38" i="30"/>
  <c r="AT49" i="30" s="1"/>
  <c r="AT61" i="30" s="1"/>
  <c r="B69" i="29"/>
  <c r="AG58" i="31"/>
  <c r="AG69" i="31" s="1"/>
  <c r="B81" i="29"/>
  <c r="AG66" i="31"/>
  <c r="AG77" i="31" s="1"/>
  <c r="B89" i="29"/>
  <c r="AG64" i="31"/>
  <c r="AG75" i="31" s="1"/>
  <c r="B87" i="29"/>
  <c r="AT40" i="30"/>
  <c r="AT51" i="30" s="1"/>
  <c r="AT63" i="30" s="1"/>
  <c r="B71" i="29"/>
  <c r="AG59" i="31"/>
  <c r="AG70" i="31" s="1"/>
  <c r="B82" i="29"/>
  <c r="AG67" i="31"/>
  <c r="AG78" i="31" s="1"/>
  <c r="B90" i="29"/>
  <c r="AT45" i="30"/>
  <c r="AT56" i="30" s="1"/>
  <c r="AT68" i="30" s="1"/>
  <c r="B76" i="29"/>
  <c r="W64" i="18"/>
  <c r="BC48" i="31"/>
  <c r="BC70" i="31" s="1"/>
  <c r="AT71" i="31"/>
  <c r="D67" i="18"/>
  <c r="AJ51" i="31"/>
  <c r="AJ73" i="31" s="1"/>
  <c r="B69" i="18"/>
  <c r="AH53" i="31"/>
  <c r="AH75" i="31" s="1"/>
  <c r="Q70" i="18"/>
  <c r="AW54" i="31"/>
  <c r="AW76" i="31" s="1"/>
  <c r="H71" i="18"/>
  <c r="AN55" i="31"/>
  <c r="AN77" i="31" s="1"/>
  <c r="P71" i="18"/>
  <c r="AV55" i="31"/>
  <c r="AV77" i="31" s="1"/>
  <c r="X71" i="18"/>
  <c r="BD55" i="31"/>
  <c r="BD77" i="31" s="1"/>
  <c r="AT41" i="30"/>
  <c r="AT52" i="30" s="1"/>
  <c r="AT64" i="30" s="1"/>
  <c r="B72" i="29"/>
  <c r="AG60" i="31"/>
  <c r="AG71" i="31" s="1"/>
  <c r="B83" i="29"/>
  <c r="AT42" i="30"/>
  <c r="AT53" i="30" s="1"/>
  <c r="AT65" i="30" s="1"/>
  <c r="B73" i="29"/>
  <c r="AG61" i="31"/>
  <c r="AG72" i="31" s="1"/>
  <c r="B84" i="29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P65" i="18"/>
  <c r="AV49" i="31"/>
  <c r="AV71" i="31" s="1"/>
  <c r="G66" i="18"/>
  <c r="AM50" i="31"/>
  <c r="AM72" i="31" s="1"/>
  <c r="F67" i="18"/>
  <c r="AL51" i="31"/>
  <c r="AL73" i="31" s="1"/>
  <c r="N67" i="18"/>
  <c r="AT51" i="31"/>
  <c r="AT73" i="31" s="1"/>
  <c r="V67" i="18"/>
  <c r="BB51" i="31"/>
  <c r="BB73" i="31" s="1"/>
  <c r="E68" i="18"/>
  <c r="AK52" i="31"/>
  <c r="AK74" i="31" s="1"/>
  <c r="D69" i="18"/>
  <c r="AJ53" i="31"/>
  <c r="AJ75" i="31" s="1"/>
  <c r="L69" i="18"/>
  <c r="AR53" i="31"/>
  <c r="AR75" i="31" s="1"/>
  <c r="T69" i="18"/>
  <c r="AZ53" i="31"/>
  <c r="AZ75" i="31" s="1"/>
  <c r="C70" i="18"/>
  <c r="AI54" i="31"/>
  <c r="AI76" i="31" s="1"/>
  <c r="B71" i="18"/>
  <c r="AH55" i="31"/>
  <c r="AH77" i="31" s="1"/>
  <c r="J71" i="18"/>
  <c r="AP55" i="31"/>
  <c r="AP77" i="31" s="1"/>
  <c r="R71" i="18"/>
  <c r="AX55" i="31"/>
  <c r="AX77" i="31" s="1"/>
  <c r="AT43" i="30"/>
  <c r="AT54" i="30" s="1"/>
  <c r="AT66" i="30" s="1"/>
  <c r="B74" i="29"/>
  <c r="AG62" i="31"/>
  <c r="AG73" i="31" s="1"/>
  <c r="B85" i="29"/>
  <c r="J21" i="31"/>
  <c r="K72" i="23"/>
  <c r="G72" i="18"/>
  <c r="AM56" i="31"/>
  <c r="AM78" i="31" s="1"/>
  <c r="O72" i="18"/>
  <c r="AU56" i="31"/>
  <c r="AU78" i="31" s="1"/>
  <c r="I72" i="18"/>
  <c r="AO56" i="31"/>
  <c r="AO78" i="31" s="1"/>
  <c r="Q72" i="18"/>
  <c r="AW56" i="31"/>
  <c r="AW78" i="31" s="1"/>
  <c r="Y72" i="18"/>
  <c r="BE56" i="31"/>
  <c r="BE78" i="31" s="1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V51" i="31"/>
  <c r="D159" i="33" l="1"/>
  <c r="D169" i="33"/>
  <c r="AV73" i="31"/>
  <c r="AG79" i="31" s="1"/>
  <c r="AT110" i="30"/>
  <c r="AT75" i="30"/>
  <c r="AT78" i="30"/>
  <c r="AT113" i="30"/>
  <c r="AT111" i="30"/>
  <c r="AT76" i="30"/>
  <c r="AT74" i="30"/>
  <c r="AT109" i="30"/>
  <c r="AT114" i="30"/>
  <c r="AT79" i="30"/>
  <c r="AT107" i="30"/>
  <c r="AT72" i="30"/>
  <c r="AT108" i="30"/>
  <c r="AT73" i="30"/>
  <c r="AT106" i="30"/>
  <c r="AT71" i="30"/>
  <c r="AT115" i="30"/>
  <c r="AT80" i="30"/>
  <c r="AT112" i="30"/>
  <c r="AT77" i="30"/>
  <c r="J73" i="18"/>
  <c r="R73" i="18"/>
  <c r="B73" i="18"/>
  <c r="C67" i="33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C70" i="33" l="1"/>
  <c r="D67" i="33"/>
  <c r="AA121" i="18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K115" i="31" s="1"/>
  <c r="B25" i="15"/>
  <c r="B26" i="15"/>
  <c r="B92" i="15" s="1"/>
  <c r="AI38" i="18" s="1"/>
  <c r="C84" i="33" l="1"/>
  <c r="D70" i="33"/>
  <c r="D84" i="33" s="1"/>
  <c r="F31" i="30"/>
  <c r="C257" i="33" s="1"/>
  <c r="M115" i="31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1" s="1"/>
  <c r="D87" i="31" s="1"/>
  <c r="K87" i="31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W12" i="31" s="1"/>
  <c r="Y85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E39" i="15" s="1"/>
  <c r="B23" i="15"/>
  <c r="B52" i="15" s="1"/>
  <c r="B24" i="15"/>
  <c r="B53" i="15" s="1"/>
  <c r="B55" i="15"/>
  <c r="B19" i="15"/>
  <c r="B27" i="15"/>
  <c r="B51" i="15"/>
  <c r="B37" i="15"/>
  <c r="T11" i="31" s="1"/>
  <c r="B30" i="15"/>
  <c r="B20" i="15"/>
  <c r="D257" i="33" l="1"/>
  <c r="M12" i="31"/>
  <c r="AH135" i="31"/>
  <c r="AH137" i="31" s="1"/>
  <c r="D11" i="31"/>
  <c r="AH144" i="31"/>
  <c r="AH146" i="31" s="1"/>
  <c r="D16" i="31"/>
  <c r="M16" i="31" s="1"/>
  <c r="M15" i="31"/>
  <c r="T14" i="22"/>
  <c r="C24" i="22" s="1"/>
  <c r="CC102" i="31"/>
  <c r="D95" i="31" s="1"/>
  <c r="K95" i="31" s="1"/>
  <c r="J95" i="31" s="1"/>
  <c r="B35" i="15"/>
  <c r="C35" i="30"/>
  <c r="D260" i="33" s="1"/>
  <c r="L15" i="31"/>
  <c r="AG144" i="31"/>
  <c r="AG146" i="31" s="1"/>
  <c r="C16" i="31"/>
  <c r="L16" i="31" s="1"/>
  <c r="D14" i="31"/>
  <c r="D13" i="31" s="1"/>
  <c r="V12" i="31"/>
  <c r="Y84" i="31" s="1"/>
  <c r="F33" i="30"/>
  <c r="C259" i="33" s="1"/>
  <c r="T12" i="31"/>
  <c r="B14" i="31"/>
  <c r="B16" i="31"/>
  <c r="AF144" i="31"/>
  <c r="AF146" i="31" s="1"/>
  <c r="K15" i="31"/>
  <c r="J15" i="31"/>
  <c r="AI39" i="24"/>
  <c r="AI41" i="24"/>
  <c r="AP41" i="24" s="1"/>
  <c r="AP54" i="24" s="1"/>
  <c r="CD94" i="31" s="1"/>
  <c r="E87" i="31" s="1"/>
  <c r="L87" i="31" s="1"/>
  <c r="AP41" i="25"/>
  <c r="AP54" i="25" s="1"/>
  <c r="CE94" i="31" s="1"/>
  <c r="F87" i="31" s="1"/>
  <c r="M87" i="31" s="1"/>
  <c r="AI40" i="24"/>
  <c r="AN27" i="18"/>
  <c r="AN54" i="18" s="1"/>
  <c r="CC92" i="31" s="1"/>
  <c r="D85" i="31" s="1"/>
  <c r="K85" i="31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B39" i="15" s="1"/>
  <c r="B10" i="31" s="1"/>
  <c r="E43" i="15"/>
  <c r="D20" i="15"/>
  <c r="D21" i="15" s="1"/>
  <c r="D39" i="15" s="1"/>
  <c r="D10" i="31" s="1"/>
  <c r="B56" i="15"/>
  <c r="B31" i="15"/>
  <c r="B41" i="15" s="1"/>
  <c r="B59" i="15"/>
  <c r="B28" i="15"/>
  <c r="B57" i="15" s="1"/>
  <c r="D259" i="33" l="1"/>
  <c r="D283" i="33" s="1"/>
  <c r="C283" i="33"/>
  <c r="J87" i="31"/>
  <c r="B13" i="31"/>
  <c r="C138" i="33" s="1"/>
  <c r="Y82" i="31"/>
  <c r="AF141" i="31"/>
  <c r="AF143" i="31" s="1"/>
  <c r="K14" i="31"/>
  <c r="AH132" i="31"/>
  <c r="AH134" i="31" s="1"/>
  <c r="M11" i="31"/>
  <c r="F35" i="30"/>
  <c r="C260" i="33" s="1"/>
  <c r="D35" i="15"/>
  <c r="V125" i="31" s="1"/>
  <c r="C37" i="30"/>
  <c r="F37" i="30" s="1"/>
  <c r="B101" i="30" s="1"/>
  <c r="T125" i="31"/>
  <c r="T6" i="31"/>
  <c r="B39" i="30"/>
  <c r="C39" i="30" s="1"/>
  <c r="AH138" i="31"/>
  <c r="AH140" i="31" s="1"/>
  <c r="M13" i="31"/>
  <c r="AF129" i="31"/>
  <c r="AF131" i="31" s="1"/>
  <c r="K10" i="31"/>
  <c r="K16" i="31"/>
  <c r="J16" i="31"/>
  <c r="AH129" i="31"/>
  <c r="AH131" i="31" s="1"/>
  <c r="M10" i="31"/>
  <c r="AH141" i="31"/>
  <c r="AH143" i="31" s="1"/>
  <c r="M14" i="31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1" s="1"/>
  <c r="D83" i="31" s="1"/>
  <c r="K83" i="31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43" i="15"/>
  <c r="B9" i="31" s="1"/>
  <c r="C137" i="33" s="1"/>
  <c r="D43" i="15"/>
  <c r="D9" i="31" s="1"/>
  <c r="B32" i="15"/>
  <c r="B60" i="15"/>
  <c r="B29" i="15"/>
  <c r="B45" i="15"/>
  <c r="D138" i="33" l="1"/>
  <c r="D137" i="33"/>
  <c r="D101" i="30"/>
  <c r="B120" i="30"/>
  <c r="D120" i="30" s="1"/>
  <c r="M9" i="31"/>
  <c r="AH126" i="31"/>
  <c r="AH128" i="31" s="1"/>
  <c r="AH147" i="31" s="1"/>
  <c r="V126" i="31" s="1"/>
  <c r="K9" i="31"/>
  <c r="AF126" i="31"/>
  <c r="AF128" i="31" s="1"/>
  <c r="Z97" i="31"/>
  <c r="Z103" i="31"/>
  <c r="BK103" i="31" s="1"/>
  <c r="BK108" i="31" s="1"/>
  <c r="Z104" i="31"/>
  <c r="BL104" i="31" s="1"/>
  <c r="BL108" i="31" s="1"/>
  <c r="Z99" i="31"/>
  <c r="Z98" i="31"/>
  <c r="Z93" i="31"/>
  <c r="Z105" i="31"/>
  <c r="BM105" i="31" s="1"/>
  <c r="BM108" i="31" s="1"/>
  <c r="Z106" i="31"/>
  <c r="BN106" i="31" s="1"/>
  <c r="BN108" i="31" s="1"/>
  <c r="Z90" i="31"/>
  <c r="Z91" i="31"/>
  <c r="Z96" i="31"/>
  <c r="Z92" i="31"/>
  <c r="Z107" i="31"/>
  <c r="BO107" i="31" s="1"/>
  <c r="BO108" i="31" s="1"/>
  <c r="Z100" i="31"/>
  <c r="Z89" i="31"/>
  <c r="B99" i="30"/>
  <c r="K13" i="31"/>
  <c r="AF138" i="31"/>
  <c r="AF140" i="31" s="1"/>
  <c r="F39" i="30"/>
  <c r="C261" i="33" s="1"/>
  <c r="B5" i="31"/>
  <c r="AK54" i="26"/>
  <c r="B42" i="15"/>
  <c r="B12" i="31" s="1"/>
  <c r="B61" i="15"/>
  <c r="B46" i="15"/>
  <c r="B11" i="31" s="1"/>
  <c r="B58" i="15"/>
  <c r="D261" i="33" l="1"/>
  <c r="D281" i="33" s="1"/>
  <c r="D284" i="33" s="1"/>
  <c r="B6" i="31"/>
  <c r="C149" i="33" s="1"/>
  <c r="C148" i="33"/>
  <c r="C281" i="33"/>
  <c r="K11" i="31"/>
  <c r="AF132" i="31"/>
  <c r="AF134" i="31" s="1"/>
  <c r="D99" i="30"/>
  <c r="B103" i="30"/>
  <c r="B118" i="30" s="1"/>
  <c r="J5" i="31"/>
  <c r="K5" i="31"/>
  <c r="K12" i="31"/>
  <c r="AF135" i="31"/>
  <c r="AF137" i="31" s="1"/>
  <c r="B49" i="15"/>
  <c r="Y49" i="31" s="1"/>
  <c r="AC49" i="31" s="1"/>
  <c r="D148" i="33" l="1"/>
  <c r="D149" i="33"/>
  <c r="J6" i="31"/>
  <c r="C195" i="33" s="1"/>
  <c r="K6" i="31"/>
  <c r="C197" i="33"/>
  <c r="T134" i="31"/>
  <c r="K112" i="31" s="1"/>
  <c r="J112" i="31" s="1"/>
  <c r="C284" i="33"/>
  <c r="D118" i="30"/>
  <c r="AF147" i="31"/>
  <c r="T126" i="31" s="1"/>
  <c r="D103" i="30"/>
  <c r="B106" i="30"/>
  <c r="U18" i="7"/>
  <c r="BC20" i="29" s="1"/>
  <c r="U19" i="7"/>
  <c r="BC21" i="29" s="1"/>
  <c r="U22" i="7"/>
  <c r="BC24" i="29" s="1"/>
  <c r="U25" i="7"/>
  <c r="U27" i="7"/>
  <c r="U28" i="7"/>
  <c r="U29" i="7"/>
  <c r="U30" i="7"/>
  <c r="U36" i="7"/>
  <c r="U37" i="7"/>
  <c r="S2" i="7"/>
  <c r="BA4" i="29" s="1"/>
  <c r="S3" i="7"/>
  <c r="BA5" i="29" s="1"/>
  <c r="S5" i="7"/>
  <c r="BA7" i="29" s="1"/>
  <c r="S6" i="7"/>
  <c r="BA8" i="29" s="1"/>
  <c r="S26" i="7"/>
  <c r="S31" i="7"/>
  <c r="S32" i="7"/>
  <c r="S33" i="7"/>
  <c r="S34" i="7"/>
  <c r="S35" i="7"/>
  <c r="S38" i="7"/>
  <c r="S39" i="7"/>
  <c r="R2" i="7"/>
  <c r="R3" i="7"/>
  <c r="R5" i="7"/>
  <c r="R6" i="7"/>
  <c r="R26" i="7"/>
  <c r="R31" i="7"/>
  <c r="R32" i="7"/>
  <c r="R33" i="7"/>
  <c r="R34" i="7"/>
  <c r="R35" i="7"/>
  <c r="R38" i="7"/>
  <c r="R39" i="7"/>
  <c r="D197" i="33" l="1"/>
  <c r="D195" i="33"/>
  <c r="K35" i="7"/>
  <c r="L35" i="7" s="1"/>
  <c r="N35" i="7"/>
  <c r="N2" i="7" l="1"/>
  <c r="N25" i="7"/>
  <c r="N26" i="7"/>
  <c r="N27" i="7"/>
  <c r="N28" i="7"/>
  <c r="N29" i="7"/>
  <c r="N30" i="7"/>
  <c r="N31" i="7"/>
  <c r="N32" i="7"/>
  <c r="N33" i="7"/>
  <c r="N34" i="7"/>
  <c r="N36" i="7"/>
  <c r="N37" i="7"/>
  <c r="N38" i="7"/>
  <c r="N39" i="7"/>
  <c r="K25" i="7"/>
  <c r="K38" i="7"/>
  <c r="L38" i="7" s="1"/>
  <c r="K37" i="7"/>
  <c r="L37" i="7" s="1"/>
  <c r="K31" i="7"/>
  <c r="L31" i="7" s="1"/>
  <c r="K32" i="7"/>
  <c r="L32" i="7" s="1"/>
  <c r="K33" i="7"/>
  <c r="L33" i="7" s="1"/>
  <c r="K34" i="7"/>
  <c r="L34" i="7" s="1"/>
  <c r="N66" i="7" l="1"/>
  <c r="U38" i="7"/>
  <c r="K39" i="7" l="1"/>
  <c r="L39" i="7" s="1"/>
  <c r="K36" i="7"/>
  <c r="L36" i="7" s="1"/>
  <c r="AC12" i="7"/>
  <c r="K30" i="7"/>
  <c r="K29" i="7"/>
  <c r="L29" i="7" s="1"/>
  <c r="K28" i="7"/>
  <c r="L28" i="7" s="1"/>
  <c r="K27" i="7"/>
  <c r="L27" i="7" s="1"/>
  <c r="K26" i="7"/>
  <c r="L26" i="7" s="1"/>
  <c r="L25" i="7"/>
  <c r="T17" i="7"/>
  <c r="BB19" i="29" s="1"/>
  <c r="BH19" i="29" s="1"/>
  <c r="T16" i="7"/>
  <c r="BB18" i="29" s="1"/>
  <c r="BH18" i="29" s="1"/>
  <c r="L2" i="7"/>
  <c r="M2" i="7" s="1"/>
  <c r="U23" i="7" l="1"/>
  <c r="BC25" i="29" s="1"/>
  <c r="T6" i="7"/>
  <c r="BB8" i="29" s="1"/>
  <c r="BI8" i="29" s="1"/>
  <c r="T7" i="7"/>
  <c r="BB9" i="29" s="1"/>
  <c r="BI9" i="29" s="1"/>
  <c r="T15" i="7"/>
  <c r="BB17" i="29" s="1"/>
  <c r="BH17" i="29" s="1"/>
  <c r="T10" i="7"/>
  <c r="BB12" i="29" s="1"/>
  <c r="BH12" i="29" s="1"/>
  <c r="V22" i="7"/>
  <c r="T22" i="7"/>
  <c r="BB24" i="29" s="1"/>
  <c r="BI24" i="29" s="1"/>
  <c r="V11" i="7"/>
  <c r="U11" i="7"/>
  <c r="BC13" i="29" s="1"/>
  <c r="V12" i="7"/>
  <c r="U12" i="7"/>
  <c r="BC14" i="29" s="1"/>
  <c r="V16" i="7"/>
  <c r="U16" i="7"/>
  <c r="BC18" i="29" s="1"/>
  <c r="V17" i="7"/>
  <c r="U17" i="7"/>
  <c r="BC19" i="29" s="1"/>
  <c r="K66" i="7"/>
  <c r="M64" i="7"/>
  <c r="M60" i="7"/>
  <c r="M47" i="7"/>
  <c r="M63" i="7"/>
  <c r="M43" i="7"/>
  <c r="M57" i="7"/>
  <c r="M48" i="7"/>
  <c r="M51" i="7"/>
  <c r="M49" i="7"/>
  <c r="M52" i="7"/>
  <c r="M54" i="7"/>
  <c r="M65" i="7"/>
  <c r="M62" i="7"/>
  <c r="M46" i="7"/>
  <c r="M44" i="7"/>
  <c r="M41" i="7"/>
  <c r="M59" i="7"/>
  <c r="M55" i="7"/>
  <c r="M61" i="7"/>
  <c r="M45" i="7"/>
  <c r="M42" i="7"/>
  <c r="M58" i="7"/>
  <c r="M40" i="7"/>
  <c r="M53" i="7"/>
  <c r="M50" i="7"/>
  <c r="M56" i="7"/>
  <c r="M35" i="7"/>
  <c r="M38" i="7"/>
  <c r="R16" i="7"/>
  <c r="S16" i="7"/>
  <c r="BA18" i="29" s="1"/>
  <c r="S7" i="7"/>
  <c r="BA9" i="29" s="1"/>
  <c r="S17" i="7"/>
  <c r="BA19" i="29" s="1"/>
  <c r="R17" i="7"/>
  <c r="S10" i="7"/>
  <c r="BA12" i="29" s="1"/>
  <c r="R10" i="7"/>
  <c r="S22" i="7"/>
  <c r="BA24" i="29" s="1"/>
  <c r="R22" i="7"/>
  <c r="R12" i="7"/>
  <c r="S12" i="7"/>
  <c r="BA14" i="29" s="1"/>
  <c r="R11" i="7"/>
  <c r="S11" i="7"/>
  <c r="BA13" i="29" s="1"/>
  <c r="R15" i="7"/>
  <c r="S15" i="7"/>
  <c r="BA17" i="29" s="1"/>
  <c r="R23" i="7"/>
  <c r="S23" i="7"/>
  <c r="BA25" i="29" s="1"/>
  <c r="U35" i="7"/>
  <c r="M25" i="7"/>
  <c r="T3" i="7"/>
  <c r="BB5" i="29" s="1"/>
  <c r="BI5" i="29" s="1"/>
  <c r="L30" i="7"/>
  <c r="M26" i="7"/>
  <c r="M37" i="7"/>
  <c r="M32" i="7"/>
  <c r="M31" i="7"/>
  <c r="M33" i="7"/>
  <c r="M34" i="7"/>
  <c r="M27" i="7"/>
  <c r="M29" i="7"/>
  <c r="M36" i="7"/>
  <c r="U20" i="7"/>
  <c r="BC22" i="29" s="1"/>
  <c r="U24" i="7"/>
  <c r="M28" i="7"/>
  <c r="M39" i="7"/>
  <c r="L66" i="7"/>
  <c r="U21" i="7"/>
  <c r="BC23" i="29" s="1"/>
  <c r="V23" i="7" l="1"/>
  <c r="T23" i="7"/>
  <c r="BB25" i="29" s="1"/>
  <c r="BI25" i="29" s="1"/>
  <c r="U15" i="7"/>
  <c r="BC17" i="29" s="1"/>
  <c r="V6" i="7"/>
  <c r="V15" i="7"/>
  <c r="V4" i="7"/>
  <c r="T4" i="7"/>
  <c r="BB6" i="29" s="1"/>
  <c r="U4" i="7"/>
  <c r="BC6" i="29" s="1"/>
  <c r="V9" i="7"/>
  <c r="T9" i="7"/>
  <c r="BB11" i="29" s="1"/>
  <c r="BH11" i="29" s="1"/>
  <c r="T8" i="7"/>
  <c r="BB10" i="29" s="1"/>
  <c r="BH10" i="29" s="1"/>
  <c r="V8" i="7"/>
  <c r="U7" i="7"/>
  <c r="BC9" i="29" s="1"/>
  <c r="V7" i="7"/>
  <c r="U10" i="7"/>
  <c r="BC12" i="29" s="1"/>
  <c r="V10" i="7"/>
  <c r="V21" i="7"/>
  <c r="T21" i="7"/>
  <c r="BB23" i="29" s="1"/>
  <c r="BG23" i="29" s="1"/>
  <c r="V65" i="7"/>
  <c r="T65" i="7"/>
  <c r="V37" i="7"/>
  <c r="T37" i="7"/>
  <c r="V39" i="7"/>
  <c r="T39" i="7"/>
  <c r="V27" i="7"/>
  <c r="T27" i="7"/>
  <c r="V26" i="7"/>
  <c r="T26" i="7"/>
  <c r="V56" i="7"/>
  <c r="T56" i="7"/>
  <c r="V55" i="7"/>
  <c r="T55" i="7"/>
  <c r="V52" i="7"/>
  <c r="T52" i="7"/>
  <c r="V60" i="7"/>
  <c r="T60" i="7"/>
  <c r="V38" i="7"/>
  <c r="T38" i="7"/>
  <c r="V61" i="7"/>
  <c r="T61" i="7"/>
  <c r="V19" i="7"/>
  <c r="T19" i="7"/>
  <c r="BB21" i="29" s="1"/>
  <c r="BI21" i="29" s="1"/>
  <c r="V50" i="7"/>
  <c r="T50" i="7"/>
  <c r="V59" i="7"/>
  <c r="T59" i="7"/>
  <c r="V49" i="7"/>
  <c r="T49" i="7"/>
  <c r="V64" i="7"/>
  <c r="T64" i="7"/>
  <c r="V29" i="7"/>
  <c r="T29" i="7"/>
  <c r="V63" i="7"/>
  <c r="T63" i="7"/>
  <c r="V41" i="7"/>
  <c r="T41" i="7"/>
  <c r="V51" i="7"/>
  <c r="T51" i="7"/>
  <c r="V54" i="7"/>
  <c r="T54" i="7"/>
  <c r="V5" i="7"/>
  <c r="T5" i="7"/>
  <c r="BB7" i="29" s="1"/>
  <c r="V25" i="7"/>
  <c r="T25" i="7"/>
  <c r="V40" i="7"/>
  <c r="T40" i="7"/>
  <c r="V44" i="7"/>
  <c r="T44" i="7"/>
  <c r="V48" i="7"/>
  <c r="T48" i="7"/>
  <c r="V18" i="7"/>
  <c r="T18" i="7"/>
  <c r="BB20" i="29" s="1"/>
  <c r="BH20" i="29" s="1"/>
  <c r="V32" i="7"/>
  <c r="T32" i="7"/>
  <c r="V2" i="7"/>
  <c r="T2" i="7"/>
  <c r="BB4" i="29" s="1"/>
  <c r="BI4" i="29" s="1"/>
  <c r="V47" i="7"/>
  <c r="T47" i="7"/>
  <c r="V28" i="7"/>
  <c r="T28" i="7"/>
  <c r="V53" i="7"/>
  <c r="T53" i="7"/>
  <c r="V20" i="7"/>
  <c r="T20" i="7"/>
  <c r="BB22" i="29" s="1"/>
  <c r="BG22" i="29" s="1"/>
  <c r="V33" i="7"/>
  <c r="T33" i="7"/>
  <c r="V58" i="7"/>
  <c r="T58" i="7"/>
  <c r="V46" i="7"/>
  <c r="T46" i="7"/>
  <c r="V57" i="7"/>
  <c r="T57" i="7"/>
  <c r="V45" i="7"/>
  <c r="T45" i="7"/>
  <c r="V35" i="7"/>
  <c r="T35" i="7"/>
  <c r="V24" i="7"/>
  <c r="T24" i="7"/>
  <c r="V34" i="7"/>
  <c r="T34" i="7"/>
  <c r="V36" i="7"/>
  <c r="T36" i="7"/>
  <c r="V31" i="7"/>
  <c r="T31" i="7"/>
  <c r="V42" i="7"/>
  <c r="T42" i="7"/>
  <c r="V62" i="7"/>
  <c r="T62" i="7"/>
  <c r="V43" i="7"/>
  <c r="T43" i="7"/>
  <c r="V14" i="7"/>
  <c r="U14" i="7"/>
  <c r="BC16" i="29" s="1"/>
  <c r="V13" i="7"/>
  <c r="U13" i="7"/>
  <c r="BC15" i="29" s="1"/>
  <c r="V3" i="7"/>
  <c r="U3" i="7"/>
  <c r="BC5" i="29" s="1"/>
  <c r="R28" i="7"/>
  <c r="S28" i="7"/>
  <c r="U5" i="7"/>
  <c r="BC7" i="29" s="1"/>
  <c r="R21" i="7"/>
  <c r="S21" i="7"/>
  <c r="BA23" i="29" s="1"/>
  <c r="R24" i="7"/>
  <c r="S24" i="7"/>
  <c r="R20" i="7"/>
  <c r="S20" i="7"/>
  <c r="BA22" i="29" s="1"/>
  <c r="U39" i="7"/>
  <c r="R29" i="7"/>
  <c r="S29" i="7"/>
  <c r="U32" i="7"/>
  <c r="S25" i="7"/>
  <c r="R25" i="7"/>
  <c r="S14" i="7"/>
  <c r="BA16" i="29" s="1"/>
  <c r="R14" i="7"/>
  <c r="U2" i="7"/>
  <c r="BC4" i="29" s="1"/>
  <c r="U34" i="7"/>
  <c r="R37" i="7"/>
  <c r="S37" i="7"/>
  <c r="S18" i="7"/>
  <c r="BA20" i="29" s="1"/>
  <c r="R18" i="7"/>
  <c r="R13" i="7"/>
  <c r="S13" i="7"/>
  <c r="BA15" i="29" s="1"/>
  <c r="R27" i="7"/>
  <c r="S27" i="7"/>
  <c r="U33" i="7"/>
  <c r="U26" i="7"/>
  <c r="U6" i="7"/>
  <c r="BC8" i="29" s="1"/>
  <c r="R36" i="7"/>
  <c r="S36" i="7"/>
  <c r="R19" i="7"/>
  <c r="S19" i="7"/>
  <c r="BA21" i="29" s="1"/>
  <c r="U31" i="7"/>
  <c r="M30" i="7"/>
  <c r="BH31" i="29" l="1"/>
  <c r="AP6" i="29" s="1"/>
  <c r="AD22" i="29" s="1"/>
  <c r="AF22" i="29" s="1"/>
  <c r="BG31" i="29"/>
  <c r="AP3" i="29" s="1"/>
  <c r="BI31" i="29"/>
  <c r="V30" i="7"/>
  <c r="T30" i="7"/>
  <c r="R66" i="7"/>
  <c r="V66" i="7"/>
  <c r="T66" i="7"/>
  <c r="AA18" i="7" s="1"/>
  <c r="M66" i="7"/>
  <c r="S66" i="7"/>
  <c r="AA19" i="7" s="1"/>
  <c r="S30" i="7"/>
  <c r="R30" i="7"/>
  <c r="U66" i="7" l="1"/>
  <c r="AP5" i="29"/>
  <c r="AP4" i="29"/>
  <c r="AD20" i="29" s="1"/>
  <c r="AF20" i="29" s="1"/>
  <c r="AK21" i="29" s="1"/>
  <c r="AK25" i="29" s="1"/>
  <c r="C183" i="33" s="1"/>
  <c r="AA20" i="7"/>
  <c r="AI18" i="18"/>
  <c r="AD56" i="18"/>
  <c r="C3" i="22" s="1"/>
  <c r="E65" i="15"/>
  <c r="D65" i="15"/>
  <c r="C65" i="15"/>
  <c r="B65" i="15"/>
  <c r="C18" i="15"/>
  <c r="B32" i="30" s="1"/>
  <c r="C32" i="30" s="1"/>
  <c r="C22" i="15"/>
  <c r="V137" i="31" s="1"/>
  <c r="W137" i="31" s="1"/>
  <c r="B83" i="30" l="1"/>
  <c r="F83" i="30" s="1"/>
  <c r="T234" i="31"/>
  <c r="T272" i="31" s="1"/>
  <c r="X272" i="31" s="1"/>
  <c r="J142" i="31" s="1"/>
  <c r="C220" i="33" s="1"/>
  <c r="AK26" i="29"/>
  <c r="C184" i="33" s="1"/>
  <c r="C185" i="33" s="1"/>
  <c r="D185" i="33" s="1"/>
  <c r="F32" i="30"/>
  <c r="C258" i="33" s="1"/>
  <c r="L115" i="31"/>
  <c r="J115" i="31" s="1"/>
  <c r="AW18" i="18"/>
  <c r="AW54" i="18" s="1"/>
  <c r="AU18" i="18"/>
  <c r="AU54" i="18" s="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F8" i="23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89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Y113" i="18"/>
  <c r="Y139" i="18" s="1"/>
  <c r="Y152" i="18" s="1"/>
  <c r="C111" i="18"/>
  <c r="C137" i="18" s="1"/>
  <c r="C150" i="18" s="1"/>
  <c r="K118" i="18"/>
  <c r="K144" i="18" s="1"/>
  <c r="K157" i="18" s="1"/>
  <c r="K170" i="18" s="1"/>
  <c r="V115" i="18"/>
  <c r="V141" i="18" s="1"/>
  <c r="V154" i="18" s="1"/>
  <c r="V211" i="18" s="1"/>
  <c r="V218" i="18" s="1"/>
  <c r="AA9" i="22" s="1"/>
  <c r="H113" i="18"/>
  <c r="H139" i="18" s="1"/>
  <c r="H152" i="18" s="1"/>
  <c r="K110" i="18"/>
  <c r="S117" i="18"/>
  <c r="S143" i="18" s="1"/>
  <c r="S156" i="18" s="1"/>
  <c r="S169" i="18" s="1"/>
  <c r="E115" i="18"/>
  <c r="E141" i="18" s="1"/>
  <c r="E154" i="18" s="1"/>
  <c r="E211" i="18" s="1"/>
  <c r="E218" i="18" s="1"/>
  <c r="J9" i="22" s="1"/>
  <c r="P112" i="18"/>
  <c r="P138" i="18" s="1"/>
  <c r="P151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X189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G111" i="18"/>
  <c r="G137" i="18" s="1"/>
  <c r="G150" i="18" s="1"/>
  <c r="G189" i="18" s="1"/>
  <c r="O118" i="18"/>
  <c r="O144" i="18" s="1"/>
  <c r="O157" i="18" s="1"/>
  <c r="O170" i="18" s="1"/>
  <c r="R115" i="18"/>
  <c r="R141" i="18" s="1"/>
  <c r="R154" i="18" s="1"/>
  <c r="D113" i="18"/>
  <c r="D139" i="18" s="1"/>
  <c r="D152" i="18" s="1"/>
  <c r="O110" i="18"/>
  <c r="W117" i="18"/>
  <c r="W143" i="18" s="1"/>
  <c r="W156" i="18" s="1"/>
  <c r="W169" i="18" s="1"/>
  <c r="I115" i="18"/>
  <c r="I141" i="18" s="1"/>
  <c r="I154" i="18" s="1"/>
  <c r="I211" i="18" s="1"/>
  <c r="I218" i="18" s="1"/>
  <c r="N9" i="22" s="1"/>
  <c r="L112" i="18"/>
  <c r="L138" i="18" s="1"/>
  <c r="L151" i="18" s="1"/>
  <c r="G116" i="18"/>
  <c r="G142" i="18" s="1"/>
  <c r="G155" i="18" s="1"/>
  <c r="G168" i="18" s="1"/>
  <c r="K112" i="18"/>
  <c r="K138" i="18" s="1"/>
  <c r="K151" i="18" s="1"/>
  <c r="M112" i="18"/>
  <c r="M138" i="18" s="1"/>
  <c r="M151" i="18" s="1"/>
  <c r="J114" i="18"/>
  <c r="J140" i="18" s="1"/>
  <c r="J153" i="18" s="1"/>
  <c r="J192" i="18" s="1"/>
  <c r="O116" i="18"/>
  <c r="O142" i="18" s="1"/>
  <c r="O155" i="18" s="1"/>
  <c r="D118" i="18"/>
  <c r="D144" i="18" s="1"/>
  <c r="D157" i="18" s="1"/>
  <c r="D170" i="18" s="1"/>
  <c r="R112" i="18"/>
  <c r="R138" i="18" s="1"/>
  <c r="R151" i="18" s="1"/>
  <c r="L117" i="18"/>
  <c r="L143" i="18" s="1"/>
  <c r="L156" i="18" s="1"/>
  <c r="L169" i="18" s="1"/>
  <c r="I112" i="18"/>
  <c r="I138" i="18" s="1"/>
  <c r="I151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S192" i="18" s="1"/>
  <c r="S198" i="18" s="1"/>
  <c r="S217" i="18" s="1"/>
  <c r="X7" i="22" s="1"/>
  <c r="BJ17" i="23" s="1"/>
  <c r="BJ37" i="23" s="1"/>
  <c r="X116" i="18"/>
  <c r="X142" i="18" s="1"/>
  <c r="X155" i="18" s="1"/>
  <c r="X168" i="18" s="1"/>
  <c r="M111" i="18"/>
  <c r="M137" i="18" s="1"/>
  <c r="M150" i="18" s="1"/>
  <c r="M202" i="18" s="1"/>
  <c r="S112" i="18"/>
  <c r="S138" i="18" s="1"/>
  <c r="S151" i="18" s="1"/>
  <c r="D119" i="18"/>
  <c r="D145" i="18" s="1"/>
  <c r="D158" i="18" s="1"/>
  <c r="D171" i="18" s="1"/>
  <c r="J113" i="18"/>
  <c r="J139" i="18" s="1"/>
  <c r="J152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H112" i="18"/>
  <c r="H138" i="18" s="1"/>
  <c r="H151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AV39" i="23" s="1"/>
  <c r="P111" i="18"/>
  <c r="P137" i="18" s="1"/>
  <c r="P150" i="18" s="1"/>
  <c r="P202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11" i="18" s="1"/>
  <c r="J218" i="18" s="1"/>
  <c r="O9" i="22" s="1"/>
  <c r="U112" i="18"/>
  <c r="U138" i="18" s="1"/>
  <c r="U151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BI17" i="23" s="1"/>
  <c r="BI37" i="23" s="1"/>
  <c r="D112" i="18"/>
  <c r="D138" i="18" s="1"/>
  <c r="D151" i="18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L118" i="18"/>
  <c r="L144" i="18" s="1"/>
  <c r="L157" i="18" s="1"/>
  <c r="L170" i="18" s="1"/>
  <c r="W115" i="18"/>
  <c r="W141" i="18" s="1"/>
  <c r="W154" i="18" s="1"/>
  <c r="W211" i="18" s="1"/>
  <c r="W218" i="18" s="1"/>
  <c r="AB9" i="22" s="1"/>
  <c r="I113" i="18"/>
  <c r="I139" i="18" s="1"/>
  <c r="I152" i="18" s="1"/>
  <c r="L110" i="18"/>
  <c r="T117" i="18"/>
  <c r="T143" i="18" s="1"/>
  <c r="T156" i="18" s="1"/>
  <c r="T169" i="18" s="1"/>
  <c r="F115" i="18"/>
  <c r="F141" i="18" s="1"/>
  <c r="F154" i="18" s="1"/>
  <c r="F211" i="18" s="1"/>
  <c r="F218" i="18" s="1"/>
  <c r="K9" i="22" s="1"/>
  <c r="Q112" i="18"/>
  <c r="Q138" i="18" s="1"/>
  <c r="Q151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H111" i="18"/>
  <c r="H137" i="18" s="1"/>
  <c r="H150" i="18" s="1"/>
  <c r="H189" i="18" s="1"/>
  <c r="P118" i="18"/>
  <c r="P144" i="18" s="1"/>
  <c r="P157" i="18" s="1"/>
  <c r="P170" i="18" s="1"/>
  <c r="S115" i="18"/>
  <c r="S141" i="18" s="1"/>
  <c r="S154" i="18" s="1"/>
  <c r="E113" i="18"/>
  <c r="E139" i="18" s="1"/>
  <c r="E152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W114" i="18"/>
  <c r="W140" i="18" s="1"/>
  <c r="W153" i="18" s="1"/>
  <c r="W192" i="18" s="1"/>
  <c r="Q119" i="18"/>
  <c r="Q145" i="18" s="1"/>
  <c r="Q158" i="18" s="1"/>
  <c r="Q171" i="18" s="1"/>
  <c r="Q111" i="18"/>
  <c r="Q137" i="18" s="1"/>
  <c r="Q150" i="18" s="1"/>
  <c r="Q202" i="18" s="1"/>
  <c r="C116" i="18"/>
  <c r="C142" i="18" s="1"/>
  <c r="C155" i="18" s="1"/>
  <c r="C168" i="18" s="1"/>
  <c r="Y110" i="18"/>
  <c r="K115" i="18"/>
  <c r="K141" i="18" s="1"/>
  <c r="K154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89" i="18" s="1"/>
  <c r="F114" i="18"/>
  <c r="F140" i="18" s="1"/>
  <c r="F153" i="18" s="1"/>
  <c r="F192" i="18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11" i="18" s="1"/>
  <c r="G218" i="18" s="1"/>
  <c r="L9" i="22" s="1"/>
  <c r="J112" i="18"/>
  <c r="J138" i="18" s="1"/>
  <c r="J151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R202" i="18" s="1"/>
  <c r="I119" i="18"/>
  <c r="I145" i="18" s="1"/>
  <c r="I158" i="18" s="1"/>
  <c r="I171" i="18" s="1"/>
  <c r="L116" i="18"/>
  <c r="L142" i="18" s="1"/>
  <c r="L155" i="18" s="1"/>
  <c r="W113" i="18"/>
  <c r="W139" i="18" s="1"/>
  <c r="W152" i="18" s="1"/>
  <c r="I111" i="18"/>
  <c r="I137" i="18" s="1"/>
  <c r="I150" i="18" s="1"/>
  <c r="I189" i="18" s="1"/>
  <c r="Q118" i="18"/>
  <c r="Q144" i="18" s="1"/>
  <c r="Q157" i="18" s="1"/>
  <c r="Q170" i="18" s="1"/>
  <c r="T115" i="18"/>
  <c r="T141" i="18" s="1"/>
  <c r="T154" i="18" s="1"/>
  <c r="T211" i="18" s="1"/>
  <c r="T218" i="18" s="1"/>
  <c r="Y9" i="22" s="1"/>
  <c r="F113" i="18"/>
  <c r="F139" i="18" s="1"/>
  <c r="F152" i="18" s="1"/>
  <c r="Q110" i="18"/>
  <c r="Y117" i="18"/>
  <c r="Y143" i="18" s="1"/>
  <c r="Y156" i="18" s="1"/>
  <c r="Y169" i="18" s="1"/>
  <c r="C115" i="18"/>
  <c r="C141" i="18" s="1"/>
  <c r="C154" i="18" s="1"/>
  <c r="C211" i="18" s="1"/>
  <c r="C218" i="18" s="1"/>
  <c r="H9" i="22" s="1"/>
  <c r="N112" i="18"/>
  <c r="N138" i="18" s="1"/>
  <c r="N151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V111" i="18"/>
  <c r="V137" i="18" s="1"/>
  <c r="V150" i="18" s="1"/>
  <c r="V189" i="18" s="1"/>
  <c r="E119" i="18"/>
  <c r="E145" i="18" s="1"/>
  <c r="E158" i="18" s="1"/>
  <c r="E171" i="18" s="1"/>
  <c r="P116" i="18"/>
  <c r="P142" i="18" s="1"/>
  <c r="P155" i="18" s="1"/>
  <c r="S113" i="18"/>
  <c r="S139" i="18" s="1"/>
  <c r="S152" i="18" s="1"/>
  <c r="S165" i="18" s="1"/>
  <c r="E111" i="18"/>
  <c r="E137" i="18" s="1"/>
  <c r="E150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G17" i="23" s="1"/>
  <c r="BG36" i="23" s="1"/>
  <c r="B119" i="18"/>
  <c r="X113" i="18"/>
  <c r="X139" i="18" s="1"/>
  <c r="X152" i="18" s="1"/>
  <c r="J118" i="18"/>
  <c r="J144" i="18" s="1"/>
  <c r="J157" i="18" s="1"/>
  <c r="J170" i="18" s="1"/>
  <c r="G113" i="18"/>
  <c r="G139" i="18" s="1"/>
  <c r="G152" i="18" s="1"/>
  <c r="R117" i="18"/>
  <c r="R143" i="18" s="1"/>
  <c r="R156" i="18" s="1"/>
  <c r="R169" i="18" s="1"/>
  <c r="O112" i="18"/>
  <c r="O138" i="18" s="1"/>
  <c r="O151" i="18" s="1"/>
  <c r="W119" i="18"/>
  <c r="W145" i="18" s="1"/>
  <c r="W158" i="18" s="1"/>
  <c r="W171" i="18" s="1"/>
  <c r="L114" i="18"/>
  <c r="L140" i="18" s="1"/>
  <c r="L153" i="18" s="1"/>
  <c r="L192" i="18" s="1"/>
  <c r="L198" i="18" s="1"/>
  <c r="L217" i="18" s="1"/>
  <c r="Q7" i="22" s="1"/>
  <c r="BC17" i="23" s="1"/>
  <c r="BC35" i="23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12" i="18"/>
  <c r="C138" i="18" s="1"/>
  <c r="C151" i="18" s="1"/>
  <c r="C177" i="18" s="1"/>
  <c r="U110" i="18"/>
  <c r="H115" i="18"/>
  <c r="H141" i="18" s="1"/>
  <c r="H154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K111" i="18"/>
  <c r="K137" i="18" s="1"/>
  <c r="K150" i="18" s="1"/>
  <c r="K189" i="18" s="1"/>
  <c r="E116" i="18"/>
  <c r="E142" i="18" s="1"/>
  <c r="E155" i="18" s="1"/>
  <c r="E168" i="18" s="1"/>
  <c r="S110" i="18"/>
  <c r="M115" i="18"/>
  <c r="M141" i="18" s="1"/>
  <c r="M154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9" i="23" s="1"/>
  <c r="W118" i="18"/>
  <c r="W144" i="18" s="1"/>
  <c r="W157" i="18" s="1"/>
  <c r="W170" i="18" s="1"/>
  <c r="W110" i="18"/>
  <c r="Q115" i="18"/>
  <c r="Q141" i="18" s="1"/>
  <c r="Q154" i="18" s="1"/>
  <c r="D111" i="18"/>
  <c r="D137" i="18" s="1"/>
  <c r="D150" i="18" s="1"/>
  <c r="T111" i="18"/>
  <c r="T137" i="18" s="1"/>
  <c r="T150" i="18" s="1"/>
  <c r="T189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O38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J111" i="18"/>
  <c r="J137" i="18" s="1"/>
  <c r="J150" i="18" s="1"/>
  <c r="J189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F112" i="18"/>
  <c r="F138" i="18" s="1"/>
  <c r="F151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8" i="23" s="1"/>
  <c r="N111" i="18"/>
  <c r="N137" i="18" s="1"/>
  <c r="N150" i="18" s="1"/>
  <c r="N202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V110" i="18"/>
  <c r="Y114" i="18"/>
  <c r="Y140" i="18" s="1"/>
  <c r="Y153" i="18" s="1"/>
  <c r="Y192" i="18" s="1"/>
  <c r="Y198" i="18" s="1"/>
  <c r="Y217" i="18" s="1"/>
  <c r="AD7" i="22" s="1"/>
  <c r="BP17" i="23" s="1"/>
  <c r="BP38" i="23" s="1"/>
  <c r="E117" i="18"/>
  <c r="E143" i="18" s="1"/>
  <c r="E156" i="18" s="1"/>
  <c r="E169" i="18" s="1"/>
  <c r="S111" i="18"/>
  <c r="S137" i="18" s="1"/>
  <c r="S150" i="18" s="1"/>
  <c r="S202" i="18" s="1"/>
  <c r="M116" i="18"/>
  <c r="M142" i="18" s="1"/>
  <c r="M155" i="18" s="1"/>
  <c r="B111" i="18"/>
  <c r="U115" i="18"/>
  <c r="U141" i="18" s="1"/>
  <c r="U154" i="18" s="1"/>
  <c r="U211" i="18" s="1"/>
  <c r="U218" i="18" s="1"/>
  <c r="Z9" i="22" s="1"/>
  <c r="J110" i="18"/>
  <c r="D115" i="18"/>
  <c r="D141" i="18" s="1"/>
  <c r="D154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W189" i="18" s="1"/>
  <c r="Q116" i="18"/>
  <c r="Q142" i="18" s="1"/>
  <c r="Q155" i="18" s="1"/>
  <c r="F111" i="18"/>
  <c r="F137" i="18" s="1"/>
  <c r="F150" i="18" s="1"/>
  <c r="F189" i="18" s="1"/>
  <c r="Y115" i="18"/>
  <c r="Y141" i="18" s="1"/>
  <c r="Y154" i="18" s="1"/>
  <c r="Y211" i="18" s="1"/>
  <c r="Y218" i="18" s="1"/>
  <c r="AD9" i="22" s="1"/>
  <c r="N110" i="18"/>
  <c r="X115" i="18"/>
  <c r="X141" i="18" s="1"/>
  <c r="X154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R116" i="18"/>
  <c r="R142" i="18" s="1"/>
  <c r="R155" i="18" s="1"/>
  <c r="O111" i="18"/>
  <c r="O137" i="18" s="1"/>
  <c r="O150" i="18" s="1"/>
  <c r="O202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I114" i="18"/>
  <c r="I140" i="18" s="1"/>
  <c r="I153" i="18" s="1"/>
  <c r="I192" i="18" s="1"/>
  <c r="B110" i="18"/>
  <c r="C110" i="18"/>
  <c r="G110" i="18"/>
  <c r="D110" i="18"/>
  <c r="F110" i="18"/>
  <c r="E110" i="18"/>
  <c r="T145" i="18"/>
  <c r="C19" i="15"/>
  <c r="C20" i="15"/>
  <c r="C21" i="15" s="1"/>
  <c r="C39" i="15" s="1"/>
  <c r="C10" i="31" s="1"/>
  <c r="G150" i="33" s="1"/>
  <c r="C51" i="15"/>
  <c r="C23" i="15"/>
  <c r="C37" i="15"/>
  <c r="U11" i="31" s="1"/>
  <c r="F84" i="30" l="1"/>
  <c r="C192" i="33" s="1"/>
  <c r="C276" i="33" s="1"/>
  <c r="C293" i="33" s="1"/>
  <c r="B167" i="31"/>
  <c r="J167" i="31" s="1"/>
  <c r="C235" i="33" s="1"/>
  <c r="C236" i="33" s="1"/>
  <c r="X234" i="31"/>
  <c r="C307" i="33" s="1"/>
  <c r="D184" i="33"/>
  <c r="D183" i="33" s="1"/>
  <c r="AJ216" i="33" s="1"/>
  <c r="AN216" i="33" s="1"/>
  <c r="D220" i="33" s="1"/>
  <c r="X237" i="31"/>
  <c r="G198" i="18"/>
  <c r="G217" i="18" s="1"/>
  <c r="L7" i="22" s="1"/>
  <c r="AX17" i="23" s="1"/>
  <c r="AX39" i="23" s="1"/>
  <c r="T198" i="18"/>
  <c r="T217" i="18" s="1"/>
  <c r="Y7" i="22" s="1"/>
  <c r="BK17" i="23" s="1"/>
  <c r="BK37" i="23" s="1"/>
  <c r="W198" i="18"/>
  <c r="W217" i="18" s="1"/>
  <c r="AB7" i="22" s="1"/>
  <c r="BN17" i="23" s="1"/>
  <c r="BN37" i="23" s="1"/>
  <c r="V198" i="18"/>
  <c r="V217" i="18" s="1"/>
  <c r="AA7" i="22" s="1"/>
  <c r="BM17" i="23" s="1"/>
  <c r="BM37" i="23" s="1"/>
  <c r="H198" i="18"/>
  <c r="H217" i="18" s="1"/>
  <c r="M7" i="22" s="1"/>
  <c r="AY17" i="23" s="1"/>
  <c r="AY35" i="23" s="1"/>
  <c r="E177" i="18"/>
  <c r="E164" i="18"/>
  <c r="F177" i="18"/>
  <c r="F164" i="18"/>
  <c r="D177" i="18"/>
  <c r="D164" i="18"/>
  <c r="K198" i="18"/>
  <c r="K217" i="18" s="1"/>
  <c r="P7" i="22" s="1"/>
  <c r="BB17" i="23" s="1"/>
  <c r="BB35" i="23" s="1"/>
  <c r="I198" i="18"/>
  <c r="I217" i="18" s="1"/>
  <c r="N7" i="22" s="1"/>
  <c r="AZ17" i="23" s="1"/>
  <c r="AZ35" i="23" s="1"/>
  <c r="J198" i="18"/>
  <c r="J217" i="18" s="1"/>
  <c r="O7" i="22" s="1"/>
  <c r="BA17" i="23" s="1"/>
  <c r="BA35" i="23" s="1"/>
  <c r="F198" i="18"/>
  <c r="F217" i="18" s="1"/>
  <c r="K7" i="22" s="1"/>
  <c r="AW17" i="23" s="1"/>
  <c r="AW39" i="23" s="1"/>
  <c r="D258" i="33"/>
  <c r="D282" i="33" s="1"/>
  <c r="C282" i="33"/>
  <c r="C35" i="15"/>
  <c r="U125" i="31" s="1"/>
  <c r="C36" i="30"/>
  <c r="F36" i="30" s="1"/>
  <c r="B100" i="30" s="1"/>
  <c r="Q14" i="22"/>
  <c r="C21" i="22" s="1"/>
  <c r="CC99" i="31"/>
  <c r="D92" i="31" s="1"/>
  <c r="K92" i="31" s="1"/>
  <c r="J92" i="31" s="1"/>
  <c r="S14" i="22"/>
  <c r="C23" i="22" s="1"/>
  <c r="CC101" i="31"/>
  <c r="D94" i="31" s="1"/>
  <c r="K94" i="31" s="1"/>
  <c r="J94" i="31" s="1"/>
  <c r="AG129" i="31"/>
  <c r="AG131" i="31" s="1"/>
  <c r="L10" i="31"/>
  <c r="J10" i="31"/>
  <c r="C14" i="31"/>
  <c r="U12" i="31"/>
  <c r="Y83" i="31" s="1"/>
  <c r="BR36" i="23"/>
  <c r="E93" i="23" s="1"/>
  <c r="E95" i="23" s="1"/>
  <c r="X165" i="18"/>
  <c r="X178" i="18"/>
  <c r="Y165" i="18"/>
  <c r="Y178" i="18"/>
  <c r="V165" i="18"/>
  <c r="V178" i="18"/>
  <c r="W165" i="18"/>
  <c r="W178" i="18"/>
  <c r="U165" i="18"/>
  <c r="U178" i="18"/>
  <c r="K165" i="18"/>
  <c r="K178" i="18"/>
  <c r="J165" i="18"/>
  <c r="J178" i="18"/>
  <c r="C165" i="18"/>
  <c r="C178" i="18"/>
  <c r="E165" i="18"/>
  <c r="E178" i="18"/>
  <c r="G165" i="18"/>
  <c r="G178" i="18"/>
  <c r="H165" i="18"/>
  <c r="H178" i="18"/>
  <c r="D165" i="18"/>
  <c r="D178" i="18"/>
  <c r="F165" i="18"/>
  <c r="F178" i="18"/>
  <c r="I165" i="18"/>
  <c r="I178" i="18"/>
  <c r="H177" i="18"/>
  <c r="H164" i="18"/>
  <c r="S177" i="18"/>
  <c r="S164" i="18"/>
  <c r="K177" i="18"/>
  <c r="K164" i="18"/>
  <c r="O177" i="18"/>
  <c r="O185" i="18" s="1"/>
  <c r="O216" i="18" s="1"/>
  <c r="T6" i="22" s="1"/>
  <c r="BF16" i="23" s="1"/>
  <c r="BF28" i="23" s="1"/>
  <c r="O164" i="18"/>
  <c r="U177" i="18"/>
  <c r="U164" i="18"/>
  <c r="I177" i="18"/>
  <c r="I164" i="18"/>
  <c r="P177" i="18"/>
  <c r="P185" i="18" s="1"/>
  <c r="P216" i="18" s="1"/>
  <c r="U6" i="22" s="1"/>
  <c r="BG16" i="23" s="1"/>
  <c r="BG28" i="23" s="1"/>
  <c r="P164" i="18"/>
  <c r="J177" i="18"/>
  <c r="J164" i="18"/>
  <c r="L177" i="18"/>
  <c r="L164" i="18"/>
  <c r="T177" i="18"/>
  <c r="T164" i="18"/>
  <c r="N177" i="18"/>
  <c r="N185" i="18" s="1"/>
  <c r="N216" i="18" s="1"/>
  <c r="S6" i="22" s="1"/>
  <c r="BE16" i="23" s="1"/>
  <c r="BE28" i="23" s="1"/>
  <c r="N164" i="18"/>
  <c r="Q177" i="18"/>
  <c r="Q185" i="18" s="1"/>
  <c r="Q216" i="18" s="1"/>
  <c r="V6" i="22" s="1"/>
  <c r="BH16" i="23" s="1"/>
  <c r="BH28" i="23" s="1"/>
  <c r="Q164" i="18"/>
  <c r="R177" i="18"/>
  <c r="R185" i="18" s="1"/>
  <c r="R216" i="18" s="1"/>
  <c r="W6" i="22" s="1"/>
  <c r="BI16" i="23" s="1"/>
  <c r="BI29" i="23" s="1"/>
  <c r="R164" i="18"/>
  <c r="M177" i="18"/>
  <c r="M185" i="18" s="1"/>
  <c r="M216" i="18" s="1"/>
  <c r="R6" i="22" s="1"/>
  <c r="BD16" i="23" s="1"/>
  <c r="BD27" i="23" s="1"/>
  <c r="M164" i="18"/>
  <c r="G177" i="18"/>
  <c r="G164" i="18"/>
  <c r="O163" i="18"/>
  <c r="F163" i="18"/>
  <c r="F176" i="18"/>
  <c r="N163" i="18"/>
  <c r="P163" i="18"/>
  <c r="C163" i="18"/>
  <c r="C176" i="18"/>
  <c r="S163" i="18"/>
  <c r="M163" i="18"/>
  <c r="G163" i="18"/>
  <c r="G176" i="18"/>
  <c r="X163" i="18"/>
  <c r="X176" i="18"/>
  <c r="L163" i="18"/>
  <c r="L176" i="18"/>
  <c r="W163" i="18"/>
  <c r="W176" i="18"/>
  <c r="T163" i="18"/>
  <c r="T176" i="18"/>
  <c r="I163" i="18"/>
  <c r="I176" i="18"/>
  <c r="R163" i="18"/>
  <c r="Q163" i="18"/>
  <c r="K163" i="18"/>
  <c r="K176" i="18"/>
  <c r="U163" i="18"/>
  <c r="U176" i="18"/>
  <c r="J163" i="18"/>
  <c r="J176" i="18"/>
  <c r="D163" i="18"/>
  <c r="D176" i="18"/>
  <c r="E163" i="18"/>
  <c r="E176" i="18"/>
  <c r="V163" i="18"/>
  <c r="V176" i="18"/>
  <c r="H163" i="18"/>
  <c r="H176" i="18"/>
  <c r="Y163" i="18"/>
  <c r="Y176" i="18"/>
  <c r="T175" i="18"/>
  <c r="T162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E83" i="31" s="1"/>
  <c r="L83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E162" i="18" s="1"/>
  <c r="D120" i="18"/>
  <c r="D136" i="18"/>
  <c r="D149" i="18" s="1"/>
  <c r="D162" i="18" s="1"/>
  <c r="R120" i="18"/>
  <c r="R136" i="18"/>
  <c r="R149" i="18" s="1"/>
  <c r="R201" i="18" s="1"/>
  <c r="B151" i="18"/>
  <c r="B177" i="18" s="1"/>
  <c r="AA138" i="18"/>
  <c r="H136" i="18"/>
  <c r="H149" i="18" s="1"/>
  <c r="H162" i="18" s="1"/>
  <c r="H120" i="18"/>
  <c r="W136" i="18"/>
  <c r="W149" i="18" s="1"/>
  <c r="W175" i="18" s="1"/>
  <c r="W120" i="18"/>
  <c r="V120" i="18"/>
  <c r="V136" i="18"/>
  <c r="V149" i="18" s="1"/>
  <c r="V175" i="18" s="1"/>
  <c r="Y136" i="18"/>
  <c r="Y149" i="18" s="1"/>
  <c r="Y175" i="18" s="1"/>
  <c r="Y120" i="18"/>
  <c r="X120" i="18"/>
  <c r="X136" i="18"/>
  <c r="X149" i="18" s="1"/>
  <c r="X175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C162" i="18" s="1"/>
  <c r="J120" i="18"/>
  <c r="J136" i="18"/>
  <c r="J149" i="18" s="1"/>
  <c r="U120" i="18"/>
  <c r="U136" i="18"/>
  <c r="U149" i="18" s="1"/>
  <c r="B154" i="18"/>
  <c r="B211" i="18" s="1"/>
  <c r="O136" i="18"/>
  <c r="O149" i="18" s="1"/>
  <c r="O201" i="18" s="1"/>
  <c r="O120" i="18"/>
  <c r="B145" i="18"/>
  <c r="B139" i="18"/>
  <c r="AA139" i="18" s="1"/>
  <c r="M120" i="18"/>
  <c r="M136" i="18"/>
  <c r="M149" i="18" s="1"/>
  <c r="M201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S201" i="18" s="1"/>
  <c r="P136" i="18"/>
  <c r="P149" i="18" s="1"/>
  <c r="P201" i="18" s="1"/>
  <c r="P120" i="18"/>
  <c r="B143" i="18"/>
  <c r="AA143" i="18" s="1"/>
  <c r="Q136" i="18"/>
  <c r="Q149" i="18" s="1"/>
  <c r="Q201" i="18" s="1"/>
  <c r="Q120" i="18"/>
  <c r="G136" i="18"/>
  <c r="G149" i="18" s="1"/>
  <c r="G162" i="18" s="1"/>
  <c r="G120" i="18"/>
  <c r="B136" i="18"/>
  <c r="B120" i="18"/>
  <c r="N120" i="18"/>
  <c r="N136" i="18"/>
  <c r="N149" i="18" s="1"/>
  <c r="N201" i="18" s="1"/>
  <c r="T120" i="18"/>
  <c r="B153" i="18"/>
  <c r="B192" i="18" s="1"/>
  <c r="B198" i="18" s="1"/>
  <c r="AA140" i="18"/>
  <c r="T158" i="18"/>
  <c r="C52" i="15"/>
  <c r="C24" i="15"/>
  <c r="C43" i="15"/>
  <c r="C9" i="31" s="1"/>
  <c r="G149" i="33" s="1"/>
  <c r="C142" i="33" s="1"/>
  <c r="B115" i="30" l="1"/>
  <c r="B126" i="30" s="1"/>
  <c r="J170" i="31"/>
  <c r="BR39" i="23"/>
  <c r="H93" i="23" s="1"/>
  <c r="H95" i="23" s="1"/>
  <c r="C243" i="33"/>
  <c r="D243" i="33" s="1"/>
  <c r="Z237" i="31"/>
  <c r="AA237" i="31" s="1"/>
  <c r="C244" i="33" s="1"/>
  <c r="AK225" i="33"/>
  <c r="AO225" i="33" s="1"/>
  <c r="AO228" i="33" s="1"/>
  <c r="D192" i="33"/>
  <c r="D235" i="33" s="1"/>
  <c r="D236" i="33" s="1"/>
  <c r="C290" i="33"/>
  <c r="BR37" i="23"/>
  <c r="F93" i="23" s="1"/>
  <c r="F95" i="23" s="1"/>
  <c r="W172" i="18"/>
  <c r="W215" i="18" s="1"/>
  <c r="AB5" i="22" s="1"/>
  <c r="BN15" i="23" s="1"/>
  <c r="BN21" i="23" s="1"/>
  <c r="E185" i="18"/>
  <c r="E216" i="18" s="1"/>
  <c r="J6" i="22" s="1"/>
  <c r="AV16" i="23" s="1"/>
  <c r="AV31" i="23" s="1"/>
  <c r="D142" i="33"/>
  <c r="BR35" i="23"/>
  <c r="D93" i="23" s="1"/>
  <c r="D95" i="23" s="1"/>
  <c r="C185" i="18"/>
  <c r="C216" i="18" s="1"/>
  <c r="H6" i="22" s="1"/>
  <c r="AT16" i="23" s="1"/>
  <c r="AT30" i="23" s="1"/>
  <c r="C13" i="31"/>
  <c r="G153" i="33" s="1"/>
  <c r="C143" i="33" s="1"/>
  <c r="G154" i="33"/>
  <c r="C144" i="33" s="1"/>
  <c r="C285" i="33"/>
  <c r="C287" i="33"/>
  <c r="D285" i="33"/>
  <c r="D287" i="33"/>
  <c r="D100" i="30"/>
  <c r="B119" i="30"/>
  <c r="B102" i="30"/>
  <c r="AG141" i="31"/>
  <c r="AG143" i="31" s="1"/>
  <c r="L14" i="31"/>
  <c r="J14" i="31"/>
  <c r="L9" i="31"/>
  <c r="AG126" i="31"/>
  <c r="AG128" i="31" s="1"/>
  <c r="J9" i="31"/>
  <c r="B119" i="31"/>
  <c r="J119" i="31" s="1"/>
  <c r="C29" i="31"/>
  <c r="J29" i="31" s="1"/>
  <c r="F185" i="18"/>
  <c r="F216" i="18" s="1"/>
  <c r="K6" i="22" s="1"/>
  <c r="AW16" i="23" s="1"/>
  <c r="AW31" i="23" s="1"/>
  <c r="V172" i="18"/>
  <c r="V215" i="18" s="1"/>
  <c r="AA5" i="22" s="1"/>
  <c r="BM15" i="23" s="1"/>
  <c r="BM21" i="23" s="1"/>
  <c r="X172" i="18"/>
  <c r="X215" i="18" s="1"/>
  <c r="AC5" i="22" s="1"/>
  <c r="BO15" i="23" s="1"/>
  <c r="BO22" i="23" s="1"/>
  <c r="BR28" i="23"/>
  <c r="E83" i="23" s="1"/>
  <c r="E85" i="23" s="1"/>
  <c r="N172" i="18"/>
  <c r="N215" i="18" s="1"/>
  <c r="S5" i="22" s="1"/>
  <c r="R172" i="18"/>
  <c r="R215" i="18" s="1"/>
  <c r="P172" i="18"/>
  <c r="P215" i="18" s="1"/>
  <c r="F172" i="18"/>
  <c r="F215" i="18" s="1"/>
  <c r="K5" i="22" s="1"/>
  <c r="H185" i="18"/>
  <c r="H216" i="18" s="1"/>
  <c r="M6" i="22" s="1"/>
  <c r="AY16" i="23" s="1"/>
  <c r="AY27" i="23" s="1"/>
  <c r="H172" i="18"/>
  <c r="H215" i="18" s="1"/>
  <c r="M5" i="22" s="1"/>
  <c r="AY15" i="23" s="1"/>
  <c r="AY19" i="23" s="1"/>
  <c r="V185" i="18"/>
  <c r="V216" i="18" s="1"/>
  <c r="AA6" i="22" s="1"/>
  <c r="E172" i="18"/>
  <c r="E215" i="18" s="1"/>
  <c r="J5" i="22" s="1"/>
  <c r="L185" i="18"/>
  <c r="L216" i="18" s="1"/>
  <c r="Q6" i="22" s="1"/>
  <c r="BC16" i="23" s="1"/>
  <c r="BC27" i="23" s="1"/>
  <c r="C172" i="18"/>
  <c r="C215" i="18" s="1"/>
  <c r="H5" i="22" s="1"/>
  <c r="Y172" i="18"/>
  <c r="Y215" i="18" s="1"/>
  <c r="AD5" i="22" s="1"/>
  <c r="BP15" i="23" s="1"/>
  <c r="BP22" i="23" s="1"/>
  <c r="G172" i="18"/>
  <c r="G215" i="18" s="1"/>
  <c r="L5" i="22" s="1"/>
  <c r="AX15" i="23" s="1"/>
  <c r="AX23" i="23" s="1"/>
  <c r="M172" i="18"/>
  <c r="M215" i="18" s="1"/>
  <c r="R5" i="22" s="1"/>
  <c r="G185" i="18"/>
  <c r="G216" i="18" s="1"/>
  <c r="L6" i="22" s="1"/>
  <c r="AX16" i="23" s="1"/>
  <c r="AX31" i="23" s="1"/>
  <c r="Q211" i="18"/>
  <c r="Q218" i="18" s="1"/>
  <c r="V9" i="22" s="1"/>
  <c r="T185" i="18"/>
  <c r="T216" i="18" s="1"/>
  <c r="Y6" i="22" s="1"/>
  <c r="BK16" i="23" s="1"/>
  <c r="BK29" i="23" s="1"/>
  <c r="X185" i="18"/>
  <c r="X216" i="18" s="1"/>
  <c r="AC6" i="22" s="1"/>
  <c r="D185" i="18"/>
  <c r="D216" i="18" s="1"/>
  <c r="I6" i="22" s="1"/>
  <c r="AU16" i="23" s="1"/>
  <c r="AU31" i="23" s="1"/>
  <c r="I185" i="18"/>
  <c r="I216" i="18" s="1"/>
  <c r="N6" i="22" s="1"/>
  <c r="AZ16" i="23" s="1"/>
  <c r="AZ27" i="23" s="1"/>
  <c r="Q172" i="18"/>
  <c r="Q215" i="18" s="1"/>
  <c r="V5" i="22" s="1"/>
  <c r="O172" i="18"/>
  <c r="O215" i="18" s="1"/>
  <c r="T5" i="22" s="1"/>
  <c r="S172" i="18"/>
  <c r="S215" i="18" s="1"/>
  <c r="X5" i="22" s="1"/>
  <c r="BJ15" i="23" s="1"/>
  <c r="BJ21" i="23" s="1"/>
  <c r="M211" i="18"/>
  <c r="M218" i="18" s="1"/>
  <c r="R9" i="22" s="1"/>
  <c r="N211" i="18"/>
  <c r="N218" i="18" s="1"/>
  <c r="S9" i="22" s="1"/>
  <c r="I172" i="18"/>
  <c r="I215" i="18" s="1"/>
  <c r="N5" i="22" s="1"/>
  <c r="AZ15" i="23" s="1"/>
  <c r="AZ19" i="23" s="1"/>
  <c r="O211" i="18"/>
  <c r="O218" i="18" s="1"/>
  <c r="T9" i="22" s="1"/>
  <c r="D172" i="18"/>
  <c r="D215" i="18" s="1"/>
  <c r="I5" i="22" s="1"/>
  <c r="AU15" i="23" s="1"/>
  <c r="AU23" i="23" s="1"/>
  <c r="Y185" i="18"/>
  <c r="Y216" i="18" s="1"/>
  <c r="AD6" i="22" s="1"/>
  <c r="BP16" i="23" s="1"/>
  <c r="BP30" i="23" s="1"/>
  <c r="W185" i="18"/>
  <c r="W216" i="18" s="1"/>
  <c r="AB6" i="22" s="1"/>
  <c r="R211" i="18"/>
  <c r="R218" i="18" s="1"/>
  <c r="W9" i="22" s="1"/>
  <c r="P211" i="18"/>
  <c r="P218" i="18" s="1"/>
  <c r="U9" i="22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S175" i="18"/>
  <c r="S185" i="18" s="1"/>
  <c r="S216" i="18" s="1"/>
  <c r="X6" i="22" s="1"/>
  <c r="S211" i="18"/>
  <c r="S218" i="18" s="1"/>
  <c r="X9" i="22" s="1"/>
  <c r="L211" i="18"/>
  <c r="L218" i="18" s="1"/>
  <c r="Q9" i="22" s="1"/>
  <c r="L162" i="18"/>
  <c r="L172" i="18" s="1"/>
  <c r="L215" i="18" s="1"/>
  <c r="Q5" i="22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AN54" i="25"/>
  <c r="CE92" i="31" s="1"/>
  <c r="F85" i="31" s="1"/>
  <c r="M85" i="31" s="1"/>
  <c r="J85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F83" i="31" s="1"/>
  <c r="M83" i="31" s="1"/>
  <c r="J83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W5" i="22"/>
  <c r="U5" i="22"/>
  <c r="B158" i="18"/>
  <c r="B171" i="18" s="1"/>
  <c r="AA145" i="18"/>
  <c r="B152" i="18"/>
  <c r="B155" i="18"/>
  <c r="B168" i="18" s="1"/>
  <c r="B156" i="18"/>
  <c r="B169" i="18" s="1"/>
  <c r="B149" i="18"/>
  <c r="AA136" i="18"/>
  <c r="B150" i="18"/>
  <c r="B217" i="18"/>
  <c r="G7" i="22" s="1"/>
  <c r="AS17" i="23" s="1"/>
  <c r="AS38" i="23" s="1"/>
  <c r="BR38" i="23" s="1"/>
  <c r="G93" i="23" s="1"/>
  <c r="G95" i="23" s="1"/>
  <c r="AA198" i="18"/>
  <c r="B218" i="18"/>
  <c r="G9" i="22" s="1"/>
  <c r="AA120" i="18"/>
  <c r="T171" i="18"/>
  <c r="T172" i="18" s="1"/>
  <c r="AQ228" i="33" l="1"/>
  <c r="AR228" i="33" s="1"/>
  <c r="AS228" i="33" s="1"/>
  <c r="AT228" i="33" s="1"/>
  <c r="AW228" i="33" s="1"/>
  <c r="D240" i="33" s="1"/>
  <c r="D276" i="33"/>
  <c r="D244" i="33"/>
  <c r="AB237" i="31"/>
  <c r="AC237" i="31" s="1"/>
  <c r="AF237" i="31" s="1"/>
  <c r="B178" i="31" s="1"/>
  <c r="C240" i="33" s="1"/>
  <c r="D144" i="33"/>
  <c r="C292" i="33"/>
  <c r="D143" i="33"/>
  <c r="L13" i="31"/>
  <c r="J13" i="31"/>
  <c r="AG138" i="31"/>
  <c r="AG140" i="31" s="1"/>
  <c r="D119" i="30"/>
  <c r="B122" i="30"/>
  <c r="B128" i="30" s="1"/>
  <c r="B130" i="30" s="1"/>
  <c r="BR31" i="23"/>
  <c r="H83" i="23" s="1"/>
  <c r="H85" i="23" s="1"/>
  <c r="AA8" i="22"/>
  <c r="BM5" i="23" s="1"/>
  <c r="BM9" i="23" s="1"/>
  <c r="BM16" i="23"/>
  <c r="BM29" i="23" s="1"/>
  <c r="H8" i="22"/>
  <c r="AT5" i="23" s="1"/>
  <c r="AT10" i="23" s="1"/>
  <c r="AT15" i="23"/>
  <c r="AT22" i="23" s="1"/>
  <c r="AB8" i="22"/>
  <c r="BN5" i="23" s="1"/>
  <c r="BN9" i="23" s="1"/>
  <c r="BN16" i="23"/>
  <c r="BN29" i="23" s="1"/>
  <c r="AC8" i="22"/>
  <c r="BO5" i="23" s="1"/>
  <c r="BO10" i="23" s="1"/>
  <c r="BO16" i="23"/>
  <c r="BO30" i="23" s="1"/>
  <c r="BR27" i="23"/>
  <c r="D83" i="23" s="1"/>
  <c r="D85" i="23" s="1"/>
  <c r="J8" i="22"/>
  <c r="AV5" i="23" s="1"/>
  <c r="AV11" i="23" s="1"/>
  <c r="AV15" i="23"/>
  <c r="AV23" i="23" s="1"/>
  <c r="K8" i="22"/>
  <c r="AW5" i="23" s="1"/>
  <c r="AW11" i="23" s="1"/>
  <c r="AW15" i="23"/>
  <c r="AW23" i="23" s="1"/>
  <c r="Q8" i="22"/>
  <c r="BC5" i="23" s="1"/>
  <c r="BC7" i="23" s="1"/>
  <c r="BC15" i="23"/>
  <c r="BC19" i="23" s="1"/>
  <c r="T8" i="22"/>
  <c r="BF5" i="23" s="1"/>
  <c r="BF8" i="23" s="1"/>
  <c r="BF15" i="23"/>
  <c r="BF20" i="23" s="1"/>
  <c r="X8" i="22"/>
  <c r="BJ5" i="23" s="1"/>
  <c r="BJ9" i="23" s="1"/>
  <c r="BJ16" i="23"/>
  <c r="BJ29" i="23" s="1"/>
  <c r="S8" i="22"/>
  <c r="BE5" i="23" s="1"/>
  <c r="BE8" i="23" s="1"/>
  <c r="BE15" i="23"/>
  <c r="BE20" i="23" s="1"/>
  <c r="V8" i="22"/>
  <c r="BH5" i="23" s="1"/>
  <c r="BH8" i="23" s="1"/>
  <c r="BH15" i="23"/>
  <c r="BH20" i="23" s="1"/>
  <c r="W8" i="22"/>
  <c r="BI5" i="23" s="1"/>
  <c r="BI9" i="23" s="1"/>
  <c r="BI15" i="23"/>
  <c r="BI21" i="23" s="1"/>
  <c r="U8" i="22"/>
  <c r="BG5" i="23" s="1"/>
  <c r="BG8" i="23" s="1"/>
  <c r="BG15" i="23"/>
  <c r="BG20" i="23" s="1"/>
  <c r="R8" i="22"/>
  <c r="BD5" i="23" s="1"/>
  <c r="BD7" i="23" s="1"/>
  <c r="BD15" i="23"/>
  <c r="BD19" i="23" s="1"/>
  <c r="M8" i="22"/>
  <c r="AY5" i="23" s="1"/>
  <c r="AY7" i="23" s="1"/>
  <c r="AD8" i="22"/>
  <c r="BP5" i="23" s="1"/>
  <c r="BP10" i="23" s="1"/>
  <c r="AT9" i="23"/>
  <c r="BP9" i="23"/>
  <c r="BJ8" i="23"/>
  <c r="AV9" i="23"/>
  <c r="BI8" i="23"/>
  <c r="BO9" i="23"/>
  <c r="AW9" i="23"/>
  <c r="L8" i="22"/>
  <c r="AX5" i="23" s="1"/>
  <c r="O8" i="22"/>
  <c r="BA5" i="23" s="1"/>
  <c r="BA7" i="23" s="1"/>
  <c r="I8" i="22"/>
  <c r="AU5" i="23" s="1"/>
  <c r="N8" i="22"/>
  <c r="AZ5" i="23" s="1"/>
  <c r="AZ7" i="23" s="1"/>
  <c r="Z8" i="22"/>
  <c r="BL5" i="23" s="1"/>
  <c r="BL9" i="23" s="1"/>
  <c r="P8" i="22"/>
  <c r="BB5" i="23" s="1"/>
  <c r="BB7" i="23" s="1"/>
  <c r="B165" i="18"/>
  <c r="B178" i="18"/>
  <c r="B163" i="18"/>
  <c r="B176" i="18"/>
  <c r="AA211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D82" i="31" s="1"/>
  <c r="AI52" i="24"/>
  <c r="AI47" i="24"/>
  <c r="AI49" i="24"/>
  <c r="C29" i="15"/>
  <c r="C60" i="15"/>
  <c r="C32" i="15"/>
  <c r="AA146" i="18"/>
  <c r="AF9" i="22"/>
  <c r="AA221" i="18"/>
  <c r="C299" i="33" s="1"/>
  <c r="AA159" i="18"/>
  <c r="C161" i="33" s="1"/>
  <c r="T215" i="18"/>
  <c r="Y5" i="22" s="1"/>
  <c r="D290" i="33" l="1"/>
  <c r="D292" i="33" s="1"/>
  <c r="D293" i="33"/>
  <c r="D161" i="33"/>
  <c r="C294" i="33"/>
  <c r="AA147" i="18"/>
  <c r="C4" i="22" s="1"/>
  <c r="C7" i="22" s="1"/>
  <c r="R17" i="31"/>
  <c r="AD19" i="31"/>
  <c r="K82" i="31"/>
  <c r="BR23" i="23"/>
  <c r="H73" i="23" s="1"/>
  <c r="H75" i="23" s="1"/>
  <c r="BR19" i="23"/>
  <c r="D73" i="23" s="1"/>
  <c r="D75" i="23" s="1"/>
  <c r="Y8" i="22"/>
  <c r="BK15" i="23"/>
  <c r="BK21" i="23" s="1"/>
  <c r="BR21" i="23" s="1"/>
  <c r="F73" i="23" s="1"/>
  <c r="F75" i="23" s="1"/>
  <c r="BR8" i="23"/>
  <c r="E25" i="23" s="1"/>
  <c r="E27" i="23" s="1"/>
  <c r="BR29" i="23"/>
  <c r="F83" i="23" s="1"/>
  <c r="F85" i="23" s="1"/>
  <c r="BR20" i="23"/>
  <c r="E73" i="23" s="1"/>
  <c r="E75" i="23" s="1"/>
  <c r="BR7" i="23"/>
  <c r="D25" i="23" s="1"/>
  <c r="AX9" i="23"/>
  <c r="AX11" i="23"/>
  <c r="AU9" i="23"/>
  <c r="AU11" i="23"/>
  <c r="B172" i="18"/>
  <c r="B215" i="18" s="1"/>
  <c r="G5" i="22" s="1"/>
  <c r="AS15" i="23" s="1"/>
  <c r="AS22" i="23" s="1"/>
  <c r="BR22" i="23" s="1"/>
  <c r="G73" i="23" s="1"/>
  <c r="G75" i="23" s="1"/>
  <c r="B185" i="18"/>
  <c r="AA185" i="18" s="1"/>
  <c r="C58" i="15"/>
  <c r="C46" i="15"/>
  <c r="C11" i="31" s="1"/>
  <c r="C61" i="15"/>
  <c r="C42" i="15"/>
  <c r="C12" i="31" s="1"/>
  <c r="AK54" i="25"/>
  <c r="CE89" i="31" s="1"/>
  <c r="F82" i="31" s="1"/>
  <c r="M82" i="31" s="1"/>
  <c r="D294" i="33" l="1"/>
  <c r="C162" i="33"/>
  <c r="K25" i="23"/>
  <c r="G156" i="33"/>
  <c r="C145" i="33" s="1"/>
  <c r="AG132" i="31"/>
  <c r="AG134" i="31" s="1"/>
  <c r="L11" i="31"/>
  <c r="J11" i="31"/>
  <c r="T110" i="31"/>
  <c r="K116" i="31"/>
  <c r="C212" i="33" s="1"/>
  <c r="T112" i="31"/>
  <c r="M116" i="31"/>
  <c r="AE19" i="31"/>
  <c r="C20" i="31" s="1"/>
  <c r="C152" i="33" s="1"/>
  <c r="AF19" i="31"/>
  <c r="D20" i="31" s="1"/>
  <c r="C155" i="33" s="1"/>
  <c r="AG135" i="31"/>
  <c r="AG137" i="31" s="1"/>
  <c r="L12" i="31"/>
  <c r="J12" i="31"/>
  <c r="T17" i="31"/>
  <c r="S17" i="31"/>
  <c r="D27" i="23"/>
  <c r="AA172" i="18"/>
  <c r="BR11" i="23"/>
  <c r="H25" i="23" s="1"/>
  <c r="H27" i="23" s="1"/>
  <c r="B216" i="18"/>
  <c r="AA219" i="18" s="1"/>
  <c r="C49" i="15"/>
  <c r="Z47" i="31" s="1"/>
  <c r="AC47" i="31" s="1"/>
  <c r="Y53" i="31" s="1"/>
  <c r="Z36" i="31" s="1"/>
  <c r="AK54" i="24"/>
  <c r="CD89" i="31" s="1"/>
  <c r="E82" i="31" s="1"/>
  <c r="C179" i="33" s="1"/>
  <c r="BK5" i="23"/>
  <c r="BK9" i="23" s="1"/>
  <c r="D179" i="33" l="1"/>
  <c r="D155" i="33"/>
  <c r="D145" i="33"/>
  <c r="D162" i="33"/>
  <c r="AJ39" i="31"/>
  <c r="AC36" i="31"/>
  <c r="Y205" i="33" s="1"/>
  <c r="K27" i="23"/>
  <c r="K75" i="23" s="1"/>
  <c r="K73" i="23"/>
  <c r="C172" i="33"/>
  <c r="D212" i="33"/>
  <c r="C158" i="33"/>
  <c r="D152" i="33"/>
  <c r="C199" i="33"/>
  <c r="AG147" i="31"/>
  <c r="U126" i="31" s="1"/>
  <c r="J20" i="31"/>
  <c r="L82" i="31"/>
  <c r="G6" i="22"/>
  <c r="AA220" i="18"/>
  <c r="C298" i="33" s="1"/>
  <c r="G14" i="22"/>
  <c r="C11" i="22" s="1"/>
  <c r="F13" i="23" s="1"/>
  <c r="K13" i="23" s="1"/>
  <c r="AD18" i="31" s="1"/>
  <c r="D158" i="33" l="1"/>
  <c r="D199" i="33"/>
  <c r="C30" i="31"/>
  <c r="C177" i="33" s="1"/>
  <c r="B118" i="31"/>
  <c r="C176" i="33" s="1"/>
  <c r="C175" i="33"/>
  <c r="D172" i="33"/>
  <c r="AC38" i="31"/>
  <c r="AD38" i="31" s="1"/>
  <c r="AE38" i="31" s="1"/>
  <c r="Y208" i="33"/>
  <c r="Z208" i="33" s="1"/>
  <c r="Y207" i="33"/>
  <c r="Z207" i="33" s="1"/>
  <c r="AC39" i="31"/>
  <c r="AD39" i="31" s="1"/>
  <c r="AE39" i="31" s="1"/>
  <c r="R16" i="31"/>
  <c r="T111" i="31"/>
  <c r="L116" i="31"/>
  <c r="C214" i="33" s="1"/>
  <c r="J82" i="31"/>
  <c r="G8" i="22"/>
  <c r="AF8" i="22" s="1"/>
  <c r="AF5" i="22" s="1"/>
  <c r="AS16" i="23"/>
  <c r="AS30" i="23" s="1"/>
  <c r="BR30" i="23" s="1"/>
  <c r="G83" i="23" s="1"/>
  <c r="G85" i="23" s="1"/>
  <c r="D175" i="33" l="1"/>
  <c r="D176" i="33"/>
  <c r="D177" i="33"/>
  <c r="J118" i="31"/>
  <c r="C218" i="33" s="1"/>
  <c r="C160" i="33"/>
  <c r="J30" i="31"/>
  <c r="AE41" i="31"/>
  <c r="J45" i="31" s="1"/>
  <c r="AD41" i="31"/>
  <c r="Z210" i="33"/>
  <c r="D209" i="33" s="1"/>
  <c r="D211" i="33" s="1"/>
  <c r="D214" i="33"/>
  <c r="C216" i="33"/>
  <c r="J145" i="31"/>
  <c r="AE18" i="31"/>
  <c r="C19" i="31" s="1"/>
  <c r="C151" i="33" s="1"/>
  <c r="AF18" i="31"/>
  <c r="D19" i="31" s="1"/>
  <c r="T16" i="31"/>
  <c r="S16" i="31"/>
  <c r="AS5" i="23"/>
  <c r="AS10" i="23" s="1"/>
  <c r="BR10" i="23" s="1"/>
  <c r="G25" i="23" s="1"/>
  <c r="G27" i="23" s="1"/>
  <c r="AS9" i="23"/>
  <c r="BR9" i="23" s="1"/>
  <c r="F25" i="23" s="1"/>
  <c r="D160" i="33" l="1"/>
  <c r="D218" i="33"/>
  <c r="C209" i="33"/>
  <c r="C170" i="33"/>
  <c r="C154" i="33"/>
  <c r="C180" i="33"/>
  <c r="C221" i="33"/>
  <c r="D216" i="33"/>
  <c r="D151" i="33"/>
  <c r="J19" i="31"/>
  <c r="C194" i="33" s="1"/>
  <c r="F27" i="23"/>
  <c r="D221" i="33" l="1"/>
  <c r="C211" i="33"/>
  <c r="C237" i="33" s="1"/>
  <c r="D154" i="33"/>
  <c r="J48" i="31"/>
  <c r="B174" i="31" s="1"/>
  <c r="C157" i="33"/>
  <c r="D194" i="33"/>
  <c r="C181" i="33"/>
  <c r="D180" i="33"/>
  <c r="D181" i="33" s="1"/>
  <c r="C178" i="33"/>
  <c r="D170" i="33"/>
  <c r="D178" i="33" s="1"/>
  <c r="C173" i="33"/>
  <c r="D237" i="33" l="1"/>
  <c r="D241" i="33" s="1"/>
  <c r="D242" i="33" s="1"/>
  <c r="D157" i="33"/>
  <c r="C241" i="33"/>
  <c r="C238" i="33"/>
  <c r="C174" i="33"/>
  <c r="D173" i="33"/>
  <c r="B180" i="31"/>
  <c r="B181" i="31" s="1"/>
  <c r="B175" i="31"/>
  <c r="D238" i="33" l="1"/>
  <c r="C242" i="33"/>
  <c r="D174" i="33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C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voir ref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T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morts avant sevrage </t>
        </r>
      </text>
    </comment>
    <comment ref="G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 renouvellement
-4 ventes</t>
        </r>
      </text>
    </comment>
    <comment ref="H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I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J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T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U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V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W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X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Y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+3naissances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K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12t foin 18t luzerne</t>
        </r>
      </text>
    </comment>
  </commentList>
</comments>
</file>

<file path=xl/comments6.xml><?xml version="1.0" encoding="utf-8"?>
<comments xmlns="http://schemas.openxmlformats.org/spreadsheetml/2006/main">
  <authors>
    <author>Tristan MORAUD</author>
  </authors>
  <commentList>
    <comment ref="J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reprise répartition 
50% 0
25% 0,5
25% 1</t>
        </r>
      </text>
    </comment>
    <comment ref="D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  <comment ref="D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</commentList>
</comments>
</file>

<file path=xl/comments7.xml><?xml version="1.0" encoding="utf-8"?>
<comments xmlns="http://schemas.openxmlformats.org/spreadsheetml/2006/main">
  <authors>
    <author>Tristan MORAUD</author>
  </authors>
  <commentList>
    <comment ref="J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7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AI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décroissance ugb </t>
        </r>
      </text>
    </comment>
    <comment ref="AL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décroissance ugb</t>
        </r>
      </text>
    </comment>
    <comment ref="AM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réformes</t>
        </r>
      </text>
    </comment>
    <comment ref="A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+6 génisses
croissance ugb</t>
        </r>
      </text>
    </comment>
    <comment ref="BA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croissance ugb</t>
        </r>
      </text>
    </comment>
    <comment ref="AI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sevrage </t>
        </r>
      </text>
    </comment>
    <comment ref="AV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passage en génisses +1</t>
        </r>
      </text>
    </comment>
    <comment ref="T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partent dans le lot principales 
6 arrivent de génisses - 1 an
6 passent de génisse 1 an à génisses 2 ans </t>
        </r>
      </text>
    </comment>
    <comment ref="T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C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R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S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A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F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AG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A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Z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BA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D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P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Q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L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AM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Q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A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A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Z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A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Q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U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A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AS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A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A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A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A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A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AZ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BA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F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G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A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A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AO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AP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R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P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reforme</t>
        </r>
      </text>
    </comment>
    <comment ref="R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X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R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</commentList>
</comments>
</file>

<file path=xl/sharedStrings.xml><?xml version="1.0" encoding="utf-8"?>
<sst xmlns="http://schemas.openxmlformats.org/spreadsheetml/2006/main" count="3098" uniqueCount="1464">
  <si>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</si>
  <si>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</si>
  <si>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</si>
  <si>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</si>
  <si>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</si>
  <si>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</si>
  <si>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</si>
  <si>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</si>
  <si>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</si>
  <si>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</si>
  <si>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</si>
  <si>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</si>
  <si>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</si>
  <si>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</si>
  <si>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</si>
  <si>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</si>
  <si>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</si>
  <si>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</si>
  <si>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</si>
  <si>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</si>
  <si>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</si>
  <si>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</si>
  <si>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</si>
  <si>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</si>
  <si>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</si>
  <si>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</si>
  <si>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</si>
  <si>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</si>
  <si>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</si>
  <si>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</si>
  <si>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</si>
  <si>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</si>
  <si>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</si>
  <si>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</si>
  <si>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</si>
  <si>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</si>
  <si>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</si>
  <si>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</si>
  <si>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</si>
  <si>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</si>
  <si>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</si>
  <si>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</si>
  <si>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</si>
  <si>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</si>
  <si>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</si>
  <si>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nombre côtés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</si>
  <si>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</si>
  <si>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</si>
  <si>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</si>
  <si>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</si>
  <si>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</si>
  <si>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</si>
  <si>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</si>
  <si>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</si>
  <si>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</si>
  <si>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</si>
  <si>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</si>
  <si>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</si>
  <si>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</si>
  <si>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</si>
  <si>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</si>
  <si>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</si>
  <si>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</si>
  <si>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</si>
  <si>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</si>
  <si>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</si>
  <si>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</si>
  <si>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</si>
  <si>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</si>
  <si>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</si>
  <si>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</si>
  <si>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</si>
  <si>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</si>
  <si>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</si>
  <si>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</si>
  <si>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</si>
  <si>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</si>
  <si>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</si>
  <si>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</si>
  <si>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</si>
  <si>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</si>
  <si>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</si>
  <si>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</si>
  <si>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</si>
  <si>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</si>
  <si>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</si>
  <si>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</si>
  <si>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</si>
  <si>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</si>
  <si>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</si>
  <si>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</si>
  <si>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</si>
  <si>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</si>
  <si>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</si>
  <si>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</si>
  <si>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</si>
  <si>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</si>
  <si>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</si>
  <si>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</si>
  <si>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</si>
  <si>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</si>
  <si>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</si>
  <si>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</si>
  <si>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</si>
  <si>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</si>
  <si>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</si>
  <si>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</si>
  <si>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</si>
  <si>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</si>
  <si>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</si>
  <si>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</si>
  <si>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</si>
  <si>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</si>
  <si>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</si>
  <si>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</si>
  <si>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</si>
  <si>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</si>
  <si>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</si>
  <si>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</si>
  <si>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</si>
  <si>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</si>
  <si>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</si>
  <si>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</si>
  <si>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</si>
  <si>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</si>
  <si>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</si>
  <si>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</si>
  <si>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</si>
  <si>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</si>
  <si>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</si>
  <si>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</si>
  <si>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</si>
  <si>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</si>
  <si>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</si>
  <si>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</si>
  <si>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</si>
  <si>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</si>
  <si>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</si>
  <si>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</si>
  <si>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</si>
  <si>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</si>
  <si>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</si>
  <si>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</si>
  <si>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</si>
  <si>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</si>
  <si>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</si>
  <si>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</si>
  <si>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</si>
  <si>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</si>
  <si>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</si>
  <si>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</si>
  <si>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</si>
  <si>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</si>
  <si>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</si>
  <si>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</si>
  <si>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</si>
  <si>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</si>
  <si>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</si>
  <si>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</si>
  <si>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</si>
  <si>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</si>
  <si>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</si>
  <si>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</si>
  <si>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</si>
  <si>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</si>
  <si>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</si>
  <si>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</si>
  <si>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</si>
  <si>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</si>
  <si>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</si>
  <si>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</si>
  <si>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</si>
  <si>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</si>
  <si>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</si>
  <si>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</si>
  <si>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</si>
  <si>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</si>
  <si>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</si>
  <si>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</si>
  <si>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</si>
  <si>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</si>
  <si>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</si>
  <si>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</si>
  <si>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</si>
  <si>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</si>
  <si>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</si>
  <si>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</si>
  <si>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</si>
  <si>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</si>
  <si>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</si>
  <si>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</si>
  <si>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</si>
  <si>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</si>
  <si>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</si>
  <si>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</si>
  <si>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</si>
  <si>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</si>
  <si>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</si>
  <si>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</si>
  <si>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</si>
  <si>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</si>
  <si>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</si>
  <si>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</si>
  <si>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</si>
  <si>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</si>
  <si>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</si>
  <si>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</si>
  <si>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</si>
  <si>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</si>
  <si>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</si>
  <si>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</si>
  <si>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</si>
  <si>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</si>
  <si>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</si>
  <si>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</si>
  <si>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</si>
  <si>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</si>
  <si>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</si>
  <si>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</si>
  <si>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</si>
  <si>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</si>
  <si>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</si>
  <si>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</si>
  <si>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</si>
  <si>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</si>
  <si>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</si>
  <si>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</si>
  <si>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</si>
  <si>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</si>
  <si>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</si>
  <si>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</si>
  <si>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</si>
  <si>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</si>
  <si>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</si>
  <si>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</si>
  <si>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</si>
  <si>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</si>
  <si>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</si>
  <si>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</si>
  <si>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</si>
  <si>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</si>
  <si>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</si>
  <si>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</si>
  <si>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</si>
  <si>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</si>
  <si>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</si>
  <si>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</si>
  <si>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</si>
  <si>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</si>
  <si>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</si>
  <si>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</si>
  <si>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</si>
  <si>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</si>
  <si>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</si>
  <si>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</si>
  <si>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</si>
  <si>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</si>
  <si>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</si>
  <si>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</si>
  <si>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</si>
  <si>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</si>
  <si>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</si>
  <si>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</si>
  <si>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</si>
  <si>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</si>
  <si>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</si>
  <si>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</si>
  <si>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</si>
  <si>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</si>
  <si>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</si>
  <si>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</si>
  <si>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</si>
  <si>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</si>
  <si>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</si>
  <si>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</si>
  <si>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</si>
  <si>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</si>
  <si>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</si>
  <si>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</si>
  <si>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</si>
  <si>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</si>
  <si>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</si>
  <si>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</si>
  <si>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</si>
  <si>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</si>
  <si>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</si>
  <si>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</si>
  <si>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</si>
  <si>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</si>
  <si>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</si>
  <si>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</si>
  <si>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</si>
  <si>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</si>
  <si>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</si>
  <si>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</si>
  <si>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</si>
  <si>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</si>
  <si>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</si>
  <si>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</si>
  <si>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</si>
  <si>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</si>
  <si>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</si>
  <si>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</si>
  <si>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</si>
  <si>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</si>
  <si>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</si>
  <si>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</si>
  <si>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</si>
  <si>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</si>
  <si>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</si>
  <si>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</si>
  <si>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</si>
  <si>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</si>
  <si>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</si>
  <si>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</si>
  <si>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</si>
  <si>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</si>
  <si>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</si>
  <si>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</si>
  <si>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</si>
  <si>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</si>
  <si>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</si>
  <si>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</si>
  <si>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</si>
  <si>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</si>
  <si>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</si>
  <si>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</si>
  <si>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</si>
  <si>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</si>
  <si>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</si>
  <si>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</si>
  <si>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</si>
  <si>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</si>
  <si>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</si>
  <si>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</si>
  <si>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</si>
  <si>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</si>
  <si>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</si>
  <si>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</si>
  <si>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</si>
  <si>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</si>
  <si>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</si>
  <si>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</si>
  <si>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</si>
  <si>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</si>
  <si>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</si>
  <si>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</si>
  <si>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</si>
  <si>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</si>
  <si>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</si>
  <si>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</si>
  <si>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</si>
  <si>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</si>
  <si>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</si>
  <si>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</si>
  <si>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</si>
  <si>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</si>
  <si>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</si>
  <si>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</si>
  <si>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</si>
  <si>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</si>
  <si>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</si>
  <si>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</si>
  <si>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</si>
  <si>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</si>
  <si>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</si>
  <si>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</si>
  <si>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</si>
  <si>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</si>
  <si>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</si>
  <si>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</si>
  <si>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</si>
  <si>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</si>
  <si>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</si>
  <si>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</si>
  <si>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</si>
  <si>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</si>
  <si>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</si>
  <si>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</si>
  <si>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</si>
  <si>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</si>
  <si>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</si>
  <si>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</si>
  <si>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</si>
  <si>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</si>
  <si>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</si>
  <si>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</si>
  <si>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</si>
  <si>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</si>
  <si>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</si>
  <si>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</si>
  <si>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</si>
  <si>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</si>
  <si>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</si>
  <si>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</si>
  <si>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</si>
  <si>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</si>
  <si>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</si>
  <si>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</si>
  <si>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</si>
  <si>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</si>
  <si>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</si>
  <si>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</si>
  <si>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</si>
  <si>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</si>
  <si>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</si>
  <si>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</si>
  <si>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</si>
  <si>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</si>
  <si>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</si>
  <si>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</si>
  <si>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</si>
  <si>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</si>
  <si>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</si>
  <si>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</si>
  <si>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</si>
  <si>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</si>
  <si>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</si>
  <si>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</si>
  <si>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</si>
  <si>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</si>
  <si>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</si>
  <si>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</si>
  <si>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</si>
  <si>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</si>
  <si>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</si>
  <si>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</si>
  <si>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</si>
  <si>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ovin lait </t>
  </si>
  <si>
    <t xml:space="preserve">bovin viande </t>
  </si>
  <si>
    <t>vide</t>
  </si>
  <si>
    <t xml:space="preserve">achat fourrage : 12t foin 18t luzerne </t>
  </si>
  <si>
    <t>autoconso C : 0</t>
  </si>
  <si>
    <t>achat C : 20T aliments équilibrés (9 vaches 11 brebis)</t>
  </si>
  <si>
    <t xml:space="preserve">veaux sous la mère </t>
  </si>
  <si>
    <t>broutard (en temps normal)</t>
  </si>
  <si>
    <t>?</t>
  </si>
  <si>
    <t>réforme</t>
  </si>
  <si>
    <t>brebis</t>
  </si>
  <si>
    <t>vides</t>
  </si>
  <si>
    <t>agnelles</t>
  </si>
  <si>
    <t>beliers</t>
  </si>
  <si>
    <t>reforme</t>
  </si>
  <si>
    <t>ventes veaux</t>
  </si>
  <si>
    <t xml:space="preserve">vaches </t>
  </si>
  <si>
    <t>genisses -1an</t>
  </si>
  <si>
    <t>genisses +1an</t>
  </si>
  <si>
    <t xml:space="preserve">tot </t>
  </si>
  <si>
    <t>distance</t>
  </si>
  <si>
    <t>type ancien codage enquete complémentaire</t>
  </si>
  <si>
    <t>proche</t>
  </si>
  <si>
    <t>type de surf</t>
  </si>
  <si>
    <t>tot mlp</t>
  </si>
  <si>
    <t>%</t>
  </si>
  <si>
    <t xml:space="preserve">pf </t>
  </si>
  <si>
    <t>pe</t>
  </si>
  <si>
    <t>landes</t>
  </si>
  <si>
    <t xml:space="preserve">hors exploitation </t>
  </si>
  <si>
    <t>ventes broutardes</t>
  </si>
  <si>
    <t>ventes broutards</t>
  </si>
  <si>
    <t>reformes grasses</t>
  </si>
  <si>
    <t>réformes maigres</t>
  </si>
  <si>
    <t xml:space="preserve">lot principale </t>
  </si>
  <si>
    <t xml:space="preserve">génisses 5 mois -1an </t>
  </si>
  <si>
    <t xml:space="preserve">génisse 1-2 ans </t>
  </si>
  <si>
    <t xml:space="preserve">génisse + 2 ans </t>
  </si>
  <si>
    <t>bvnaissM (45)</t>
  </si>
  <si>
    <t>travail sur bv udoy (25)</t>
  </si>
  <si>
    <t>saisie initiale bv udoy</t>
  </si>
  <si>
    <t xml:space="preserve">travail bvnaissM </t>
  </si>
  <si>
    <t>génisses 1-2 an</t>
  </si>
  <si>
    <t>passage à 25</t>
  </si>
  <si>
    <t>OL</t>
  </si>
  <si>
    <t>BV</t>
  </si>
  <si>
    <t>saisie initial Ovin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</si>
  <si>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</si>
  <si>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</si>
  <si>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</si>
  <si>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</si>
  <si>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</si>
  <si>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</si>
  <si>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</si>
  <si>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</si>
  <si>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</si>
  <si>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UP ZI / 5 : UP estives)</t>
    </r>
  </si>
  <si>
    <t xml:space="preserve">parcelle présente pâturée </t>
  </si>
  <si>
    <t>parcelle présente non pâturée</t>
  </si>
  <si>
    <t>éloigné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</si>
  <si>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</si>
  <si>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</si>
  <si>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</si>
  <si>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</si>
  <si>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</si>
  <si>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</si>
  <si>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</si>
  <si>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</si>
  <si>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</si>
  <si>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</si>
  <si>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</si>
  <si>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</si>
  <si>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</si>
  <si>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</si>
  <si>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</si>
  <si>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</si>
  <si>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</si>
  <si>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</si>
  <si>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</si>
  <si>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</si>
  <si>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</si>
  <si>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</si>
  <si>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</si>
  <si>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</si>
  <si>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</si>
  <si>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</si>
  <si>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</si>
  <si>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</si>
  <si>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</si>
  <si>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</si>
  <si>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</si>
  <si>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</si>
  <si>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</si>
  <si>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</si>
  <si>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</si>
  <si>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</si>
  <si>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</si>
  <si>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</si>
  <si>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Vente sous SIQO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</si>
  <si>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</si>
  <si>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</si>
  <si>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</si>
  <si>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</si>
  <si>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</si>
  <si>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</si>
  <si>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</si>
  <si>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</si>
  <si>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</si>
  <si>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</si>
  <si>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</si>
  <si>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</si>
  <si>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</si>
  <si>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</si>
  <si>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</si>
  <si>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</si>
  <si>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</si>
  <si>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</si>
  <si>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</si>
  <si>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</si>
  <si>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</si>
  <si>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</si>
  <si>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</si>
  <si>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</si>
  <si>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</si>
  <si>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</si>
  <si>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</si>
  <si>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</si>
  <si>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</si>
  <si>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</si>
  <si>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</si>
  <si>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</si>
  <si>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</si>
  <si>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</si>
  <si>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</si>
  <si>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</si>
  <si>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</si>
  <si>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</si>
  <si>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</si>
  <si>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</si>
  <si>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Estive</t>
  </si>
  <si>
    <t>cheptel 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</si>
  <si>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</si>
  <si>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</si>
  <si>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</si>
  <si>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</si>
  <si>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</si>
  <si>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</si>
  <si>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</si>
  <si>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</si>
  <si>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</si>
  <si>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</si>
  <si>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</si>
  <si>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</si>
  <si>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</si>
  <si>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</si>
  <si>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</si>
  <si>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</si>
  <si>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</si>
  <si>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</si>
  <si>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</si>
  <si>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</si>
  <si>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</si>
  <si>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</si>
  <si>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</si>
  <si>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</si>
  <si>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</si>
  <si>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C2 = BV ou EQ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</si>
  <si>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</si>
  <si>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</si>
  <si>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</si>
  <si>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</si>
  <si>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</si>
  <si>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</si>
  <si>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cheptel 2</t>
  </si>
  <si>
    <t>C3 = BV ou EQ</t>
  </si>
  <si>
    <t>durée utilisation ZI C2 (mois)</t>
  </si>
  <si>
    <t>nombre d'UGB ZI  C2</t>
  </si>
  <si>
    <t>durée utilisation ZI C3 (mois)</t>
  </si>
  <si>
    <t>choix moyen protection sur ferme OL</t>
  </si>
  <si>
    <t>choix de protection pour le gros bétail sur la ferme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</si>
  <si>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</si>
  <si>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</si>
  <si>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</si>
  <si>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</si>
  <si>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</si>
  <si>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</si>
  <si>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</si>
  <si>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Mise en protection</t>
  </si>
  <si>
    <t>GARDE + CHIEN</t>
  </si>
  <si>
    <t>pas de moyen de protection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</si>
  <si>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</si>
  <si>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</si>
  <si>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</si>
  <si>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</si>
  <si>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</si>
  <si>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</si>
  <si>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</si>
  <si>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ZI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</si>
  <si>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</si>
  <si>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</si>
  <si>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</si>
  <si>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</si>
  <si>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</si>
  <si>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</si>
  <si>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</si>
  <si>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</si>
  <si>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</si>
  <si>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</si>
  <si>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</si>
  <si>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</si>
  <si>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Embauche salarié pour manipulation clôture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</si>
  <si>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</si>
  <si>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</si>
  <si>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</si>
  <si>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</si>
  <si>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</si>
  <si>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</si>
  <si>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</si>
  <si>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</si>
  <si>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</si>
  <si>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</si>
  <si>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</si>
  <si>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</si>
  <si>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</si>
  <si>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</si>
  <si>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</si>
  <si>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</si>
  <si>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</si>
  <si>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</si>
  <si>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</si>
  <si>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</si>
  <si>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</si>
  <si>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</si>
  <si>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</si>
  <si>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</si>
  <si>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</si>
  <si>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</si>
  <si>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</si>
  <si>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</si>
  <si>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linéaire de clôture</t>
  </si>
  <si>
    <t>superficie à clôturer</t>
  </si>
  <si>
    <t>Calcul nombre de chiens - cheptel 1</t>
  </si>
  <si>
    <t>Total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</si>
  <si>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</si>
  <si>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</si>
  <si>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</si>
  <si>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</si>
  <si>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</si>
  <si>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</si>
  <si>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</si>
  <si>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</si>
  <si>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</si>
  <si>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</si>
  <si>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</si>
  <si>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</si>
  <si>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</si>
  <si>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</si>
  <si>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</si>
  <si>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</si>
  <si>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</si>
  <si>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</si>
  <si>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</si>
  <si>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</si>
  <si>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</si>
  <si>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</si>
  <si>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</si>
  <si>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</si>
  <si>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</si>
  <si>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</si>
  <si>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</si>
  <si>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</si>
  <si>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</si>
  <si>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</si>
  <si>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</si>
  <si>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</si>
  <si>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</si>
  <si>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</si>
  <si>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</si>
  <si>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</si>
  <si>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</si>
  <si>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</si>
  <si>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</si>
  <si>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</si>
  <si>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</si>
  <si>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</si>
  <si>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</si>
  <si>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</si>
  <si>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</si>
  <si>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</si>
  <si>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</si>
  <si>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</si>
  <si>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</si>
  <si>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</si>
  <si>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</si>
  <si>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</si>
  <si>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</si>
  <si>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</si>
  <si>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</si>
  <si>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</si>
  <si>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</si>
  <si>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</si>
  <si>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</si>
  <si>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</si>
  <si>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</si>
  <si>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</si>
  <si>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</si>
  <si>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</si>
  <si>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</si>
  <si>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</si>
  <si>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</si>
  <si>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</si>
  <si>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</si>
  <si>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</si>
  <si>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</si>
  <si>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</si>
  <si>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</si>
  <si>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</si>
  <si>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</si>
  <si>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</si>
  <si>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</si>
  <si>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</si>
  <si>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</si>
  <si>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</si>
  <si>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</si>
  <si>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</si>
  <si>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</si>
  <si>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</si>
  <si>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</si>
  <si>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</si>
  <si>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</si>
  <si>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</si>
  <si>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</si>
  <si>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</si>
  <si>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</si>
  <si>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</si>
  <si>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</si>
  <si>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</si>
  <si>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</si>
  <si>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</si>
  <si>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</si>
  <si>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</si>
  <si>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</si>
  <si>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</si>
  <si>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</si>
  <si>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</si>
  <si>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</si>
  <si>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</si>
  <si>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</si>
  <si>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</si>
  <si>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</si>
  <si>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</si>
  <si>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</si>
  <si>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</si>
  <si>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</si>
  <si>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</si>
  <si>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</si>
  <si>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</si>
  <si>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</si>
  <si>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</si>
  <si>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</si>
  <si>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</si>
  <si>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</si>
  <si>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</si>
  <si>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</si>
  <si>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</si>
  <si>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</si>
  <si>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</si>
  <si>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</si>
  <si>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</si>
  <si>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</si>
  <si>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</si>
  <si>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</si>
  <si>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</si>
  <si>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</si>
  <si>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</si>
  <si>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</si>
  <si>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</si>
  <si>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</si>
  <si>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</si>
  <si>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</si>
  <si>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</si>
  <si>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</si>
  <si>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</si>
  <si>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</si>
  <si>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</si>
  <si>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</si>
  <si>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</si>
  <si>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</si>
  <si>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</si>
  <si>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</si>
  <si>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</si>
  <si>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</si>
  <si>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</si>
  <si>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</si>
  <si>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</si>
  <si>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</si>
  <si>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</si>
  <si>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</si>
  <si>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</si>
  <si>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</si>
  <si>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</si>
  <si>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</si>
  <si>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</si>
  <si>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</si>
  <si>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</si>
  <si>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</si>
  <si>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</si>
  <si>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</si>
  <si>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</si>
  <si>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</si>
  <si>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</si>
  <si>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</si>
  <si>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</si>
  <si>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</si>
  <si>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</si>
  <si>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</si>
  <si>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</si>
  <si>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</si>
  <si>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</si>
  <si>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</si>
  <si>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</si>
  <si>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</si>
  <si>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</si>
  <si>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</si>
  <si>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</si>
  <si>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</si>
  <si>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</si>
  <si>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</si>
  <si>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</si>
  <si>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</si>
  <si>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</si>
  <si>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</si>
  <si>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</si>
  <si>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</si>
  <si>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</si>
  <si>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</si>
  <si>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</si>
  <si>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</si>
  <si>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</si>
  <si>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</si>
  <si>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</si>
  <si>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</si>
  <si>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</si>
  <si>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</si>
  <si>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</si>
  <si>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</si>
  <si>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</si>
  <si>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</si>
  <si>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</si>
  <si>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</si>
  <si>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</si>
  <si>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</si>
  <si>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</si>
  <si>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</si>
  <si>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</si>
  <si>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</si>
  <si>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</si>
  <si>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</si>
  <si>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</si>
  <si>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</si>
  <si>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</si>
  <si>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</si>
  <si>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</si>
  <si>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</si>
  <si>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</si>
  <si>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</si>
  <si>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</si>
  <si>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</si>
  <si>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</si>
  <si>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</si>
  <si>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</si>
  <si>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</si>
  <si>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</si>
  <si>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</si>
  <si>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</si>
  <si>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</si>
  <si>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</si>
  <si>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</si>
  <si>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</si>
  <si>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</si>
  <si>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</si>
  <si>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</si>
  <si>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</si>
  <si>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</si>
  <si>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</si>
  <si>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</si>
  <si>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</si>
  <si>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</si>
  <si>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</si>
  <si>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</si>
  <si>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</si>
  <si>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</si>
  <si>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</si>
  <si>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</si>
  <si>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</si>
  <si>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</si>
  <si>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</si>
  <si>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</si>
  <si>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</si>
  <si>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</si>
  <si>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</si>
  <si>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</si>
  <si>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</si>
  <si>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</si>
  <si>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</si>
  <si>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</si>
  <si>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</si>
  <si>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</si>
  <si>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</si>
  <si>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</si>
  <si>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</si>
  <si>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</si>
  <si>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</si>
  <si>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</si>
  <si>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</si>
  <si>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</si>
  <si>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</si>
  <si>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</si>
  <si>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</si>
  <si>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</si>
  <si>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</si>
  <si>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</si>
  <si>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</si>
  <si>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</si>
  <si>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</si>
  <si>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</si>
  <si>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</si>
  <si>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</si>
  <si>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</si>
  <si>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</si>
  <si>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</si>
  <si>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</si>
  <si>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</si>
  <si>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</si>
  <si>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</si>
  <si>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</si>
  <si>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</si>
  <si>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</si>
  <si>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</si>
  <si>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</si>
  <si>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</si>
  <si>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</si>
  <si>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</si>
  <si>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</si>
  <si>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</si>
  <si>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</si>
  <si>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</si>
  <si>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</si>
  <si>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</si>
  <si>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</si>
  <si>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</si>
  <si>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</si>
  <si>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</si>
  <si>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</si>
  <si>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</si>
  <si>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</si>
  <si>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</si>
  <si>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</si>
  <si>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</si>
  <si>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</si>
  <si>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</si>
  <si>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</si>
  <si>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</si>
  <si>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</si>
  <si>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</si>
  <si>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</si>
  <si>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</si>
  <si>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</si>
  <si>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</si>
  <si>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</si>
  <si>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</si>
  <si>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</si>
  <si>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</si>
  <si>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</si>
  <si>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</si>
  <si>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</si>
  <si>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</si>
  <si>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</si>
  <si>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</si>
  <si>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</si>
  <si>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</si>
  <si>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</si>
  <si>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</si>
  <si>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</si>
  <si>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</si>
  <si>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</si>
  <si>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</si>
  <si>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</si>
  <si>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</si>
  <si>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</si>
  <si>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</si>
  <si>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</si>
  <si>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</si>
  <si>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</si>
  <si>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</si>
  <si>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</si>
  <si>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</si>
  <si>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</si>
  <si>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</si>
  <si>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</si>
  <si>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</si>
  <si>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</si>
  <si>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</si>
  <si>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</si>
  <si>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</si>
  <si>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</si>
  <si>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</si>
  <si>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</si>
  <si>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</si>
  <si>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</si>
  <si>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</si>
  <si>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</si>
  <si>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</si>
  <si>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</si>
  <si>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</si>
  <si>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</si>
  <si>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</si>
  <si>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</si>
  <si>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</si>
  <si>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</si>
  <si>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</si>
  <si>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</si>
  <si>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</si>
  <si>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</si>
  <si>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</si>
  <si>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</si>
  <si>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</si>
  <si>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</si>
  <si>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</si>
  <si>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</si>
  <si>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</si>
  <si>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</si>
  <si>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</si>
  <si>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</si>
  <si>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</si>
  <si>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</si>
  <si>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</si>
  <si>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</si>
  <si>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</si>
  <si>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</si>
  <si>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</si>
  <si>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</si>
  <si>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</si>
  <si>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</si>
  <si>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</si>
  <si>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</si>
  <si>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</si>
  <si>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</si>
  <si>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</si>
  <si>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</si>
  <si>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</si>
  <si>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</si>
  <si>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</si>
  <si>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</si>
  <si>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</si>
  <si>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</si>
  <si>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</si>
  <si>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</si>
  <si>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</si>
  <si>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</si>
  <si>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</si>
  <si>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</si>
  <si>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</si>
  <si>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</si>
  <si>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</si>
  <si>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</si>
  <si>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</si>
  <si>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</si>
  <si>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</si>
  <si>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</si>
  <si>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</si>
  <si>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</si>
  <si>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</si>
  <si>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</si>
  <si>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</si>
  <si>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</si>
  <si>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</si>
  <si>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</si>
  <si>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</si>
  <si>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</si>
  <si>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</si>
  <si>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</si>
  <si>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</si>
  <si>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</si>
  <si>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</si>
  <si>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</si>
  <si>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</si>
  <si>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</si>
  <si>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</si>
  <si>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</si>
  <si>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</si>
  <si>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</si>
  <si>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</si>
  <si>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</si>
  <si>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</si>
  <si>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</si>
  <si>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</si>
  <si>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</si>
  <si>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</si>
  <si>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</si>
  <si>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</si>
  <si>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</si>
  <si>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</si>
  <si>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</si>
  <si>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</si>
  <si>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</si>
  <si>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</si>
  <si>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</si>
  <si>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</si>
  <si>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</si>
  <si>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</si>
  <si>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</si>
  <si>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</si>
  <si>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</si>
  <si>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</si>
  <si>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</si>
  <si>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</si>
  <si>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</si>
  <si>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</si>
  <si>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</si>
  <si>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</si>
  <si>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</si>
  <si>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</si>
  <si>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</si>
  <si>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</si>
  <si>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</si>
  <si>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</si>
  <si>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</si>
  <si>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</si>
  <si>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</si>
  <si>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</si>
  <si>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</si>
  <si>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</si>
  <si>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</si>
  <si>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</si>
  <si>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</si>
  <si>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</si>
  <si>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</si>
  <si>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</si>
  <si>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</si>
  <si>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</si>
  <si>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</si>
  <si>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</si>
  <si>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</si>
  <si>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</si>
  <si>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</si>
  <si>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</si>
  <si>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</si>
  <si>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</si>
  <si>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</si>
  <si>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</si>
  <si>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</si>
  <si>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</si>
  <si>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</si>
  <si>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</si>
  <si>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</si>
  <si>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</si>
  <si>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</si>
  <si>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</si>
  <si>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</si>
  <si>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</si>
  <si>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</si>
  <si>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</si>
  <si>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</si>
  <si>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</si>
  <si>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</si>
  <si>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</si>
  <si>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</si>
  <si>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</si>
  <si>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</si>
  <si>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</si>
  <si>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</si>
  <si>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</si>
  <si>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</si>
  <si>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</si>
  <si>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</si>
  <si>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</si>
  <si>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</si>
  <si>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</si>
  <si>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</si>
  <si>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</si>
  <si>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</si>
  <si>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</si>
  <si>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</si>
  <si>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</si>
  <si>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</si>
  <si>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</si>
  <si>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</si>
  <si>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</si>
  <si>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</si>
  <si>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</si>
  <si>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</si>
  <si>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</si>
  <si>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</si>
  <si>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</si>
  <si>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</si>
  <si>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</si>
  <si>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</si>
  <si>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</si>
  <si>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</si>
  <si>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</si>
  <si>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</si>
  <si>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</si>
  <si>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</si>
  <si>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</si>
  <si>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</si>
  <si>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</si>
  <si>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</si>
  <si>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</si>
  <si>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</si>
  <si>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</si>
  <si>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</si>
  <si>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</si>
  <si>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</si>
  <si>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</si>
  <si>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</si>
  <si>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</si>
  <si>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</si>
  <si>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</si>
  <si>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</si>
  <si>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</si>
  <si>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</si>
  <si>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</si>
  <si>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</si>
  <si>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</si>
  <si>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</si>
  <si>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</si>
  <si>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</si>
  <si>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</si>
  <si>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</si>
  <si>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</si>
  <si>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</si>
  <si>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</si>
  <si>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</si>
  <si>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</si>
  <si>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</si>
  <si>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</si>
  <si>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</si>
  <si>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</si>
  <si>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</si>
  <si>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</si>
  <si>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</si>
  <si>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</si>
  <si>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</si>
  <si>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</si>
  <si>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</si>
  <si>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</si>
  <si>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</si>
  <si>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</si>
  <si>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</si>
  <si>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</si>
  <si>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</si>
  <si>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</si>
  <si>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</si>
  <si>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</si>
  <si>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</si>
  <si>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</si>
  <si>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</si>
  <si>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</si>
  <si>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</si>
  <si>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</si>
  <si>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</si>
  <si>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</si>
  <si>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</si>
  <si>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</si>
  <si>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</si>
  <si>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</si>
  <si>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</si>
  <si>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</si>
  <si>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</si>
  <si>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</si>
  <si>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</si>
  <si>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</si>
  <si>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</si>
  <si>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</si>
  <si>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</si>
  <si>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</si>
  <si>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</si>
  <si>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</si>
  <si>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</si>
  <si>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</si>
  <si>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</si>
  <si>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</si>
  <si>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</si>
  <si>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</si>
  <si>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</si>
  <si>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</si>
  <si>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</si>
  <si>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</si>
  <si>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</si>
  <si>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</si>
  <si>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</si>
  <si>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</si>
  <si>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</si>
  <si>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</si>
  <si>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</si>
  <si>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</si>
  <si>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</si>
  <si>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</si>
  <si>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</si>
  <si>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</si>
  <si>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</si>
  <si>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</si>
  <si>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</si>
  <si>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</si>
  <si>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</si>
  <si>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</si>
  <si>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</si>
  <si>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</si>
  <si>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</si>
  <si>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</si>
  <si>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</si>
  <si>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</si>
  <si>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</si>
  <si>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</si>
  <si>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</si>
  <si>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</si>
  <si>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</si>
  <si>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</si>
  <si>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</si>
  <si>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</si>
  <si>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</si>
  <si>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</si>
  <si>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</si>
  <si>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</si>
  <si>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</si>
  <si>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</si>
  <si>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</si>
  <si>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</si>
  <si>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</si>
  <si>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</si>
  <si>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</si>
  <si>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</si>
  <si>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</si>
  <si>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</si>
  <si>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</si>
  <si>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</si>
  <si>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</si>
  <si>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</si>
  <si>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</si>
  <si>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</si>
  <si>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</si>
  <si>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</si>
  <si>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</si>
  <si>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</si>
  <si>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</si>
  <si>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</si>
  <si>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</si>
  <si>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</si>
  <si>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</si>
  <si>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</si>
  <si>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</si>
  <si>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Traite en estive (OL)</t>
  </si>
  <si>
    <t>Traite en estive</t>
  </si>
  <si>
    <t>TEST</t>
  </si>
  <si>
    <t>choix moyen de protection sur ZI pour OL</t>
  </si>
  <si>
    <t>ALLER  +VOIR LIGNE 183 DANS SYNTHESE</t>
  </si>
  <si>
    <t>ALLER LIGNES 214 à 216</t>
  </si>
  <si>
    <t>travail surveiilance sur Estive</t>
  </si>
  <si>
    <t>travail surveiilance sur ZI</t>
  </si>
  <si>
    <t xml:space="preserve">Surveillance renforcée en ZI avec salarié à la charge de l'élevage </t>
  </si>
  <si>
    <t>Surface totale</t>
  </si>
  <si>
    <t>Estive - cheptel 1</t>
  </si>
  <si>
    <t>Estive - cheptel 3</t>
  </si>
  <si>
    <t>ZI - cheptel 1</t>
  </si>
  <si>
    <t>ZI - cheptel 2</t>
  </si>
  <si>
    <t>ZI - cheptel 3</t>
  </si>
  <si>
    <t>UMO familiale + salarié unitial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</si>
  <si>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</si>
  <si>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</si>
  <si>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</si>
  <si>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</si>
  <si>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</si>
  <si>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</si>
  <si>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</si>
  <si>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</si>
  <si>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</si>
  <si>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</si>
  <si>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</si>
  <si>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</si>
  <si>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</si>
  <si>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</si>
  <si>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</si>
  <si>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</si>
  <si>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</si>
  <si>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</si>
  <si>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</si>
  <si>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</si>
  <si>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</si>
  <si>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Entretien des chiens sur la ferme</t>
  </si>
  <si>
    <t>Entretien des chiens sur UP</t>
  </si>
  <si>
    <t>chiens (soins + éducation) sur la ferme</t>
  </si>
  <si>
    <t>chiens (soins) sur les UP</t>
  </si>
  <si>
    <t>Travail protection sur la ferme</t>
  </si>
  <si>
    <t>Travail Protection sur les UP</t>
  </si>
  <si>
    <t>travail protection sur les UP (surveillance + chiens)</t>
  </si>
  <si>
    <t>travail protection ferme (clôture + chiens)</t>
  </si>
  <si>
    <t>total subventionnable (chiens + surveillance)</t>
  </si>
  <si>
    <t>nbre de chiens total OL</t>
  </si>
  <si>
    <t>nbre de chiens pour OL</t>
  </si>
  <si>
    <t>effectif de lots situation initiale</t>
  </si>
  <si>
    <t>nbre de mères initial  (Troupeau$B$17)</t>
  </si>
  <si>
    <t>Calcul UGB PAC</t>
  </si>
  <si>
    <t>Chargement</t>
  </si>
  <si>
    <t>adultes</t>
  </si>
  <si>
    <t>jeunes</t>
  </si>
  <si>
    <t>UGB / ha</t>
  </si>
  <si>
    <t>Modulation selon le chargement</t>
  </si>
  <si>
    <t xml:space="preserve">Seuil chargement </t>
  </si>
  <si>
    <t>seuil1</t>
  </si>
  <si>
    <t>seuil2</t>
  </si>
  <si>
    <t>Modulation (%)</t>
  </si>
  <si>
    <t>peut-être surestimation du travail</t>
  </si>
  <si>
    <t>surface2</t>
  </si>
  <si>
    <t>Étiquettes de colonnes</t>
  </si>
  <si>
    <t>(vide)</t>
  </si>
  <si>
    <t>Total général</t>
  </si>
  <si>
    <t>Étiquettes de lignes</t>
  </si>
  <si>
    <t>Somme de surface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</si>
  <si>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</si>
  <si>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</si>
  <si>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</si>
  <si>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</si>
  <si>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</si>
  <si>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</si>
  <si>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</si>
  <si>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</si>
  <si>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</si>
  <si>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</si>
  <si>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</si>
  <si>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</si>
  <si>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</si>
  <si>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</si>
  <si>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</si>
  <si>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</si>
  <si>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Z1_OLBV_T3F_MC1s1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</si>
</sst>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98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Border="1"/>
    <xf numFmtId="1" fontId="0" fillId="2" borderId="2" xfId="0" applyNumberFormat="1" applyFill="1" applyBorder="1" applyAlignment="1">
      <alignment horizontal="center"/>
    </xf>
    <xf numFmtId="0" fontId="9" fillId="10" borderId="2" xfId="0" applyFont="1" applyFill="1" applyBorder="1"/>
    <xf numFmtId="0" fontId="0" fillId="0" borderId="0" xfId="0" applyFill="1" applyAlignment="1">
      <alignment horizontal="center"/>
    </xf>
    <xf numFmtId="0" fontId="0" fillId="11" borderId="0" xfId="0" applyFill="1" applyAlignment="1">
      <alignment horizontal="left"/>
    </xf>
    <xf numFmtId="0" fontId="1" fillId="11" borderId="0" xfId="0" applyFont="1" applyFill="1"/>
    <xf numFmtId="0" fontId="10" fillId="0" borderId="0" xfId="0" applyFont="1" applyAlignment="1">
      <alignment horizontal="right"/>
    </xf>
    <xf numFmtId="0" fontId="0" fillId="11" borderId="0" xfId="0" applyFill="1"/>
    <xf numFmtId="0" fontId="0" fillId="11" borderId="0" xfId="0" applyFill="1" applyAlignment="1">
      <alignment horizontal="right"/>
    </xf>
    <xf numFmtId="0" fontId="0" fillId="1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2" fontId="0" fillId="5" borderId="0" xfId="0" applyNumberFormat="1" applyFill="1"/>
    <xf numFmtId="2" fontId="0" fillId="5" borderId="0" xfId="0" applyNumberFormat="1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3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6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4" borderId="0" xfId="0" applyFont="1" applyFill="1" applyAlignment="1">
      <alignment horizontal="right"/>
    </xf>
    <xf numFmtId="0" fontId="17" fillId="0" borderId="0" xfId="0" applyFont="1" applyFill="1"/>
    <xf numFmtId="0" fontId="0" fillId="14" borderId="0" xfId="0" applyFill="1"/>
    <xf numFmtId="0" fontId="1" fillId="14" borderId="0" xfId="0" applyFont="1" applyFill="1" applyAlignment="1">
      <alignment horizontal="center"/>
    </xf>
    <xf numFmtId="0" fontId="0" fillId="14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4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8" fillId="5" borderId="0" xfId="0" applyFont="1" applyFill="1" applyAlignment="1">
      <alignment horizontal="center"/>
    </xf>
    <xf numFmtId="0" fontId="0" fillId="13" borderId="0" xfId="0" applyFill="1"/>
    <xf numFmtId="0" fontId="0" fillId="0" borderId="0" xfId="0" applyFill="1" applyAlignment="1">
      <alignment horizontal="left"/>
    </xf>
    <xf numFmtId="0" fontId="5" fillId="15" borderId="0" xfId="0" applyFont="1" applyFill="1"/>
    <xf numFmtId="0" fontId="5" fillId="15" borderId="0" xfId="0" applyFont="1" applyFill="1" applyAlignment="1">
      <alignment horizontal="right"/>
    </xf>
    <xf numFmtId="0" fontId="7" fillId="15" borderId="0" xfId="0" applyFont="1" applyFill="1"/>
    <xf numFmtId="0" fontId="15" fillId="14" borderId="0" xfId="0" applyFont="1" applyFill="1" applyAlignment="1">
      <alignment horizontal="center"/>
    </xf>
    <xf numFmtId="0" fontId="5" fillId="15" borderId="0" xfId="0" applyFont="1" applyFill="1" applyAlignment="1">
      <alignment horizontal="center"/>
    </xf>
    <xf numFmtId="0" fontId="7" fillId="15" borderId="0" xfId="0" applyFont="1" applyFill="1" applyAlignment="1">
      <alignment horizontal="center"/>
    </xf>
    <xf numFmtId="0" fontId="0" fillId="0" borderId="0" xfId="0" applyFont="1"/>
    <xf numFmtId="0" fontId="7" fillId="15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4" borderId="0" xfId="0" applyNumberFormat="1" applyFont="1" applyFill="1" applyAlignment="1">
      <alignment horizontal="center"/>
    </xf>
    <xf numFmtId="8" fontId="5" fillId="15" borderId="0" xfId="0" applyNumberFormat="1" applyFont="1" applyFill="1" applyAlignment="1">
      <alignment horizontal="center"/>
    </xf>
    <xf numFmtId="0" fontId="0" fillId="3" borderId="0" xfId="0" applyFont="1" applyFill="1"/>
    <xf numFmtId="0" fontId="0" fillId="14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4" borderId="0" xfId="0" applyFont="1" applyFill="1"/>
    <xf numFmtId="0" fontId="7" fillId="14" borderId="0" xfId="0" applyFont="1" applyFill="1" applyAlignment="1">
      <alignment horizontal="center"/>
    </xf>
    <xf numFmtId="0" fontId="19" fillId="0" borderId="0" xfId="0" applyFont="1" applyFill="1"/>
    <xf numFmtId="0" fontId="0" fillId="13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4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3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6" borderId="0" xfId="0" applyFill="1" applyAlignment="1">
      <alignment horizontal="center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right"/>
    </xf>
    <xf numFmtId="0" fontId="0" fillId="18" borderId="0" xfId="0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0" fillId="18" borderId="0" xfId="0" applyNumberFormat="1" applyFill="1" applyAlignment="1">
      <alignment horizontal="center"/>
    </xf>
    <xf numFmtId="0" fontId="0" fillId="17" borderId="0" xfId="0" applyFill="1" applyAlignment="1">
      <alignment horizontal="center"/>
    </xf>
    <xf numFmtId="166" fontId="0" fillId="18" borderId="0" xfId="0" applyNumberFormat="1" applyFill="1" applyAlignment="1">
      <alignment horizontal="center"/>
    </xf>
    <xf numFmtId="166" fontId="0" fillId="17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7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2" fontId="0" fillId="5" borderId="0" xfId="0" applyNumberFormat="1" applyFill="1" applyAlignment="1">
      <alignment horizontal="right"/>
    </xf>
    <xf numFmtId="2" fontId="5" fillId="15" borderId="0" xfId="0" applyNumberFormat="1" applyFont="1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19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1" fontId="0" fillId="17" borderId="0" xfId="0" applyNumberFormat="1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20" borderId="0" xfId="0" applyFill="1"/>
    <xf numFmtId="0" fontId="0" fillId="20" borderId="0" xfId="0" applyFill="1" applyAlignment="1">
      <alignment horizontal="left"/>
    </xf>
    <xf numFmtId="0" fontId="0" fillId="20" borderId="0" xfId="0" applyFill="1" applyAlignment="1">
      <alignment horizontal="center"/>
    </xf>
    <xf numFmtId="0" fontId="1" fillId="20" borderId="0" xfId="0" applyFont="1" applyFill="1" applyAlignment="1">
      <alignment horizontal="center"/>
    </xf>
    <xf numFmtId="0" fontId="1" fillId="20" borderId="0" xfId="0" applyFont="1" applyFill="1"/>
    <xf numFmtId="0" fontId="0" fillId="20" borderId="0" xfId="0" applyFill="1" applyAlignment="1">
      <alignment horizontal="right"/>
    </xf>
    <xf numFmtId="164" fontId="0" fillId="7" borderId="0" xfId="0" applyNumberFormat="1" applyFill="1"/>
    <xf numFmtId="0" fontId="0" fillId="21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0" fillId="5" borderId="1" xfId="0" applyFill="1" applyBorder="1"/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18" fillId="2" borderId="1" xfId="0" applyFont="1" applyFill="1" applyBorder="1" applyAlignment="1">
      <alignment horizontal="center" vertical="center"/>
    </xf>
    <xf numFmtId="0" fontId="0" fillId="0" borderId="0" xfId="0" pivotButton="1"/>
    <xf numFmtId="0" fontId="0" fillId="0" borderId="0" xfId="0" applyNumberFormat="1"/>
    <xf numFmtId="0" fontId="0" fillId="22" borderId="0" xfId="0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30</xdr:row>
      <xdr:rowOff>123825</xdr:rowOff>
    </xdr:from>
    <xdr:to>
      <xdr:col>28</xdr:col>
      <xdr:colOff>542925</xdr:colOff>
      <xdr:row>60</xdr:row>
      <xdr:rowOff>66675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0" y="5838825"/>
          <a:ext cx="10058400" cy="5657850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0</xdr:row>
      <xdr:rowOff>0</xdr:rowOff>
    </xdr:from>
    <xdr:to>
      <xdr:col>28</xdr:col>
      <xdr:colOff>409575</xdr:colOff>
      <xdr:row>29</xdr:row>
      <xdr:rowOff>133350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975" y="0"/>
          <a:ext cx="10058400" cy="56578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A171" t="str">
            <v>CO troupeaux (par femelles présentes MB)</v>
          </cell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A172" t="str">
            <v>Frais vétérinaires (€ / femelles présentes à la MB)</v>
          </cell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A173" t="str">
            <v>Frais repro, identification, GDS, cont perf (€ / femelle)</v>
          </cell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A174" t="str">
            <v>frais transfo et commercialisation (€/LITRES)</v>
          </cell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A175" t="str">
            <v>CMV (€ / femelle)</v>
          </cell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A176" t="str">
            <v>Frais estive (€ / femelle)</v>
          </cell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A177" t="str">
            <v>Frais mise en pension (par agnelle)</v>
          </cell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A178" t="str">
            <v>CO surfaces fourragères</v>
          </cell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A179" t="str">
            <v>PP pâturées</v>
          </cell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A180" t="str">
            <v>PP 1 coupe</v>
          </cell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A181" t="str">
            <v>PP 2 coupes et plus</v>
          </cell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A182" t="str">
            <v>PT pâture</v>
          </cell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A183" t="str">
            <v>PT 1 coupe</v>
          </cell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A184" t="str">
            <v>PT 2 coupes et plus</v>
          </cell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A185" t="str">
            <v>Dérobées (1ère année)</v>
          </cell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A186"/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A187" t="str">
            <v>Charges de structure</v>
          </cell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A188" t="str">
            <v>Foncier (fermage, impôt foncier, entretien) (par ha ST)</v>
          </cell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A189" t="str">
            <v>Bâtiment (forfait pour l'élevage)</v>
          </cell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A190" t="str">
            <v>Forfait MSA (MO familiale) par ferme</v>
          </cell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A191" t="str">
            <v>Salaires (situation initiale) (par UMO salariée)</v>
          </cell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A192" t="str">
            <v>Autres charges de structure (par ferme)</v>
          </cell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A193" t="str">
            <v>Mécanisation (par ha ST sans les landes)</v>
          </cell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A194" t="str">
            <v>dont carburant / lubrifiant (situation initiale)</v>
          </cell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A196" t="str">
            <v>Annuités (par exploitation)</v>
          </cell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A198" t="str">
            <v>Engraissement des vaches de réformes</v>
          </cell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A199" t="str">
            <v>besoin concentrés 1 vaches réformes engraissés</v>
          </cell>
          <cell r="B199" t="str">
            <v>besoin pour la période d'engraissement</v>
          </cell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A200" t="str">
            <v>besoin concentrés 1 vaches réformes engraissés</v>
          </cell>
          <cell r="B200" t="str">
            <v>besoin pour la période d'engraissement</v>
          </cell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A201" t="str">
            <v>besoin concentrés 1 vaches réformes engraissés</v>
          </cell>
          <cell r="B201" t="str">
            <v>besoin pour la période d'engraissement</v>
          </cell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A202" t="str">
            <v>besoin concentrés 1 vaches réformes engraissés</v>
          </cell>
          <cell r="B202" t="str">
            <v>besoin pour la période d'engraissement</v>
          </cell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A203" t="str">
            <v>besoin concentrés 1 vaches réformes engraissés</v>
          </cell>
          <cell r="B203" t="str">
            <v>besoin pour la période d'engraissement</v>
          </cell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A205" t="str">
            <v>type concentrés 1 vaches réformes engraissés</v>
          </cell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A206" t="str">
            <v>type concentrés 1 vaches réformes engraissés</v>
          </cell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A207" t="str">
            <v>type concentrés 1 vaches réformes engraissés</v>
          </cell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A208" t="str">
            <v>type  concentrés 1 vaches réformes engraissés</v>
          </cell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A209" t="str">
            <v>type concentrés 1 vaches réformes engraissés</v>
          </cell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A211" t="str">
            <v>CO cultures (y.c. maïs-ensilage)</v>
          </cell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A220" t="str">
            <v>engraissement des vaches de réforme (%)</v>
          </cell>
          <cell r="C220"/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23.465999884262" createdVersion="6" refreshedVersion="6" minRefreshableVersion="3" recordCount="22">
  <cacheSource type="worksheet">
    <worksheetSource ref="A1:J23" sheet="Parcellaire"/>
  </cacheSource>
  <cacheFields count="10">
    <cacheField name="Numéro_x000a_Parcelle" numFmtId="0">
      <sharedItems containsSemiMixedTypes="0" containsString="0" containsNumber="1" containsInteger="1" minValue="1" maxValue="22"/>
    </cacheField>
    <cacheField name="présence" numFmtId="0">
      <sharedItems containsString="0" containsBlank="1" containsNumber="1" containsInteger="1" minValue="1" maxValue="1"/>
    </cacheField>
    <cacheField name="Type clôture" numFmtId="0">
      <sharedItems containsString="0" containsBlank="1" containsNumber="1" containsInteger="1" minValue="2" maxValue="2"/>
    </cacheField>
    <cacheField name="distance" numFmtId="0">
      <sharedItems containsBlank="1" count="3">
        <s v="éloigné"/>
        <m/>
        <s v="proche"/>
      </sharedItems>
    </cacheField>
    <cacheField name="type ancien codage enquete complémentaire" numFmtId="0">
      <sharedItems containsBlank="1" containsMixedTypes="1" containsNumber="1" containsInteger="1" minValue="2" maxValue="3"/>
    </cacheField>
    <cacheField name="MEP" numFmtId="0">
      <sharedItems containsBlank="1" containsMixedTypes="1" containsNumber="1" containsInteger="1" minValue="17" maxValue="290" count="15">
        <n v="239"/>
        <s v="ME"/>
        <m/>
        <n v="242"/>
        <n v="266"/>
        <n v="241"/>
        <n v="290"/>
        <n v="194"/>
        <n v="17"/>
        <n v="172"/>
        <n v="265" u="1"/>
        <n v="212" u="1"/>
        <n v="271" u="1"/>
        <n v="187" u="1"/>
        <n v="28" u="1"/>
      </sharedItems>
    </cacheField>
    <cacheField name="surface" numFmtId="0">
      <sharedItems containsString="0" containsBlank="1" containsNumber="1" minValue="0.7" maxValue="6.8"/>
    </cacheField>
    <cacheField name="surface2" numFmtId="0">
      <sharedItems containsString="0" containsBlank="1" containsNumber="1" minValue="1" maxValue="2.8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2">
  <r>
    <n v="1"/>
    <n v="1"/>
    <n v="2"/>
    <x v="0"/>
    <n v="3"/>
    <x v="0"/>
    <n v="0.8"/>
    <m/>
    <n v="2"/>
    <n v="0.5"/>
  </r>
  <r>
    <n v="2"/>
    <n v="1"/>
    <n v="2"/>
    <x v="0"/>
    <n v="3"/>
    <x v="0"/>
    <n v="0.9"/>
    <m/>
    <n v="3"/>
    <n v="0.5"/>
  </r>
  <r>
    <n v="3"/>
    <n v="1"/>
    <n v="2"/>
    <x v="0"/>
    <s v="ME"/>
    <x v="1"/>
    <n v="1"/>
    <m/>
    <n v="2"/>
    <n v="0"/>
  </r>
  <r>
    <n v="4"/>
    <m/>
    <m/>
    <x v="1"/>
    <m/>
    <x v="2"/>
    <m/>
    <m/>
    <m/>
    <m/>
  </r>
  <r>
    <n v="5"/>
    <n v="1"/>
    <n v="2"/>
    <x v="0"/>
    <n v="2"/>
    <x v="0"/>
    <n v="1.1000000000000001"/>
    <m/>
    <n v="3"/>
    <n v="0.5"/>
  </r>
  <r>
    <n v="6"/>
    <n v="1"/>
    <n v="2"/>
    <x v="0"/>
    <n v="3"/>
    <x v="3"/>
    <n v="1.5"/>
    <m/>
    <n v="3"/>
    <n v="0.5"/>
  </r>
  <r>
    <n v="7"/>
    <n v="1"/>
    <n v="2"/>
    <x v="2"/>
    <n v="3"/>
    <x v="3"/>
    <n v="2"/>
    <m/>
    <n v="3"/>
    <n v="0.5"/>
  </r>
  <r>
    <n v="8"/>
    <n v="1"/>
    <n v="2"/>
    <x v="2"/>
    <n v="3"/>
    <x v="4"/>
    <n v="0.7"/>
    <m/>
    <n v="3"/>
    <n v="0.5"/>
  </r>
  <r>
    <n v="9"/>
    <n v="1"/>
    <n v="2"/>
    <x v="2"/>
    <n v="3"/>
    <x v="5"/>
    <n v="2"/>
    <m/>
    <n v="3"/>
    <n v="0.5"/>
  </r>
  <r>
    <n v="10"/>
    <n v="1"/>
    <n v="2"/>
    <x v="2"/>
    <n v="2"/>
    <x v="5"/>
    <n v="2.2999999999999998"/>
    <n v="2.8"/>
    <n v="3"/>
    <n v="0.5"/>
  </r>
  <r>
    <n v="11"/>
    <n v="1"/>
    <n v="2"/>
    <x v="2"/>
    <n v="3"/>
    <x v="4"/>
    <n v="1"/>
    <n v="1"/>
    <n v="3"/>
    <n v="1"/>
  </r>
  <r>
    <n v="12"/>
    <n v="1"/>
    <n v="2"/>
    <x v="2"/>
    <n v="2"/>
    <x v="3"/>
    <n v="1.7"/>
    <n v="1.7"/>
    <n v="2"/>
    <n v="0"/>
  </r>
  <r>
    <n v="13"/>
    <n v="1"/>
    <n v="2"/>
    <x v="2"/>
    <n v="3"/>
    <x v="3"/>
    <n v="1.3"/>
    <n v="1.3"/>
    <n v="2"/>
    <n v="1"/>
  </r>
  <r>
    <n v="14"/>
    <n v="1"/>
    <n v="2"/>
    <x v="2"/>
    <n v="2"/>
    <x v="6"/>
    <n v="1"/>
    <m/>
    <n v="2"/>
    <n v="0.5"/>
  </r>
  <r>
    <n v="15"/>
    <n v="1"/>
    <n v="2"/>
    <x v="2"/>
    <n v="2"/>
    <x v="5"/>
    <n v="2"/>
    <m/>
    <n v="2"/>
    <n v="0.5"/>
  </r>
  <r>
    <n v="16"/>
    <n v="1"/>
    <n v="2"/>
    <x v="2"/>
    <n v="2"/>
    <x v="5"/>
    <n v="1.7"/>
    <m/>
    <n v="2"/>
    <n v="0.5"/>
  </r>
  <r>
    <n v="17"/>
    <n v="1"/>
    <n v="2"/>
    <x v="2"/>
    <n v="2"/>
    <x v="5"/>
    <n v="3"/>
    <m/>
    <n v="3"/>
    <n v="0.5"/>
  </r>
  <r>
    <n v="18"/>
    <n v="1"/>
    <n v="2"/>
    <x v="0"/>
    <m/>
    <x v="7"/>
    <n v="1"/>
    <m/>
    <n v="3"/>
    <n v="0.5"/>
  </r>
  <r>
    <n v="19"/>
    <n v="1"/>
    <n v="2"/>
    <x v="2"/>
    <m/>
    <x v="8"/>
    <n v="4.3"/>
    <m/>
    <n v="3"/>
    <n v="1"/>
  </r>
  <r>
    <n v="20"/>
    <n v="1"/>
    <n v="2"/>
    <x v="0"/>
    <m/>
    <x v="9"/>
    <n v="6.8"/>
    <m/>
    <n v="3"/>
    <n v="1"/>
  </r>
  <r>
    <n v="21"/>
    <n v="1"/>
    <n v="2"/>
    <x v="0"/>
    <m/>
    <x v="7"/>
    <n v="2"/>
    <m/>
    <n v="3"/>
    <n v="0.5"/>
  </r>
  <r>
    <n v="22"/>
    <n v="1"/>
    <n v="2"/>
    <x v="0"/>
    <m/>
    <x v="7"/>
    <n v="2"/>
    <m/>
    <n v="3"/>
    <n v="0.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3" cacheId="107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5" firstHeaderRow="1" firstDataRow="2" firstDataCol="1"/>
  <pivotFields count="10">
    <pivotField showAll="0"/>
    <pivotField showAll="0"/>
    <pivotField showAll="0"/>
    <pivotField axis="axisCol" showAll="0">
      <items count="4">
        <item x="0"/>
        <item x="2"/>
        <item x="1"/>
        <item t="default"/>
      </items>
    </pivotField>
    <pivotField showAll="0"/>
    <pivotField axis="axisRow" showAll="0">
      <items count="16">
        <item x="8"/>
        <item m="1" x="14"/>
        <item x="9"/>
        <item m="1" x="13"/>
        <item m="1" x="11"/>
        <item x="0"/>
        <item m="1" x="10"/>
        <item x="4"/>
        <item m="1" x="12"/>
        <item x="2"/>
        <item x="6"/>
        <item x="7"/>
        <item x="3"/>
        <item x="5"/>
        <item x="1"/>
        <item t="default"/>
      </items>
    </pivotField>
    <pivotField dataField="1" showAll="0"/>
    <pivotField showAll="0"/>
    <pivotField showAll="0"/>
    <pivotField showAll="0"/>
  </pivotFields>
  <rowFields count="1">
    <field x="5"/>
  </rowFields>
  <rowItems count="11">
    <i>
      <x/>
    </i>
    <i>
      <x v="2"/>
    </i>
    <i>
      <x v="5"/>
    </i>
    <i>
      <x v="7"/>
    </i>
    <i>
      <x v="9"/>
    </i>
    <i>
      <x v="10"/>
    </i>
    <i>
      <x v="11"/>
    </i>
    <i>
      <x v="12"/>
    </i>
    <i>
      <x v="13"/>
    </i>
    <i>
      <x v="14"/>
    </i>
    <i t="grand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1">
    <dataField name="Somme de surface" fld="6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246</v>
      </c>
      <c r="B1" s="41" t="s">
        <v>243</v>
      </c>
      <c r="C1" s="17"/>
      <c r="E1" s="17"/>
    </row>
    <row r="2" spans="1:10" x14ac:dyDescent="0.25">
      <c r="A2" s="17" t="s">
        <v>244</v>
      </c>
      <c r="B2" s="41" t="s">
        <v>426</v>
      </c>
      <c r="C2" s="17"/>
      <c r="D2" s="17"/>
      <c r="E2" s="17"/>
    </row>
    <row r="3" spans="1:10" x14ac:dyDescent="0.25">
      <c r="A3" s="17" t="s">
        <v>245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70</v>
      </c>
      <c r="B5" t="s">
        <v>71</v>
      </c>
    </row>
    <row r="6" spans="1:10" x14ac:dyDescent="0.25">
      <c r="A6" s="48" t="s">
        <v>72</v>
      </c>
      <c r="B6" t="s">
        <v>74</v>
      </c>
    </row>
    <row r="7" spans="1:10" x14ac:dyDescent="0.25">
      <c r="A7" s="13" t="s">
        <v>75</v>
      </c>
      <c r="B7" t="s">
        <v>112</v>
      </c>
    </row>
    <row r="8" spans="1:10" x14ac:dyDescent="0.25">
      <c r="A8" s="31" t="s">
        <v>73</v>
      </c>
      <c r="B8" t="s">
        <v>322</v>
      </c>
    </row>
    <row r="9" spans="1:10" x14ac:dyDescent="0.25">
      <c r="A9" s="47" t="s">
        <v>100</v>
      </c>
      <c r="B9" t="s">
        <v>101</v>
      </c>
    </row>
    <row r="10" spans="1:10" s="5" customFormat="1" x14ac:dyDescent="0.25"/>
    <row r="12" spans="1:10" ht="15.75" thickBot="1" x14ac:dyDescent="0.3">
      <c r="A12" s="2" t="s">
        <v>314</v>
      </c>
    </row>
    <row r="13" spans="1:10" x14ac:dyDescent="0.25">
      <c r="A13" s="109" t="s">
        <v>153</v>
      </c>
      <c r="B13" s="96" t="s">
        <v>154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53</v>
      </c>
      <c r="B14" s="81" t="s">
        <v>54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55</v>
      </c>
      <c r="B15" s="81" t="s">
        <v>56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57</v>
      </c>
      <c r="B16" s="81" t="s">
        <v>58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59</v>
      </c>
      <c r="B17" s="81" t="s">
        <v>60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62</v>
      </c>
      <c r="B18" s="81" t="s">
        <v>63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64</v>
      </c>
      <c r="B19" s="81" t="s">
        <v>65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66</v>
      </c>
      <c r="B20" s="107" t="s">
        <v>313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67</v>
      </c>
      <c r="B21" t="s">
        <v>312</v>
      </c>
    </row>
    <row r="22" spans="1:10" x14ac:dyDescent="0.25">
      <c r="A22" t="s">
        <v>68</v>
      </c>
      <c r="B22" t="s">
        <v>312</v>
      </c>
    </row>
    <row r="23" spans="1:10" x14ac:dyDescent="0.25">
      <c r="A23" t="s">
        <v>69</v>
      </c>
      <c r="B23" t="s">
        <v>312</v>
      </c>
    </row>
    <row r="24" spans="1:10" x14ac:dyDescent="0.25">
      <c r="A24" t="s">
        <v>61</v>
      </c>
      <c r="B24" t="s">
        <v>312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91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6" t="s">
        <v>2</v>
      </c>
      <c r="C1" s="296"/>
      <c r="D1" s="296" t="s">
        <v>0</v>
      </c>
      <c r="E1" s="296"/>
      <c r="F1" s="296" t="s">
        <v>1</v>
      </c>
      <c r="G1" s="296"/>
      <c r="H1" s="296" t="s">
        <v>3</v>
      </c>
      <c r="I1" s="296"/>
      <c r="J1" s="296" t="s">
        <v>4</v>
      </c>
      <c r="K1" s="296"/>
      <c r="L1" s="296" t="s">
        <v>5</v>
      </c>
      <c r="M1" s="296"/>
      <c r="N1" s="296" t="s">
        <v>6</v>
      </c>
      <c r="O1" s="296"/>
      <c r="P1" s="296" t="s">
        <v>7</v>
      </c>
      <c r="Q1" s="296"/>
      <c r="R1" s="296" t="s">
        <v>8</v>
      </c>
      <c r="S1" s="296"/>
      <c r="T1" s="296" t="s">
        <v>9</v>
      </c>
      <c r="U1" s="296"/>
      <c r="V1" s="296" t="s">
        <v>10</v>
      </c>
      <c r="W1" s="296"/>
      <c r="X1" s="296" t="s">
        <v>11</v>
      </c>
      <c r="Y1" s="296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447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317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59" activePane="bottomLeft" state="frozen"/>
      <selection pane="bottomLeft" activeCell="AK21" sqref="AK21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6" t="s">
        <v>2</v>
      </c>
      <c r="C1" s="296"/>
      <c r="D1" s="296" t="s">
        <v>0</v>
      </c>
      <c r="E1" s="296"/>
      <c r="F1" s="296" t="s">
        <v>1</v>
      </c>
      <c r="G1" s="296"/>
      <c r="H1" s="296" t="s">
        <v>3</v>
      </c>
      <c r="I1" s="296"/>
      <c r="J1" s="296" t="s">
        <v>4</v>
      </c>
      <c r="K1" s="296"/>
      <c r="L1" s="296" t="s">
        <v>5</v>
      </c>
      <c r="M1" s="296"/>
      <c r="N1" s="296" t="s">
        <v>6</v>
      </c>
      <c r="O1" s="296"/>
      <c r="P1" s="296" t="s">
        <v>7</v>
      </c>
      <c r="Q1" s="296"/>
      <c r="R1" s="296" t="s">
        <v>8</v>
      </c>
      <c r="S1" s="296"/>
      <c r="T1" s="296" t="s">
        <v>9</v>
      </c>
      <c r="U1" s="296"/>
      <c r="V1" s="296" t="s">
        <v>10</v>
      </c>
      <c r="W1" s="296"/>
      <c r="X1" s="296" t="s">
        <v>11</v>
      </c>
      <c r="Y1" s="296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189</v>
      </c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411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447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1">VLOOKUP(C88,$AD$6:$AF$10,3)</f>
        <v>0</v>
      </c>
      <c r="D99" s="61">
        <f t="shared" si="21"/>
        <v>0</v>
      </c>
      <c r="E99" s="61">
        <f t="shared" si="21"/>
        <v>0</v>
      </c>
      <c r="F99" s="61">
        <f t="shared" si="21"/>
        <v>0</v>
      </c>
      <c r="G99" s="61">
        <f t="shared" si="21"/>
        <v>0</v>
      </c>
      <c r="H99" s="61">
        <f t="shared" si="21"/>
        <v>0</v>
      </c>
      <c r="I99" s="61">
        <f t="shared" si="21"/>
        <v>0</v>
      </c>
      <c r="J99" s="61">
        <f t="shared" si="21"/>
        <v>0</v>
      </c>
      <c r="K99" s="61">
        <f t="shared" si="21"/>
        <v>0</v>
      </c>
      <c r="L99" s="61">
        <f t="shared" si="21"/>
        <v>0</v>
      </c>
      <c r="M99" s="61">
        <f t="shared" si="21"/>
        <v>0</v>
      </c>
      <c r="N99" s="61">
        <f t="shared" si="21"/>
        <v>0</v>
      </c>
      <c r="O99" s="61">
        <f t="shared" si="21"/>
        <v>0</v>
      </c>
      <c r="P99" s="61">
        <f t="shared" si="21"/>
        <v>0</v>
      </c>
      <c r="Q99" s="61">
        <f t="shared" si="21"/>
        <v>0</v>
      </c>
      <c r="R99" s="61">
        <f t="shared" si="21"/>
        <v>0</v>
      </c>
      <c r="S99" s="61">
        <f t="shared" si="21"/>
        <v>0</v>
      </c>
      <c r="T99" s="61">
        <f t="shared" si="21"/>
        <v>0</v>
      </c>
      <c r="U99" s="61">
        <f t="shared" si="21"/>
        <v>0</v>
      </c>
      <c r="V99" s="61">
        <f t="shared" si="21"/>
        <v>0</v>
      </c>
      <c r="W99" s="61">
        <f t="shared" si="21"/>
        <v>0</v>
      </c>
      <c r="X99" s="61">
        <f t="shared" si="21"/>
        <v>0</v>
      </c>
      <c r="Y99" s="61">
        <f t="shared" si="21"/>
        <v>0</v>
      </c>
    </row>
    <row r="100" spans="1:33" x14ac:dyDescent="0.25">
      <c r="A100" s="128" t="str">
        <f>A$16</f>
        <v>lot2</v>
      </c>
      <c r="B100" s="61">
        <f t="shared" ref="B100:Y100" si="22">VLOOKUP(B89,$AD$6:$AF$10,3)</f>
        <v>0</v>
      </c>
      <c r="C100" s="61">
        <f t="shared" si="22"/>
        <v>0</v>
      </c>
      <c r="D100" s="61">
        <f t="shared" si="22"/>
        <v>0</v>
      </c>
      <c r="E100" s="61">
        <f t="shared" si="22"/>
        <v>0</v>
      </c>
      <c r="F100" s="61">
        <f t="shared" si="22"/>
        <v>0</v>
      </c>
      <c r="G100" s="61">
        <f t="shared" si="22"/>
        <v>0</v>
      </c>
      <c r="H100" s="61">
        <f t="shared" si="22"/>
        <v>0</v>
      </c>
      <c r="I100" s="61">
        <f t="shared" si="22"/>
        <v>0</v>
      </c>
      <c r="J100" s="61">
        <f t="shared" si="22"/>
        <v>0</v>
      </c>
      <c r="K100" s="61">
        <f t="shared" si="22"/>
        <v>0</v>
      </c>
      <c r="L100" s="61">
        <f t="shared" si="22"/>
        <v>0</v>
      </c>
      <c r="M100" s="61">
        <f t="shared" si="22"/>
        <v>0</v>
      </c>
      <c r="N100" s="61">
        <f t="shared" si="22"/>
        <v>0</v>
      </c>
      <c r="O100" s="61">
        <f t="shared" si="22"/>
        <v>0</v>
      </c>
      <c r="P100" s="61">
        <f t="shared" si="22"/>
        <v>0</v>
      </c>
      <c r="Q100" s="61">
        <f t="shared" si="22"/>
        <v>0</v>
      </c>
      <c r="R100" s="61">
        <f t="shared" si="22"/>
        <v>0</v>
      </c>
      <c r="S100" s="61">
        <f t="shared" si="22"/>
        <v>0</v>
      </c>
      <c r="T100" s="61">
        <f t="shared" si="22"/>
        <v>0</v>
      </c>
      <c r="U100" s="61">
        <f t="shared" si="22"/>
        <v>0</v>
      </c>
      <c r="V100" s="61">
        <f t="shared" si="22"/>
        <v>0</v>
      </c>
      <c r="W100" s="61">
        <f t="shared" si="22"/>
        <v>0</v>
      </c>
      <c r="X100" s="61">
        <f t="shared" si="22"/>
        <v>0</v>
      </c>
      <c r="Y100" s="61">
        <f t="shared" si="22"/>
        <v>0</v>
      </c>
    </row>
    <row r="101" spans="1:33" x14ac:dyDescent="0.25">
      <c r="A101" s="128" t="str">
        <f>A$17</f>
        <v>lot3</v>
      </c>
      <c r="B101" s="61">
        <f t="shared" ref="B101:Y101" si="23">VLOOKUP(B90,$AD$6:$AF$10,3)</f>
        <v>0</v>
      </c>
      <c r="C101" s="61">
        <f t="shared" si="23"/>
        <v>0</v>
      </c>
      <c r="D101" s="61">
        <f t="shared" si="23"/>
        <v>0</v>
      </c>
      <c r="E101" s="61">
        <f t="shared" si="23"/>
        <v>0</v>
      </c>
      <c r="F101" s="61">
        <f t="shared" si="23"/>
        <v>0</v>
      </c>
      <c r="G101" s="61">
        <f t="shared" si="23"/>
        <v>0</v>
      </c>
      <c r="H101" s="61">
        <f t="shared" si="23"/>
        <v>0</v>
      </c>
      <c r="I101" s="61">
        <f t="shared" si="23"/>
        <v>0</v>
      </c>
      <c r="J101" s="61">
        <f t="shared" si="23"/>
        <v>0</v>
      </c>
      <c r="K101" s="61">
        <f t="shared" si="23"/>
        <v>0</v>
      </c>
      <c r="L101" s="61">
        <f t="shared" si="23"/>
        <v>0</v>
      </c>
      <c r="M101" s="61">
        <f t="shared" si="23"/>
        <v>0</v>
      </c>
      <c r="N101" s="61">
        <f t="shared" si="23"/>
        <v>0</v>
      </c>
      <c r="O101" s="61">
        <f t="shared" si="23"/>
        <v>0</v>
      </c>
      <c r="P101" s="61">
        <f t="shared" si="23"/>
        <v>0</v>
      </c>
      <c r="Q101" s="61">
        <f t="shared" si="23"/>
        <v>0</v>
      </c>
      <c r="R101" s="61">
        <f t="shared" si="23"/>
        <v>0</v>
      </c>
      <c r="S101" s="61">
        <f t="shared" si="23"/>
        <v>0</v>
      </c>
      <c r="T101" s="61">
        <f t="shared" si="23"/>
        <v>0</v>
      </c>
      <c r="U101" s="61">
        <f t="shared" si="23"/>
        <v>0</v>
      </c>
      <c r="V101" s="61">
        <f t="shared" si="23"/>
        <v>0</v>
      </c>
      <c r="W101" s="61">
        <f t="shared" si="23"/>
        <v>0</v>
      </c>
      <c r="X101" s="61">
        <f t="shared" si="23"/>
        <v>0</v>
      </c>
      <c r="Y101" s="61">
        <f t="shared" si="23"/>
        <v>0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0</v>
      </c>
      <c r="C102" s="61">
        <f t="shared" si="24"/>
        <v>0</v>
      </c>
      <c r="D102" s="61">
        <f t="shared" si="24"/>
        <v>0</v>
      </c>
      <c r="E102" s="61">
        <f t="shared" si="24"/>
        <v>0</v>
      </c>
      <c r="F102" s="61">
        <f t="shared" si="24"/>
        <v>0</v>
      </c>
      <c r="G102" s="61">
        <f t="shared" si="24"/>
        <v>0</v>
      </c>
      <c r="H102" s="61">
        <f t="shared" si="24"/>
        <v>0</v>
      </c>
      <c r="I102" s="61">
        <f t="shared" si="24"/>
        <v>0</v>
      </c>
      <c r="J102" s="61">
        <f t="shared" si="24"/>
        <v>0</v>
      </c>
      <c r="K102" s="61">
        <f t="shared" si="24"/>
        <v>0</v>
      </c>
      <c r="L102" s="61">
        <f t="shared" si="24"/>
        <v>0</v>
      </c>
      <c r="M102" s="61">
        <f t="shared" si="24"/>
        <v>0</v>
      </c>
      <c r="N102" s="61">
        <f t="shared" si="24"/>
        <v>0</v>
      </c>
      <c r="O102" s="61">
        <f t="shared" si="24"/>
        <v>0</v>
      </c>
      <c r="P102" s="61">
        <f t="shared" si="24"/>
        <v>0</v>
      </c>
      <c r="Q102" s="61">
        <f t="shared" si="24"/>
        <v>0</v>
      </c>
      <c r="R102" s="61">
        <f t="shared" si="24"/>
        <v>0</v>
      </c>
      <c r="S102" s="61">
        <f t="shared" si="24"/>
        <v>0</v>
      </c>
      <c r="T102" s="61">
        <f t="shared" si="24"/>
        <v>0</v>
      </c>
      <c r="U102" s="61">
        <f t="shared" si="24"/>
        <v>0</v>
      </c>
      <c r="V102" s="61">
        <f t="shared" si="24"/>
        <v>0</v>
      </c>
      <c r="W102" s="61">
        <f t="shared" si="24"/>
        <v>0</v>
      </c>
      <c r="X102" s="61">
        <f t="shared" si="24"/>
        <v>0</v>
      </c>
      <c r="Y102" s="61">
        <f t="shared" si="24"/>
        <v>0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0</v>
      </c>
      <c r="C103" s="61">
        <f t="shared" si="25"/>
        <v>0</v>
      </c>
      <c r="D103" s="61">
        <f t="shared" si="25"/>
        <v>0</v>
      </c>
      <c r="E103" s="61">
        <f t="shared" si="25"/>
        <v>0</v>
      </c>
      <c r="F103" s="61">
        <f t="shared" si="25"/>
        <v>0</v>
      </c>
      <c r="G103" s="61">
        <f t="shared" si="25"/>
        <v>0</v>
      </c>
      <c r="H103" s="61">
        <f t="shared" si="25"/>
        <v>0</v>
      </c>
      <c r="I103" s="61">
        <f t="shared" si="25"/>
        <v>0</v>
      </c>
      <c r="J103" s="61">
        <f t="shared" si="25"/>
        <v>0</v>
      </c>
      <c r="K103" s="61">
        <f t="shared" si="25"/>
        <v>0</v>
      </c>
      <c r="L103" s="61">
        <f t="shared" si="25"/>
        <v>0</v>
      </c>
      <c r="M103" s="61">
        <f t="shared" si="25"/>
        <v>0</v>
      </c>
      <c r="N103" s="61">
        <f t="shared" si="25"/>
        <v>0</v>
      </c>
      <c r="O103" s="61">
        <f t="shared" si="25"/>
        <v>0</v>
      </c>
      <c r="P103" s="61">
        <f t="shared" si="25"/>
        <v>0</v>
      </c>
      <c r="Q103" s="61">
        <f t="shared" si="25"/>
        <v>0</v>
      </c>
      <c r="R103" s="61">
        <f t="shared" si="25"/>
        <v>0</v>
      </c>
      <c r="S103" s="61">
        <f t="shared" si="25"/>
        <v>0</v>
      </c>
      <c r="T103" s="61">
        <f t="shared" si="25"/>
        <v>0</v>
      </c>
      <c r="U103" s="61">
        <f t="shared" si="25"/>
        <v>0</v>
      </c>
      <c r="V103" s="61">
        <f t="shared" si="25"/>
        <v>0</v>
      </c>
      <c r="W103" s="61">
        <f t="shared" si="25"/>
        <v>0</v>
      </c>
      <c r="X103" s="61">
        <f t="shared" si="25"/>
        <v>0</v>
      </c>
      <c r="Y103" s="61">
        <f t="shared" si="25"/>
        <v>0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0</v>
      </c>
      <c r="C104" s="61">
        <f t="shared" si="26"/>
        <v>0</v>
      </c>
      <c r="D104" s="61">
        <f t="shared" si="26"/>
        <v>0</v>
      </c>
      <c r="E104" s="61">
        <f t="shared" si="26"/>
        <v>0</v>
      </c>
      <c r="F104" s="61">
        <f t="shared" si="26"/>
        <v>0</v>
      </c>
      <c r="G104" s="61">
        <f t="shared" si="26"/>
        <v>0</v>
      </c>
      <c r="H104" s="61">
        <f t="shared" si="26"/>
        <v>0</v>
      </c>
      <c r="I104" s="61">
        <f t="shared" si="26"/>
        <v>0</v>
      </c>
      <c r="J104" s="61">
        <f t="shared" si="26"/>
        <v>0</v>
      </c>
      <c r="K104" s="61">
        <f t="shared" si="26"/>
        <v>0</v>
      </c>
      <c r="L104" s="61">
        <f t="shared" si="26"/>
        <v>0</v>
      </c>
      <c r="M104" s="61">
        <f t="shared" si="26"/>
        <v>0</v>
      </c>
      <c r="N104" s="61">
        <f t="shared" si="26"/>
        <v>0</v>
      </c>
      <c r="O104" s="61">
        <f t="shared" si="26"/>
        <v>0</v>
      </c>
      <c r="P104" s="61">
        <f t="shared" si="26"/>
        <v>0</v>
      </c>
      <c r="Q104" s="61">
        <f t="shared" si="26"/>
        <v>0</v>
      </c>
      <c r="R104" s="61">
        <f t="shared" si="26"/>
        <v>0</v>
      </c>
      <c r="S104" s="61">
        <f t="shared" si="26"/>
        <v>0</v>
      </c>
      <c r="T104" s="61">
        <f t="shared" si="26"/>
        <v>0</v>
      </c>
      <c r="U104" s="61">
        <f t="shared" si="26"/>
        <v>0</v>
      </c>
      <c r="V104" s="61">
        <f t="shared" si="26"/>
        <v>0</v>
      </c>
      <c r="W104" s="61">
        <f t="shared" si="26"/>
        <v>0</v>
      </c>
      <c r="X104" s="61">
        <f t="shared" si="26"/>
        <v>0</v>
      </c>
      <c r="Y104" s="61">
        <f t="shared" si="26"/>
        <v>0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0</v>
      </c>
      <c r="C105" s="61">
        <f t="shared" si="27"/>
        <v>0</v>
      </c>
      <c r="D105" s="61">
        <f t="shared" si="27"/>
        <v>0</v>
      </c>
      <c r="E105" s="61">
        <f t="shared" si="27"/>
        <v>0</v>
      </c>
      <c r="F105" s="61">
        <f t="shared" si="27"/>
        <v>0</v>
      </c>
      <c r="G105" s="61">
        <f t="shared" si="27"/>
        <v>0</v>
      </c>
      <c r="H105" s="61">
        <f t="shared" si="27"/>
        <v>0</v>
      </c>
      <c r="I105" s="61">
        <f t="shared" si="27"/>
        <v>0</v>
      </c>
      <c r="J105" s="61">
        <f t="shared" si="27"/>
        <v>0</v>
      </c>
      <c r="K105" s="61">
        <f t="shared" si="27"/>
        <v>0</v>
      </c>
      <c r="L105" s="61">
        <f t="shared" si="27"/>
        <v>0</v>
      </c>
      <c r="M105" s="61">
        <f t="shared" si="27"/>
        <v>0</v>
      </c>
      <c r="N105" s="61">
        <f t="shared" si="27"/>
        <v>0</v>
      </c>
      <c r="O105" s="61">
        <f t="shared" si="27"/>
        <v>0</v>
      </c>
      <c r="P105" s="61">
        <f t="shared" si="27"/>
        <v>0</v>
      </c>
      <c r="Q105" s="61">
        <f t="shared" si="27"/>
        <v>0</v>
      </c>
      <c r="R105" s="61">
        <f t="shared" si="27"/>
        <v>0</v>
      </c>
      <c r="S105" s="61">
        <f t="shared" si="27"/>
        <v>0</v>
      </c>
      <c r="T105" s="61">
        <f t="shared" si="27"/>
        <v>0</v>
      </c>
      <c r="U105" s="61">
        <f t="shared" si="27"/>
        <v>0</v>
      </c>
      <c r="V105" s="61">
        <f t="shared" si="27"/>
        <v>0</v>
      </c>
      <c r="W105" s="61">
        <f t="shared" si="27"/>
        <v>0</v>
      </c>
      <c r="X105" s="61">
        <f t="shared" si="27"/>
        <v>0</v>
      </c>
      <c r="Y105" s="61">
        <f t="shared" si="27"/>
        <v>0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0</v>
      </c>
      <c r="C106" s="61">
        <f t="shared" si="28"/>
        <v>0</v>
      </c>
      <c r="D106" s="61">
        <f t="shared" si="28"/>
        <v>0</v>
      </c>
      <c r="E106" s="61">
        <f t="shared" si="28"/>
        <v>0</v>
      </c>
      <c r="F106" s="61">
        <f t="shared" si="28"/>
        <v>0</v>
      </c>
      <c r="G106" s="61">
        <f t="shared" si="28"/>
        <v>0</v>
      </c>
      <c r="H106" s="61">
        <f t="shared" si="28"/>
        <v>0</v>
      </c>
      <c r="I106" s="61">
        <f t="shared" si="28"/>
        <v>0</v>
      </c>
      <c r="J106" s="61">
        <f t="shared" si="28"/>
        <v>0</v>
      </c>
      <c r="K106" s="61">
        <f t="shared" si="28"/>
        <v>0</v>
      </c>
      <c r="L106" s="61">
        <f t="shared" si="28"/>
        <v>0</v>
      </c>
      <c r="M106" s="61">
        <f t="shared" si="28"/>
        <v>0</v>
      </c>
      <c r="N106" s="61">
        <f t="shared" si="28"/>
        <v>0</v>
      </c>
      <c r="O106" s="61">
        <f t="shared" si="28"/>
        <v>0</v>
      </c>
      <c r="P106" s="61">
        <f t="shared" si="28"/>
        <v>0</v>
      </c>
      <c r="Q106" s="61">
        <f t="shared" si="28"/>
        <v>0</v>
      </c>
      <c r="R106" s="61">
        <f t="shared" si="28"/>
        <v>0</v>
      </c>
      <c r="S106" s="61">
        <f t="shared" si="28"/>
        <v>0</v>
      </c>
      <c r="T106" s="61">
        <f t="shared" si="28"/>
        <v>0</v>
      </c>
      <c r="U106" s="61">
        <f t="shared" si="28"/>
        <v>0</v>
      </c>
      <c r="V106" s="61">
        <f t="shared" si="28"/>
        <v>0</v>
      </c>
      <c r="W106" s="61">
        <f t="shared" si="28"/>
        <v>0</v>
      </c>
      <c r="X106" s="61">
        <f t="shared" si="28"/>
        <v>0</v>
      </c>
      <c r="Y106" s="61">
        <f t="shared" si="28"/>
        <v>0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0</v>
      </c>
      <c r="C107" s="61">
        <f t="shared" si="29"/>
        <v>0</v>
      </c>
      <c r="D107" s="61">
        <f t="shared" si="29"/>
        <v>0</v>
      </c>
      <c r="E107" s="61">
        <f t="shared" si="29"/>
        <v>0</v>
      </c>
      <c r="F107" s="61">
        <f t="shared" si="29"/>
        <v>0</v>
      </c>
      <c r="G107" s="61">
        <f t="shared" si="29"/>
        <v>0</v>
      </c>
      <c r="H107" s="61">
        <f t="shared" si="29"/>
        <v>0</v>
      </c>
      <c r="I107" s="61">
        <f t="shared" si="29"/>
        <v>0</v>
      </c>
      <c r="J107" s="61">
        <f t="shared" si="29"/>
        <v>0</v>
      </c>
      <c r="K107" s="61">
        <f t="shared" si="29"/>
        <v>0</v>
      </c>
      <c r="L107" s="61">
        <f t="shared" si="29"/>
        <v>0</v>
      </c>
      <c r="M107" s="61">
        <f t="shared" si="29"/>
        <v>0</v>
      </c>
      <c r="N107" s="61">
        <f t="shared" si="29"/>
        <v>0</v>
      </c>
      <c r="O107" s="61">
        <f t="shared" si="29"/>
        <v>0</v>
      </c>
      <c r="P107" s="61">
        <f t="shared" si="29"/>
        <v>0</v>
      </c>
      <c r="Q107" s="61">
        <f t="shared" si="29"/>
        <v>0</v>
      </c>
      <c r="R107" s="61">
        <f t="shared" si="29"/>
        <v>0</v>
      </c>
      <c r="S107" s="61">
        <f t="shared" si="29"/>
        <v>0</v>
      </c>
      <c r="T107" s="61">
        <f t="shared" si="29"/>
        <v>0</v>
      </c>
      <c r="U107" s="61">
        <f t="shared" si="29"/>
        <v>0</v>
      </c>
      <c r="V107" s="61">
        <f t="shared" si="29"/>
        <v>0</v>
      </c>
      <c r="W107" s="61">
        <f t="shared" si="29"/>
        <v>0</v>
      </c>
      <c r="X107" s="61">
        <f t="shared" si="29"/>
        <v>0</v>
      </c>
      <c r="Y107" s="61">
        <f t="shared" si="29"/>
        <v>0</v>
      </c>
    </row>
    <row r="108" spans="1:33" x14ac:dyDescent="0.25">
      <c r="A108" s="128" t="str">
        <f>A$24</f>
        <v>lot10</v>
      </c>
      <c r="B108" s="61">
        <f t="shared" ref="B108:Y108" si="30">VLOOKUP(B97,$AD$6:$AF$10,3)</f>
        <v>0</v>
      </c>
      <c r="C108" s="61">
        <f t="shared" si="30"/>
        <v>0</v>
      </c>
      <c r="D108" s="61">
        <f t="shared" si="30"/>
        <v>0</v>
      </c>
      <c r="E108" s="61">
        <f t="shared" si="30"/>
        <v>0</v>
      </c>
      <c r="F108" s="61">
        <f t="shared" si="30"/>
        <v>0</v>
      </c>
      <c r="G108" s="61">
        <f t="shared" si="30"/>
        <v>0</v>
      </c>
      <c r="H108" s="61">
        <f t="shared" si="30"/>
        <v>0</v>
      </c>
      <c r="I108" s="61">
        <f t="shared" si="30"/>
        <v>0</v>
      </c>
      <c r="J108" s="61">
        <f t="shared" si="30"/>
        <v>0</v>
      </c>
      <c r="K108" s="61">
        <f t="shared" si="30"/>
        <v>0</v>
      </c>
      <c r="L108" s="61">
        <f t="shared" si="30"/>
        <v>0</v>
      </c>
      <c r="M108" s="61">
        <f t="shared" si="30"/>
        <v>0</v>
      </c>
      <c r="N108" s="61">
        <f t="shared" si="30"/>
        <v>0</v>
      </c>
      <c r="O108" s="61">
        <f t="shared" si="30"/>
        <v>0</v>
      </c>
      <c r="P108" s="61">
        <f t="shared" si="30"/>
        <v>0</v>
      </c>
      <c r="Q108" s="61">
        <f t="shared" si="30"/>
        <v>0</v>
      </c>
      <c r="R108" s="61">
        <f t="shared" si="30"/>
        <v>0</v>
      </c>
      <c r="S108" s="61">
        <f t="shared" si="30"/>
        <v>0</v>
      </c>
      <c r="T108" s="61">
        <f t="shared" si="30"/>
        <v>0</v>
      </c>
      <c r="U108" s="61">
        <f t="shared" si="30"/>
        <v>0</v>
      </c>
      <c r="V108" s="61">
        <f t="shared" si="30"/>
        <v>0</v>
      </c>
      <c r="W108" s="61">
        <f t="shared" si="30"/>
        <v>0</v>
      </c>
      <c r="X108" s="61">
        <f t="shared" si="30"/>
        <v>0</v>
      </c>
      <c r="Y108" s="61">
        <f t="shared" si="30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1">(B39*B$3*B99)/1000</f>
        <v>0</v>
      </c>
      <c r="C110" s="61">
        <f t="shared" si="31"/>
        <v>0</v>
      </c>
      <c r="D110" s="61">
        <f t="shared" si="31"/>
        <v>0</v>
      </c>
      <c r="E110" s="61">
        <f t="shared" si="31"/>
        <v>0</v>
      </c>
      <c r="F110" s="61">
        <f t="shared" si="31"/>
        <v>0</v>
      </c>
      <c r="G110" s="61">
        <f t="shared" si="31"/>
        <v>0</v>
      </c>
      <c r="H110" s="61">
        <f t="shared" si="31"/>
        <v>0</v>
      </c>
      <c r="I110" s="61">
        <f t="shared" si="31"/>
        <v>0</v>
      </c>
      <c r="J110" s="61">
        <f t="shared" si="31"/>
        <v>0</v>
      </c>
      <c r="K110" s="61">
        <f t="shared" si="31"/>
        <v>0</v>
      </c>
      <c r="L110" s="61">
        <f t="shared" si="31"/>
        <v>0</v>
      </c>
      <c r="M110" s="61">
        <f t="shared" si="31"/>
        <v>0</v>
      </c>
      <c r="N110" s="61">
        <f t="shared" si="31"/>
        <v>0</v>
      </c>
      <c r="O110" s="61">
        <f t="shared" si="31"/>
        <v>0</v>
      </c>
      <c r="P110" s="61">
        <f t="shared" si="31"/>
        <v>0</v>
      </c>
      <c r="Q110" s="61">
        <f t="shared" si="31"/>
        <v>0</v>
      </c>
      <c r="R110" s="61">
        <f t="shared" si="31"/>
        <v>0</v>
      </c>
      <c r="S110" s="61">
        <f t="shared" si="31"/>
        <v>0</v>
      </c>
      <c r="T110" s="61">
        <f t="shared" si="31"/>
        <v>0</v>
      </c>
      <c r="U110" s="61">
        <f t="shared" si="31"/>
        <v>0</v>
      </c>
      <c r="V110" s="61">
        <f t="shared" si="31"/>
        <v>0</v>
      </c>
      <c r="W110" s="61">
        <f t="shared" si="31"/>
        <v>0</v>
      </c>
      <c r="X110" s="61">
        <f t="shared" si="31"/>
        <v>0</v>
      </c>
      <c r="Y110" s="61">
        <f t="shared" si="31"/>
        <v>0</v>
      </c>
    </row>
    <row r="111" spans="1:33" x14ac:dyDescent="0.25">
      <c r="A111" s="128" t="str">
        <f>A$16</f>
        <v>lot2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</v>
      </c>
      <c r="H111" s="61">
        <f t="shared" si="31"/>
        <v>0</v>
      </c>
      <c r="I111" s="61">
        <f t="shared" si="31"/>
        <v>0</v>
      </c>
      <c r="J111" s="61">
        <f t="shared" si="31"/>
        <v>0</v>
      </c>
      <c r="K111" s="61">
        <f t="shared" si="31"/>
        <v>0</v>
      </c>
      <c r="L111" s="61">
        <f t="shared" si="31"/>
        <v>0</v>
      </c>
      <c r="M111" s="61">
        <f t="shared" si="31"/>
        <v>0</v>
      </c>
      <c r="N111" s="61">
        <f t="shared" si="31"/>
        <v>0</v>
      </c>
      <c r="O111" s="61">
        <f t="shared" si="31"/>
        <v>0</v>
      </c>
      <c r="P111" s="61">
        <f t="shared" si="31"/>
        <v>0</v>
      </c>
      <c r="Q111" s="61">
        <f t="shared" si="31"/>
        <v>0</v>
      </c>
      <c r="R111" s="61">
        <f t="shared" si="31"/>
        <v>0</v>
      </c>
      <c r="S111" s="61">
        <f t="shared" si="31"/>
        <v>0</v>
      </c>
      <c r="T111" s="61">
        <f t="shared" si="31"/>
        <v>0</v>
      </c>
      <c r="U111" s="61">
        <f t="shared" si="31"/>
        <v>0</v>
      </c>
      <c r="V111" s="61">
        <f t="shared" si="31"/>
        <v>0</v>
      </c>
      <c r="W111" s="61">
        <f t="shared" si="31"/>
        <v>0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lot3</v>
      </c>
      <c r="B112" s="61">
        <f t="shared" si="31"/>
        <v>0</v>
      </c>
      <c r="C112" s="61">
        <f t="shared" si="31"/>
        <v>0</v>
      </c>
      <c r="D112" s="61">
        <f t="shared" si="31"/>
        <v>0</v>
      </c>
      <c r="E112" s="61">
        <f t="shared" si="31"/>
        <v>0</v>
      </c>
      <c r="F112" s="61">
        <f t="shared" si="31"/>
        <v>0</v>
      </c>
      <c r="G112" s="61">
        <f t="shared" si="31"/>
        <v>0</v>
      </c>
      <c r="H112" s="61">
        <f t="shared" si="31"/>
        <v>0</v>
      </c>
      <c r="I112" s="61">
        <f t="shared" si="31"/>
        <v>0</v>
      </c>
      <c r="J112" s="61">
        <f t="shared" si="31"/>
        <v>0</v>
      </c>
      <c r="K112" s="61">
        <f t="shared" si="31"/>
        <v>0</v>
      </c>
      <c r="L112" s="61">
        <f t="shared" si="31"/>
        <v>0</v>
      </c>
      <c r="M112" s="61">
        <f t="shared" si="31"/>
        <v>0</v>
      </c>
      <c r="N112" s="61">
        <f t="shared" si="31"/>
        <v>0</v>
      </c>
      <c r="O112" s="61">
        <f t="shared" si="31"/>
        <v>0</v>
      </c>
      <c r="P112" s="61">
        <f t="shared" si="31"/>
        <v>0</v>
      </c>
      <c r="Q112" s="61">
        <f t="shared" si="31"/>
        <v>0</v>
      </c>
      <c r="R112" s="61">
        <f t="shared" si="31"/>
        <v>0</v>
      </c>
      <c r="S112" s="61">
        <f t="shared" si="31"/>
        <v>0</v>
      </c>
      <c r="T112" s="61">
        <f t="shared" si="31"/>
        <v>0</v>
      </c>
      <c r="U112" s="61">
        <f t="shared" si="31"/>
        <v>0</v>
      </c>
      <c r="V112" s="61">
        <f t="shared" si="31"/>
        <v>0</v>
      </c>
      <c r="W112" s="61">
        <f t="shared" si="31"/>
        <v>0</v>
      </c>
      <c r="X112" s="61">
        <f t="shared" si="31"/>
        <v>0</v>
      </c>
      <c r="Y112" s="61">
        <f t="shared" si="31"/>
        <v>0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2">SUM(C110:C119)</f>
        <v>0</v>
      </c>
      <c r="D120" s="61">
        <f t="shared" si="32"/>
        <v>0</v>
      </c>
      <c r="E120" s="61">
        <f t="shared" si="32"/>
        <v>0</v>
      </c>
      <c r="F120" s="61">
        <f t="shared" si="32"/>
        <v>0</v>
      </c>
      <c r="G120" s="61">
        <f t="shared" si="32"/>
        <v>0</v>
      </c>
      <c r="H120" s="61">
        <f t="shared" si="32"/>
        <v>0</v>
      </c>
      <c r="I120" s="61">
        <f t="shared" si="32"/>
        <v>0</v>
      </c>
      <c r="J120" s="61">
        <f t="shared" si="32"/>
        <v>0</v>
      </c>
      <c r="K120" s="61">
        <f t="shared" si="32"/>
        <v>0</v>
      </c>
      <c r="L120" s="61">
        <f t="shared" si="32"/>
        <v>0</v>
      </c>
      <c r="M120" s="61">
        <f t="shared" si="32"/>
        <v>0</v>
      </c>
      <c r="N120" s="61">
        <f t="shared" si="32"/>
        <v>0</v>
      </c>
      <c r="O120" s="61">
        <f t="shared" si="32"/>
        <v>0</v>
      </c>
      <c r="P120" s="61">
        <f t="shared" si="32"/>
        <v>0</v>
      </c>
      <c r="Q120" s="61">
        <f t="shared" si="32"/>
        <v>0</v>
      </c>
      <c r="R120" s="61">
        <f t="shared" si="32"/>
        <v>0</v>
      </c>
      <c r="S120" s="61">
        <f t="shared" si="32"/>
        <v>0</v>
      </c>
      <c r="T120" s="61">
        <f t="shared" si="32"/>
        <v>0</v>
      </c>
      <c r="U120" s="61">
        <f t="shared" si="32"/>
        <v>0</v>
      </c>
      <c r="V120" s="61">
        <f t="shared" si="32"/>
        <v>0</v>
      </c>
      <c r="W120" s="61">
        <f t="shared" si="32"/>
        <v>0</v>
      </c>
      <c r="X120" s="61">
        <f t="shared" si="32"/>
        <v>0</v>
      </c>
      <c r="Y120" s="61">
        <f t="shared" si="32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3">C110*(1-C123)</f>
        <v>0</v>
      </c>
      <c r="D136" s="61">
        <f t="shared" si="33"/>
        <v>0</v>
      </c>
      <c r="E136" s="61">
        <f t="shared" si="33"/>
        <v>0</v>
      </c>
      <c r="F136" s="61">
        <f t="shared" si="33"/>
        <v>0</v>
      </c>
      <c r="G136" s="61">
        <f t="shared" si="33"/>
        <v>0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0</v>
      </c>
      <c r="U136" s="61">
        <f t="shared" si="33"/>
        <v>0</v>
      </c>
      <c r="V136" s="61">
        <f t="shared" si="33"/>
        <v>0</v>
      </c>
      <c r="W136" s="61">
        <f t="shared" si="33"/>
        <v>0</v>
      </c>
      <c r="X136" s="61">
        <f t="shared" si="33"/>
        <v>0</v>
      </c>
      <c r="Y136" s="61">
        <f t="shared" si="33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0</v>
      </c>
      <c r="H137" s="61">
        <f t="shared" si="34"/>
        <v>0</v>
      </c>
      <c r="I137" s="61">
        <f t="shared" si="34"/>
        <v>0</v>
      </c>
      <c r="J137" s="61">
        <f t="shared" si="34"/>
        <v>0</v>
      </c>
      <c r="K137" s="61">
        <f t="shared" si="34"/>
        <v>0</v>
      </c>
      <c r="L137" s="61">
        <f t="shared" si="34"/>
        <v>0</v>
      </c>
      <c r="M137" s="61">
        <f t="shared" si="34"/>
        <v>0</v>
      </c>
      <c r="N137" s="61">
        <f t="shared" si="34"/>
        <v>0</v>
      </c>
      <c r="O137" s="61">
        <f t="shared" si="34"/>
        <v>0</v>
      </c>
      <c r="P137" s="61">
        <f t="shared" si="34"/>
        <v>0</v>
      </c>
      <c r="Q137" s="61">
        <f t="shared" si="34"/>
        <v>0</v>
      </c>
      <c r="R137" s="61">
        <f t="shared" si="34"/>
        <v>0</v>
      </c>
      <c r="S137" s="61">
        <f t="shared" si="34"/>
        <v>0</v>
      </c>
      <c r="T137" s="61">
        <f t="shared" si="34"/>
        <v>0</v>
      </c>
      <c r="U137" s="61">
        <f t="shared" si="34"/>
        <v>0</v>
      </c>
      <c r="V137" s="61">
        <f t="shared" si="34"/>
        <v>0</v>
      </c>
      <c r="W137" s="61">
        <f t="shared" si="34"/>
        <v>0</v>
      </c>
      <c r="X137" s="61">
        <f t="shared" si="34"/>
        <v>0</v>
      </c>
      <c r="Y137" s="61">
        <f t="shared" si="34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4"/>
        <v>0</v>
      </c>
      <c r="C138" s="61">
        <f t="shared" si="34"/>
        <v>0</v>
      </c>
      <c r="D138" s="61">
        <f t="shared" si="34"/>
        <v>0</v>
      </c>
      <c r="E138" s="61">
        <f t="shared" si="34"/>
        <v>0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0</v>
      </c>
      <c r="Y138" s="61">
        <f t="shared" si="34"/>
        <v>0</v>
      </c>
      <c r="AA138" s="61">
        <f t="shared" ref="AA138:AA144" si="35">SUM(B138:Y138)</f>
        <v>0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0</v>
      </c>
      <c r="I149" s="61">
        <f t="shared" si="37"/>
        <v>0</v>
      </c>
      <c r="J149" s="61">
        <f t="shared" si="37"/>
        <v>0</v>
      </c>
      <c r="K149" s="61">
        <f t="shared" si="37"/>
        <v>0</v>
      </c>
      <c r="L149" s="61">
        <f t="shared" si="37"/>
        <v>0</v>
      </c>
      <c r="M149" s="61">
        <f t="shared" si="37"/>
        <v>0</v>
      </c>
      <c r="N149" s="61">
        <f t="shared" si="37"/>
        <v>0</v>
      </c>
      <c r="O149" s="61">
        <f t="shared" si="37"/>
        <v>0</v>
      </c>
      <c r="P149" s="61">
        <f t="shared" si="37"/>
        <v>0</v>
      </c>
      <c r="Q149" s="61">
        <f t="shared" si="37"/>
        <v>0</v>
      </c>
      <c r="R149" s="61">
        <f t="shared" si="37"/>
        <v>0</v>
      </c>
      <c r="S149" s="61">
        <f t="shared" si="37"/>
        <v>0</v>
      </c>
      <c r="T149" s="61">
        <f t="shared" si="37"/>
        <v>0</v>
      </c>
      <c r="U149" s="61">
        <f t="shared" si="37"/>
        <v>0</v>
      </c>
      <c r="V149" s="61">
        <f t="shared" si="37"/>
        <v>0</v>
      </c>
      <c r="W149" s="61">
        <f t="shared" si="37"/>
        <v>0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lot2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0</v>
      </c>
      <c r="H150" s="61">
        <f t="shared" si="38"/>
        <v>0</v>
      </c>
      <c r="I150" s="61">
        <f t="shared" si="38"/>
        <v>0</v>
      </c>
      <c r="J150" s="61">
        <f t="shared" si="38"/>
        <v>0</v>
      </c>
      <c r="K150" s="61">
        <f t="shared" si="38"/>
        <v>0</v>
      </c>
      <c r="L150" s="61">
        <f t="shared" si="38"/>
        <v>0</v>
      </c>
      <c r="M150" s="61">
        <f t="shared" si="38"/>
        <v>0</v>
      </c>
      <c r="N150" s="61">
        <f t="shared" si="38"/>
        <v>0</v>
      </c>
      <c r="O150" s="61">
        <f t="shared" si="38"/>
        <v>0</v>
      </c>
      <c r="P150" s="61">
        <f t="shared" si="38"/>
        <v>0</v>
      </c>
      <c r="Q150" s="61">
        <f t="shared" si="38"/>
        <v>0</v>
      </c>
      <c r="R150" s="61">
        <f t="shared" si="38"/>
        <v>0</v>
      </c>
      <c r="S150" s="61">
        <f t="shared" si="38"/>
        <v>0</v>
      </c>
      <c r="T150" s="61">
        <f t="shared" si="38"/>
        <v>0</v>
      </c>
      <c r="U150" s="61">
        <f t="shared" si="38"/>
        <v>0</v>
      </c>
      <c r="V150" s="61">
        <f t="shared" si="38"/>
        <v>0</v>
      </c>
      <c r="W150" s="61">
        <f t="shared" si="38"/>
        <v>0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lot3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0</v>
      </c>
      <c r="G151" s="61">
        <f t="shared" si="39"/>
        <v>0</v>
      </c>
      <c r="H151" s="61">
        <f t="shared" si="39"/>
        <v>0</v>
      </c>
      <c r="I151" s="61">
        <f t="shared" si="39"/>
        <v>0</v>
      </c>
      <c r="J151" s="61">
        <f t="shared" si="39"/>
        <v>0</v>
      </c>
      <c r="K151" s="61">
        <f t="shared" si="39"/>
        <v>0</v>
      </c>
      <c r="L151" s="61">
        <f t="shared" si="39"/>
        <v>0</v>
      </c>
      <c r="M151" s="61">
        <f t="shared" si="39"/>
        <v>0</v>
      </c>
      <c r="N151" s="61">
        <f t="shared" si="39"/>
        <v>0</v>
      </c>
      <c r="O151" s="61">
        <f t="shared" si="39"/>
        <v>0</v>
      </c>
      <c r="P151" s="61">
        <f t="shared" si="39"/>
        <v>0</v>
      </c>
      <c r="Q151" s="61">
        <f t="shared" si="39"/>
        <v>0</v>
      </c>
      <c r="R151" s="61">
        <f t="shared" si="39"/>
        <v>0</v>
      </c>
      <c r="S151" s="61">
        <f t="shared" si="39"/>
        <v>0</v>
      </c>
      <c r="T151" s="61">
        <f t="shared" si="39"/>
        <v>0</v>
      </c>
      <c r="U151" s="61">
        <f t="shared" si="39"/>
        <v>0</v>
      </c>
      <c r="V151" s="61">
        <f t="shared" si="39"/>
        <v>0</v>
      </c>
      <c r="W151" s="61">
        <f t="shared" si="39"/>
        <v>0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0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lot2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</v>
      </c>
      <c r="I163" s="61">
        <f t="shared" si="48"/>
        <v>0</v>
      </c>
      <c r="J163" s="61">
        <f t="shared" si="48"/>
        <v>0</v>
      </c>
      <c r="K163" s="61">
        <f t="shared" si="48"/>
        <v>0</v>
      </c>
      <c r="L163" s="61">
        <f t="shared" si="48"/>
        <v>0</v>
      </c>
      <c r="M163" s="61">
        <f t="shared" si="48"/>
        <v>0</v>
      </c>
      <c r="N163" s="61">
        <f t="shared" si="48"/>
        <v>0</v>
      </c>
      <c r="O163" s="61">
        <f t="shared" si="48"/>
        <v>0</v>
      </c>
      <c r="P163" s="61">
        <f t="shared" si="48"/>
        <v>0</v>
      </c>
      <c r="Q163" s="61">
        <f t="shared" si="48"/>
        <v>0</v>
      </c>
      <c r="R163" s="61">
        <f t="shared" si="48"/>
        <v>0</v>
      </c>
      <c r="S163" s="61">
        <f t="shared" si="48"/>
        <v>0</v>
      </c>
      <c r="T163" s="61">
        <f t="shared" si="48"/>
        <v>0</v>
      </c>
      <c r="U163" s="61">
        <f t="shared" si="48"/>
        <v>0</v>
      </c>
      <c r="V163" s="61">
        <f t="shared" si="48"/>
        <v>0</v>
      </c>
      <c r="W163" s="61">
        <f t="shared" si="48"/>
        <v>0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lot3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0</v>
      </c>
      <c r="V164" s="61">
        <f t="shared" si="49"/>
        <v>0</v>
      </c>
      <c r="W164" s="61">
        <f t="shared" si="49"/>
        <v>0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0</v>
      </c>
      <c r="I172" s="61">
        <f t="shared" si="57"/>
        <v>0</v>
      </c>
      <c r="J172" s="61">
        <f t="shared" si="57"/>
        <v>0</v>
      </c>
      <c r="K172" s="61">
        <f t="shared" si="57"/>
        <v>0</v>
      </c>
      <c r="L172" s="61">
        <f t="shared" si="57"/>
        <v>0</v>
      </c>
      <c r="M172" s="61">
        <f t="shared" si="57"/>
        <v>0</v>
      </c>
      <c r="N172" s="61">
        <f t="shared" si="57"/>
        <v>0</v>
      </c>
      <c r="O172" s="61">
        <f t="shared" si="57"/>
        <v>0</v>
      </c>
      <c r="P172" s="61">
        <f t="shared" si="57"/>
        <v>0</v>
      </c>
      <c r="Q172" s="61">
        <f t="shared" si="57"/>
        <v>0</v>
      </c>
      <c r="R172" s="61">
        <f t="shared" si="57"/>
        <v>0</v>
      </c>
      <c r="S172" s="61">
        <f t="shared" si="57"/>
        <v>0</v>
      </c>
      <c r="T172" s="61">
        <f t="shared" si="57"/>
        <v>0</v>
      </c>
      <c r="U172" s="61">
        <f t="shared" si="57"/>
        <v>0</v>
      </c>
      <c r="V172" s="61">
        <f t="shared" si="57"/>
        <v>0</v>
      </c>
      <c r="W172" s="61">
        <f t="shared" si="57"/>
        <v>0</v>
      </c>
      <c r="X172" s="61">
        <f t="shared" si="57"/>
        <v>0</v>
      </c>
      <c r="Y172" s="61">
        <f t="shared" si="57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0</v>
      </c>
      <c r="K175" s="61">
        <f t="shared" si="58"/>
        <v>0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lot2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lot3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0</v>
      </c>
      <c r="G177" s="61">
        <f t="shared" si="60"/>
        <v>0</v>
      </c>
      <c r="H177" s="61">
        <f t="shared" si="60"/>
        <v>0</v>
      </c>
      <c r="I177" s="61">
        <f t="shared" si="60"/>
        <v>0</v>
      </c>
      <c r="J177" s="61">
        <f t="shared" si="60"/>
        <v>0</v>
      </c>
      <c r="K177" s="61">
        <f t="shared" si="60"/>
        <v>0</v>
      </c>
      <c r="L177" s="61">
        <f t="shared" si="60"/>
        <v>0</v>
      </c>
      <c r="M177" s="61">
        <f t="shared" si="60"/>
        <v>0</v>
      </c>
      <c r="N177" s="61">
        <f t="shared" si="60"/>
        <v>0</v>
      </c>
      <c r="O177" s="61">
        <f t="shared" si="60"/>
        <v>0</v>
      </c>
      <c r="P177" s="61">
        <f t="shared" si="60"/>
        <v>0</v>
      </c>
      <c r="Q177" s="61">
        <f t="shared" si="60"/>
        <v>0</v>
      </c>
      <c r="R177" s="61">
        <f t="shared" si="60"/>
        <v>0</v>
      </c>
      <c r="S177" s="61">
        <f t="shared" si="60"/>
        <v>0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317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lot2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lot3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lot2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lot3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0</v>
      </c>
      <c r="I215" s="61">
        <f t="shared" si="90"/>
        <v>0</v>
      </c>
      <c r="J215" s="61">
        <f t="shared" si="90"/>
        <v>0</v>
      </c>
      <c r="K215" s="61">
        <f t="shared" si="90"/>
        <v>0</v>
      </c>
      <c r="L215" s="61">
        <f t="shared" si="90"/>
        <v>0</v>
      </c>
      <c r="M215" s="61">
        <f t="shared" si="90"/>
        <v>0</v>
      </c>
      <c r="N215" s="61">
        <f t="shared" si="90"/>
        <v>0</v>
      </c>
      <c r="O215" s="61">
        <f t="shared" si="90"/>
        <v>0</v>
      </c>
      <c r="P215" s="61">
        <f t="shared" si="90"/>
        <v>0</v>
      </c>
      <c r="Q215" s="61">
        <f t="shared" si="90"/>
        <v>0</v>
      </c>
      <c r="R215" s="61">
        <f t="shared" si="90"/>
        <v>0</v>
      </c>
      <c r="S215" s="61">
        <f t="shared" si="90"/>
        <v>0</v>
      </c>
      <c r="T215" s="61">
        <f t="shared" si="90"/>
        <v>0</v>
      </c>
      <c r="U215" s="61">
        <f t="shared" si="90"/>
        <v>0</v>
      </c>
      <c r="V215" s="61">
        <f t="shared" si="90"/>
        <v>0</v>
      </c>
      <c r="W215" s="61">
        <f t="shared" si="90"/>
        <v>0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0</v>
      </c>
      <c r="G216" s="61">
        <f t="shared" si="91"/>
        <v>0</v>
      </c>
      <c r="H216" s="61">
        <f t="shared" si="91"/>
        <v>0</v>
      </c>
      <c r="I216" s="61">
        <f t="shared" si="91"/>
        <v>0</v>
      </c>
      <c r="J216" s="61">
        <f t="shared" si="91"/>
        <v>0</v>
      </c>
      <c r="K216" s="61">
        <f t="shared" si="91"/>
        <v>0</v>
      </c>
      <c r="L216" s="61">
        <f t="shared" si="91"/>
        <v>0</v>
      </c>
      <c r="M216" s="61">
        <f t="shared" si="91"/>
        <v>0</v>
      </c>
      <c r="N216" s="61">
        <f t="shared" si="91"/>
        <v>0</v>
      </c>
      <c r="O216" s="61">
        <f t="shared" si="91"/>
        <v>0</v>
      </c>
      <c r="P216" s="61">
        <f t="shared" si="91"/>
        <v>0</v>
      </c>
      <c r="Q216" s="61">
        <f t="shared" si="91"/>
        <v>0</v>
      </c>
      <c r="R216" s="61">
        <f t="shared" si="91"/>
        <v>0</v>
      </c>
      <c r="S216" s="61">
        <f t="shared" si="91"/>
        <v>0</v>
      </c>
      <c r="T216" s="61">
        <f t="shared" si="91"/>
        <v>0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F15" sqref="F15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96" t="s">
        <v>2</v>
      </c>
      <c r="H1" s="296"/>
      <c r="I1" s="296" t="s">
        <v>0</v>
      </c>
      <c r="J1" s="296"/>
      <c r="K1" s="296" t="s">
        <v>1</v>
      </c>
      <c r="L1" s="296"/>
      <c r="M1" s="296" t="s">
        <v>3</v>
      </c>
      <c r="N1" s="296"/>
      <c r="O1" s="296" t="s">
        <v>4</v>
      </c>
      <c r="P1" s="296"/>
      <c r="Q1" s="296" t="s">
        <v>5</v>
      </c>
      <c r="R1" s="296"/>
      <c r="S1" s="296" t="s">
        <v>6</v>
      </c>
      <c r="T1" s="296"/>
      <c r="U1" s="296" t="s">
        <v>7</v>
      </c>
      <c r="V1" s="296"/>
      <c r="W1" s="296" t="s">
        <v>8</v>
      </c>
      <c r="X1" s="296"/>
      <c r="Y1" s="296" t="s">
        <v>9</v>
      </c>
      <c r="Z1" s="296"/>
      <c r="AA1" s="296" t="s">
        <v>10</v>
      </c>
      <c r="AB1" s="296"/>
      <c r="AC1" s="296" t="s">
        <v>11</v>
      </c>
      <c r="AD1" s="296"/>
      <c r="AE1" s="21"/>
      <c r="AF1" t="s">
        <v>176</v>
      </c>
    </row>
    <row r="2" spans="1:53" x14ac:dyDescent="0.25">
      <c r="A2" s="2" t="s">
        <v>299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242</v>
      </c>
      <c r="C3" s="143">
        <f>MAX(CdTrp1!AD56:AD57)+MAX(CdTrp2!AD56:AD57)+MAX(CdTrp3!AD56:AD57)+MAX(CdTrp4!AD56:AD57)</f>
        <v>50.268599999999992</v>
      </c>
      <c r="D3" t="s">
        <v>189</v>
      </c>
      <c r="F3" t="s">
        <v>175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293</v>
      </c>
      <c r="C4" s="143">
        <f>CdTrp1!AA147+CdTrp2!AA147+CdTrp3!AA147+CdTrp4!AA147</f>
        <v>156.8681046512209</v>
      </c>
      <c r="D4" t="s">
        <v>247</v>
      </c>
      <c r="F4" s="2" t="s">
        <v>422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284</v>
      </c>
      <c r="C5" s="143">
        <f>SUM(Troupeau!B65:E65)</f>
        <v>0</v>
      </c>
      <c r="D5" t="s">
        <v>189</v>
      </c>
      <c r="F5" s="38" t="s">
        <v>217</v>
      </c>
      <c r="G5" s="143">
        <f>CdTrp1!B215+CdTrp2!B215+CdTrp3!B215+CdTrp4!B215</f>
        <v>0</v>
      </c>
      <c r="H5" s="143">
        <f>CdTrp1!C215+CdTrp2!C215+CdTrp3!C215+CdTrp4!C215</f>
        <v>0</v>
      </c>
      <c r="I5" s="143">
        <f>CdTrp1!D215+CdTrp2!D215+CdTrp3!D215+CdTrp4!D215</f>
        <v>0.35025029565217397</v>
      </c>
      <c r="J5" s="143">
        <f>CdTrp1!E215+CdTrp2!E215+CdTrp3!E215+CdTrp4!E215</f>
        <v>0.35025029565217397</v>
      </c>
      <c r="K5" s="143">
        <f>CdTrp1!F215+CdTrp2!F215+CdTrp3!F215+CdTrp4!F215</f>
        <v>0.38777711304347828</v>
      </c>
      <c r="L5" s="143">
        <f>CdTrp1!G215+CdTrp2!G215+CdTrp3!G215+CdTrp4!G215</f>
        <v>5.8186343015652184</v>
      </c>
      <c r="M5" s="143">
        <f>CdTrp1!H215+CdTrp2!H215+CdTrp3!H215+CdTrp4!H215</f>
        <v>8.006711835652176</v>
      </c>
      <c r="N5" s="143">
        <f>CdTrp1!I215+CdTrp2!I215+CdTrp3!I215+CdTrp4!I215</f>
        <v>7.9838588504347836</v>
      </c>
      <c r="O5" s="143">
        <f>CdTrp1!J215+CdTrp2!J215+CdTrp3!J215+CdTrp4!J215</f>
        <v>6.5079109881739141</v>
      </c>
      <c r="P5" s="143">
        <f>CdTrp1!K215+CdTrp2!K215+CdTrp3!K215+CdTrp4!K215</f>
        <v>5.5896995280000006</v>
      </c>
      <c r="Q5" s="143">
        <f>CdTrp1!L215+CdTrp2!L215+CdTrp3!L215+CdTrp4!L215</f>
        <v>5.409386640000001</v>
      </c>
      <c r="R5" s="143">
        <f>CdTrp1!M215+CdTrp2!M215+CdTrp3!M215+CdTrp4!M215</f>
        <v>1.0937804347826088</v>
      </c>
      <c r="S5" s="143">
        <f>CdTrp1!N215+CdTrp2!N215+CdTrp3!N215+CdTrp4!N215</f>
        <v>1.1302397826086958</v>
      </c>
      <c r="T5" s="143">
        <f>CdTrp1!O215+CdTrp2!O215+CdTrp3!O215+CdTrp4!O215</f>
        <v>3.4607655326086957</v>
      </c>
      <c r="U5" s="143">
        <f>CdTrp1!P215+CdTrp2!P215+CdTrp3!P215+CdTrp4!P215</f>
        <v>3.4607655326086957</v>
      </c>
      <c r="V5" s="143">
        <f>CdTrp1!Q215+CdTrp2!Q215+CdTrp3!Q215+CdTrp4!Q215</f>
        <v>3.4607655326086957</v>
      </c>
      <c r="W5" s="143">
        <f>CdTrp1!R215+CdTrp2!R215+CdTrp3!R215+CdTrp4!R215</f>
        <v>1.0937804347826088</v>
      </c>
      <c r="X5" s="143">
        <f>CdTrp1!S215+CdTrp2!S215+CdTrp3!S215+CdTrp4!S215</f>
        <v>1.0937804347826088</v>
      </c>
      <c r="Y5" s="143">
        <f>CdTrp1!T215+CdTrp2!T215+CdTrp3!T215+CdTrp4!T215</f>
        <v>1.8988649307478269</v>
      </c>
      <c r="Z5" s="143">
        <f>CdTrp1!U215+CdTrp2!U215+CdTrp3!U215+CdTrp4!U215</f>
        <v>4.2762400787826094</v>
      </c>
      <c r="AA5" s="143">
        <f>CdTrp1!V215+CdTrp2!V215+CdTrp3!V215+CdTrp4!V215</f>
        <v>1.2967500000000001</v>
      </c>
      <c r="AB5" s="143">
        <f>CdTrp1!W215+CdTrp2!W215+CdTrp3!W215+CdTrp4!W215</f>
        <v>1.270815</v>
      </c>
      <c r="AC5" s="143">
        <f>CdTrp1!X215+CdTrp2!X215+CdTrp3!X215+CdTrp4!X215</f>
        <v>0</v>
      </c>
      <c r="AD5" s="143">
        <f>CdTrp1!Y215+CdTrp2!Y215+CdTrp3!Y215+CdTrp4!Y215</f>
        <v>0</v>
      </c>
      <c r="AE5" s="153"/>
      <c r="AF5" s="144">
        <f>AF8+AF9</f>
        <v>154.78711243596524</v>
      </c>
      <c r="AG5" t="s">
        <v>222</v>
      </c>
    </row>
    <row r="6" spans="1:53" x14ac:dyDescent="0.25">
      <c r="B6" s="14" t="s">
        <v>292</v>
      </c>
      <c r="C6" s="143">
        <f>SUM(Troupeau!B68:E68)</f>
        <v>11.97</v>
      </c>
      <c r="D6" t="s">
        <v>247</v>
      </c>
      <c r="F6" s="38" t="s">
        <v>218</v>
      </c>
      <c r="G6" s="143">
        <f>CdTrp1!B216+CdTrp2!B216+CdTrp3!B216+CdTrp4!B216</f>
        <v>0.93215652173913055</v>
      </c>
      <c r="H6" s="143">
        <f>CdTrp1!C216+CdTrp2!C216+CdTrp3!C216+CdTrp4!C216</f>
        <v>0.93215652173913055</v>
      </c>
      <c r="I6" s="143">
        <f>CdTrp1!D216+CdTrp2!D216+CdTrp3!D216+CdTrp4!D216</f>
        <v>0.84194782608695662</v>
      </c>
      <c r="J6" s="143">
        <f>CdTrp1!E216+CdTrp2!E216+CdTrp3!E216+CdTrp4!E216</f>
        <v>0.84194782608695662</v>
      </c>
      <c r="K6" s="143">
        <f>CdTrp1!F216+CdTrp2!F216+CdTrp3!F216+CdTrp4!F216</f>
        <v>1.5100935652173912</v>
      </c>
      <c r="L6" s="143">
        <f>CdTrp1!G216+CdTrp2!G216+CdTrp3!G216+CdTrp4!G216</f>
        <v>1.5100935652173912</v>
      </c>
      <c r="M6" s="143">
        <f>CdTrp1!H216+CdTrp2!H216+CdTrp3!H216+CdTrp4!H216</f>
        <v>1.4613808695652175</v>
      </c>
      <c r="N6" s="143">
        <f>CdTrp1!I216+CdTrp2!I216+CdTrp3!I216+CdTrp4!I216</f>
        <v>1.4613808695652175</v>
      </c>
      <c r="O6" s="143">
        <f>CdTrp1!J216+CdTrp2!J216+CdTrp3!J216+CdTrp4!J216</f>
        <v>3.6169017499999994</v>
      </c>
      <c r="P6" s="143">
        <f>CdTrp1!K216+CdTrp2!K216+CdTrp3!K216+CdTrp4!K216</f>
        <v>3.6169017499999994</v>
      </c>
      <c r="Q6" s="143">
        <f>CdTrp1!L216+CdTrp2!L216+CdTrp3!L216+CdTrp4!L216</f>
        <v>3.5002275000000003</v>
      </c>
      <c r="R6" s="143">
        <f>CdTrp1!M216+CdTrp2!M216+CdTrp3!M216+CdTrp4!M216</f>
        <v>3.5002275000000003</v>
      </c>
      <c r="S6" s="143">
        <f>CdTrp1!N216+CdTrp2!N216+CdTrp3!N216+CdTrp4!N216</f>
        <v>3.6169017499999994</v>
      </c>
      <c r="T6" s="143">
        <f>CdTrp1!O216+CdTrp2!O216+CdTrp3!O216+CdTrp4!O216</f>
        <v>1.286376</v>
      </c>
      <c r="U6" s="143">
        <f>CdTrp1!P216+CdTrp2!P216+CdTrp3!P216+CdTrp4!P216</f>
        <v>1.286376</v>
      </c>
      <c r="V6" s="143">
        <f>CdTrp1!Q216+CdTrp2!Q216+CdTrp3!Q216+CdTrp4!Q216</f>
        <v>1.286376</v>
      </c>
      <c r="W6" s="143">
        <f>CdTrp1!R216+CdTrp2!R216+CdTrp3!R216+CdTrp4!R216</f>
        <v>3.1635</v>
      </c>
      <c r="X6" s="143">
        <f>CdTrp1!S216+CdTrp2!S216+CdTrp3!S216+CdTrp4!S216</f>
        <v>3.1635</v>
      </c>
      <c r="Y6" s="143">
        <f>CdTrp1!T216+CdTrp2!T216+CdTrp3!T216+CdTrp4!T216</f>
        <v>0</v>
      </c>
      <c r="Z6" s="143">
        <f>CdTrp1!U216+CdTrp2!U216+CdTrp3!U216+CdTrp4!U216</f>
        <v>0.22371756521739136</v>
      </c>
      <c r="AA6" s="143">
        <f>CdTrp1!V216+CdTrp2!V216+CdTrp3!V216+CdTrp4!V216</f>
        <v>1.6144372695652174</v>
      </c>
      <c r="AB6" s="143">
        <f>CdTrp1!W216+CdTrp2!W216+CdTrp3!W216+CdTrp4!W216</f>
        <v>1.6417288695652175</v>
      </c>
      <c r="AC6" s="143">
        <f>CdTrp1!X216+CdTrp2!X216+CdTrp3!X216+CdTrp4!X216</f>
        <v>0.22371756521739136</v>
      </c>
      <c r="AD6" s="143">
        <f>CdTrp1!Y216+CdTrp2!Y216+CdTrp3!Y216+CdTrp4!Y216</f>
        <v>0.93215652173913055</v>
      </c>
      <c r="AE6" s="153"/>
      <c r="AF6" s="154"/>
    </row>
    <row r="7" spans="1:53" x14ac:dyDescent="0.25">
      <c r="B7" s="14" t="s">
        <v>294</v>
      </c>
      <c r="C7" s="144">
        <f>ROUNDUP(C4-C6-0.9*C5,1)</f>
        <v>144.9</v>
      </c>
      <c r="D7" t="s">
        <v>247</v>
      </c>
      <c r="F7" s="38" t="s">
        <v>219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0.70843895652173916</v>
      </c>
      <c r="L7" s="143">
        <f>CdTrp1!G217+CdTrp2!G217+CdTrp3!G217+CdTrp4!G217</f>
        <v>0.70843895652173916</v>
      </c>
      <c r="M7" s="143">
        <f>CdTrp1!H217+CdTrp2!H217+CdTrp3!H217+CdTrp4!H217</f>
        <v>0.6855860869565219</v>
      </c>
      <c r="N7" s="143">
        <f>CdTrp1!I217+CdTrp2!I217+CdTrp3!I217+CdTrp4!I217</f>
        <v>0.6855860869565219</v>
      </c>
      <c r="O7" s="143">
        <f>CdTrp1!J217+CdTrp2!J217+CdTrp3!J217+CdTrp4!J217</f>
        <v>0.70843895652173916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2.5836367199999999</v>
      </c>
      <c r="Z7" s="143">
        <f>CdTrp1!U217+CdTrp2!U217+CdTrp3!U217+CdTrp4!U217</f>
        <v>2.0413223965217391</v>
      </c>
      <c r="AA7" s="143">
        <f>CdTrp1!V217+CdTrp2!V217+CdTrp3!V217+CdTrp4!V217</f>
        <v>0.6855860869565219</v>
      </c>
      <c r="AB7" s="143">
        <f>CdTrp1!W217+CdTrp2!W217+CdTrp3!W217+CdTrp4!W217</f>
        <v>0.6855860869565219</v>
      </c>
      <c r="AC7" s="143">
        <f>CdTrp1!X217+CdTrp2!X217+CdTrp3!X217+CdTrp4!X217</f>
        <v>0.70843895652173916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248</v>
      </c>
      <c r="G8" s="143">
        <f>SUM(G5:G7)</f>
        <v>0.93215652173913055</v>
      </c>
      <c r="H8" s="143">
        <f t="shared" ref="H8:AD8" si="0">SUM(H5:H7)</f>
        <v>0.93215652173913055</v>
      </c>
      <c r="I8" s="143">
        <f t="shared" si="0"/>
        <v>1.1921981217391306</v>
      </c>
      <c r="J8" s="143">
        <f t="shared" si="0"/>
        <v>1.1921981217391306</v>
      </c>
      <c r="K8" s="143">
        <f t="shared" si="0"/>
        <v>2.6063096347826087</v>
      </c>
      <c r="L8" s="143">
        <f t="shared" si="0"/>
        <v>8.0371668233043483</v>
      </c>
      <c r="M8" s="143">
        <f t="shared" si="0"/>
        <v>10.153678792173917</v>
      </c>
      <c r="N8" s="143">
        <f t="shared" si="0"/>
        <v>10.130825806956524</v>
      </c>
      <c r="O8" s="143">
        <f t="shared" si="0"/>
        <v>10.833251694695653</v>
      </c>
      <c r="P8" s="143">
        <f t="shared" si="0"/>
        <v>9.2066012780000008</v>
      </c>
      <c r="Q8" s="143">
        <f t="shared" si="0"/>
        <v>8.9096141400000022</v>
      </c>
      <c r="R8" s="143">
        <f t="shared" si="0"/>
        <v>4.594007934782609</v>
      </c>
      <c r="S8" s="143">
        <f t="shared" si="0"/>
        <v>4.747141532608695</v>
      </c>
      <c r="T8" s="143">
        <f t="shared" si="0"/>
        <v>4.7471415326086959</v>
      </c>
      <c r="U8" s="143">
        <f t="shared" si="0"/>
        <v>4.7471415326086959</v>
      </c>
      <c r="V8" s="143">
        <f t="shared" si="0"/>
        <v>4.7471415326086959</v>
      </c>
      <c r="W8" s="143">
        <f t="shared" si="0"/>
        <v>4.2572804347826088</v>
      </c>
      <c r="X8" s="143">
        <f t="shared" si="0"/>
        <v>4.2572804347826088</v>
      </c>
      <c r="Y8" s="143">
        <f t="shared" si="0"/>
        <v>4.4825016507478264</v>
      </c>
      <c r="Z8" s="143">
        <f t="shared" si="0"/>
        <v>6.5412800405217402</v>
      </c>
      <c r="AA8" s="143">
        <f t="shared" si="0"/>
        <v>3.596773356521739</v>
      </c>
      <c r="AB8" s="143">
        <f t="shared" si="0"/>
        <v>3.5981299565217393</v>
      </c>
      <c r="AC8" s="143">
        <f t="shared" si="0"/>
        <v>0.93215652173913055</v>
      </c>
      <c r="AD8" s="143">
        <f t="shared" si="0"/>
        <v>0.93215652173913055</v>
      </c>
      <c r="AE8" s="153"/>
      <c r="AF8" s="144">
        <f>SUM(G8:AD8)</f>
        <v>116.3062904394435</v>
      </c>
      <c r="AG8" t="s">
        <v>321</v>
      </c>
    </row>
    <row r="9" spans="1:53" x14ac:dyDescent="0.25">
      <c r="F9" s="38" t="s">
        <v>220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0</v>
      </c>
      <c r="R9" s="143">
        <f>CdTrp1!M218+CdTrp2!M218+CdTrp3!M218+CdTrp4!M218</f>
        <v>5.3945077565217394</v>
      </c>
      <c r="S9" s="143">
        <f>CdTrp1!N218+CdTrp2!N218+CdTrp3!N218+CdTrp4!N218</f>
        <v>5.5743246817391308</v>
      </c>
      <c r="T9" s="143">
        <f>CdTrp1!O218+CdTrp2!O218+CdTrp3!O218+CdTrp4!O218</f>
        <v>5.5743246817391308</v>
      </c>
      <c r="U9" s="143">
        <f>CdTrp1!P218+CdTrp2!P218+CdTrp3!P218+CdTrp4!P218</f>
        <v>5.5743246817391308</v>
      </c>
      <c r="V9" s="143">
        <f>CdTrp1!Q218+CdTrp2!Q218+CdTrp3!Q218+CdTrp4!Q218</f>
        <v>5.5743246817391308</v>
      </c>
      <c r="W9" s="143">
        <f>CdTrp1!R218+CdTrp2!R218+CdTrp3!R218+CdTrp4!R218</f>
        <v>5.3945077565217394</v>
      </c>
      <c r="X9" s="143">
        <f>CdTrp1!S218+CdTrp2!S218+CdTrp3!S218+CdTrp4!S218</f>
        <v>5.3945077565217394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38.48082199652174</v>
      </c>
      <c r="AG9" t="s">
        <v>224</v>
      </c>
    </row>
    <row r="10" spans="1:53" x14ac:dyDescent="0.25">
      <c r="A10" s="2" t="s">
        <v>423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21.7</v>
      </c>
      <c r="D11" t="s">
        <v>189</v>
      </c>
      <c r="G11" s="85"/>
    </row>
    <row r="12" spans="1:53" x14ac:dyDescent="0.25">
      <c r="B12" s="19" t="str">
        <f>[1]Conc!C6</f>
        <v>2 -grain céréales à paille</v>
      </c>
      <c r="C12" s="144">
        <f>H14</f>
        <v>0</v>
      </c>
      <c r="D12" t="s">
        <v>189</v>
      </c>
      <c r="G12" t="s">
        <v>424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189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189</v>
      </c>
      <c r="E14" s="21"/>
      <c r="G14" s="145">
        <f>CdTrp1!AK54+CdTrp2!AK54+CdTrp3!AK54+CdTrp4!AK54</f>
        <v>21.7</v>
      </c>
      <c r="H14" s="145">
        <f>CdTrp1!AL54+CdTrp2!AL54+CdTrp3!AL54+CdTrp4!AL54</f>
        <v>0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9.6999999999999993</v>
      </c>
      <c r="R14" s="145">
        <f>CdTrp1!AV54+CdTrp2!AV54+CdTrp3!AV54+CdTrp4!AV54</f>
        <v>0</v>
      </c>
      <c r="S14" s="145">
        <f>CdTrp1!AW54+CdTrp2!AW54+CdTrp3!AW54+CdTrp4!AW54</f>
        <v>3.4</v>
      </c>
      <c r="T14" s="145">
        <f>CdTrp1!AX54+CdTrp2!AX54+CdTrp3!AX54+CdTrp4!AX54</f>
        <v>6.7</v>
      </c>
      <c r="U14" s="145">
        <f>CdTrp1!AY54+CdTrp2!AY54+CdTrp3!AY54+CdTrp4!AY54</f>
        <v>5.3</v>
      </c>
      <c r="V14" s="145">
        <f>CdTrp1!AZ54+CdTrp2!AZ54+CdTrp3!AZ54+CdTrp4!AZ54</f>
        <v>2.2000000000000002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189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</v>
      </c>
      <c r="F16" s="49" t="s">
        <v>451</v>
      </c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49" t="s">
        <v>452</v>
      </c>
      <c r="G17" s="140">
        <f>CdTrp1!AC77+CdTrp2!AC77+CdTrp3!AC77+CdTrp4!AC77</f>
        <v>57.5</v>
      </c>
      <c r="H17" s="49" t="s">
        <v>453</v>
      </c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 t="s">
        <v>454</v>
      </c>
      <c r="F18" s="49">
        <v>1</v>
      </c>
      <c r="G18" s="140">
        <f>CdTrp1!AC78+CdTrp2!AC78+CdTrp3!AC78+CdTrp4!AC78</f>
        <v>26.5</v>
      </c>
      <c r="H18" s="158">
        <f>G18/G17</f>
        <v>0.46086956521739131</v>
      </c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 t="s">
        <v>455</v>
      </c>
      <c r="F19" s="49">
        <v>2</v>
      </c>
      <c r="G19" s="140">
        <f>CdTrp1!AC79+CdTrp2!AC79+CdTrp3!AC79+CdTrp4!AC79</f>
        <v>21.5</v>
      </c>
      <c r="H19" s="158">
        <f>G19/G17</f>
        <v>0.37391304347826088</v>
      </c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 t="s">
        <v>456</v>
      </c>
      <c r="F20" s="49">
        <v>3</v>
      </c>
      <c r="G20" s="140">
        <f>CdTrp1!AC80+CdTrp2!AC80+CdTrp3!AC80+CdTrp4!AC80</f>
        <v>6</v>
      </c>
      <c r="H20" s="158">
        <f>G20/G17</f>
        <v>0.10434782608695652</v>
      </c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9.6999999999999993</v>
      </c>
      <c r="D21" s="83"/>
      <c r="E21" s="5" t="s">
        <v>457</v>
      </c>
      <c r="F21" s="157">
        <v>4</v>
      </c>
      <c r="G21" s="157">
        <f>CdTrp1!AC81+CdTrp2!AC81+CdTrp3!AC81+CdTrp4!AC81</f>
        <v>0</v>
      </c>
      <c r="H21" s="158">
        <f>G21/G17</f>
        <v>0</v>
      </c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3.4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6.7</v>
      </c>
    </row>
    <row r="25" spans="2:9" x14ac:dyDescent="0.25">
      <c r="B25" s="19" t="str">
        <f>[1]Conc!C19</f>
        <v>15 -concentré bovin allaitant</v>
      </c>
      <c r="C25" s="144">
        <f>U14</f>
        <v>5.3</v>
      </c>
    </row>
    <row r="26" spans="2:9" x14ac:dyDescent="0.25">
      <c r="B26" s="19" t="str">
        <f>[1]Conc!C20</f>
        <v>16 -correcteur N bovin allaitant</v>
      </c>
      <c r="C26" s="144">
        <f>V14</f>
        <v>2.2000000000000002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88"/>
  <sheetViews>
    <sheetView zoomScale="80" zoomScaleNormal="80" workbookViewId="0">
      <selection activeCell="R12" sqref="R12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5.85546875" customWidth="1"/>
    <col min="16" max="16" width="4.7109375" customWidth="1"/>
    <col min="17" max="17" width="6.28515625" style="58" customWidth="1"/>
    <col min="18" max="18" width="6.28515625" customWidth="1"/>
    <col min="19" max="19" width="20.28515625" style="15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412</v>
      </c>
      <c r="Q1" s="140"/>
      <c r="AA1" s="140"/>
      <c r="AR1" s="37" t="s">
        <v>265</v>
      </c>
      <c r="AS1" s="59" t="s">
        <v>266</v>
      </c>
    </row>
    <row r="2" spans="2:71" x14ac:dyDescent="0.25">
      <c r="B2" s="146" t="s">
        <v>417</v>
      </c>
      <c r="Q2" s="140"/>
      <c r="AA2" s="140"/>
      <c r="AS2" s="297" t="s">
        <v>250</v>
      </c>
      <c r="AT2" s="297"/>
      <c r="AU2" s="296" t="s">
        <v>251</v>
      </c>
      <c r="AV2" s="296"/>
      <c r="AW2" s="296" t="s">
        <v>252</v>
      </c>
      <c r="AX2" s="296"/>
      <c r="AY2" s="296" t="s">
        <v>253</v>
      </c>
      <c r="AZ2" s="296"/>
      <c r="BA2" s="296" t="s">
        <v>254</v>
      </c>
      <c r="BB2" s="296"/>
      <c r="BC2" s="296" t="s">
        <v>255</v>
      </c>
      <c r="BD2" s="296"/>
      <c r="BE2" s="296" t="s">
        <v>256</v>
      </c>
      <c r="BF2" s="296"/>
      <c r="BG2" s="296" t="s">
        <v>257</v>
      </c>
      <c r="BH2" s="296"/>
      <c r="BI2" s="296" t="s">
        <v>258</v>
      </c>
      <c r="BJ2" s="296"/>
      <c r="BK2" s="296" t="s">
        <v>259</v>
      </c>
      <c r="BL2" s="296"/>
      <c r="BM2" s="296" t="s">
        <v>260</v>
      </c>
      <c r="BN2" s="296"/>
      <c r="BO2" s="296" t="s">
        <v>261</v>
      </c>
      <c r="BP2" s="296"/>
    </row>
    <row r="3" spans="2:71" x14ac:dyDescent="0.25">
      <c r="B3" s="146" t="s">
        <v>413</v>
      </c>
      <c r="U3" s="147" t="s">
        <v>77</v>
      </c>
      <c r="AK3" s="21"/>
      <c r="AQ3" s="32"/>
      <c r="AR3" s="71" t="s">
        <v>263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83</v>
      </c>
      <c r="AA4"/>
      <c r="AC4" s="33" t="s">
        <v>79</v>
      </c>
      <c r="AE4" s="34" t="s">
        <v>80</v>
      </c>
      <c r="AL4" s="35" t="s">
        <v>81</v>
      </c>
      <c r="AQ4" s="32"/>
      <c r="AR4" s="73" t="s">
        <v>262</v>
      </c>
      <c r="AS4" s="1">
        <v>4</v>
      </c>
      <c r="AT4" s="1">
        <v>4</v>
      </c>
      <c r="AU4" s="1">
        <v>5</v>
      </c>
      <c r="AV4" s="1">
        <v>5</v>
      </c>
      <c r="AW4" s="1">
        <v>5</v>
      </c>
      <c r="AX4" s="1">
        <v>5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4</v>
      </c>
      <c r="BP4" s="1">
        <v>4</v>
      </c>
      <c r="BR4" s="44" t="s">
        <v>264</v>
      </c>
    </row>
    <row r="5" spans="2:71" ht="15" customHeight="1" x14ac:dyDescent="0.3">
      <c r="B5" s="94" t="s">
        <v>414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82</v>
      </c>
      <c r="Q5" s="58" t="s">
        <v>267</v>
      </c>
      <c r="R5" s="17"/>
      <c r="T5" s="58"/>
      <c r="V5" s="2" t="s">
        <v>420</v>
      </c>
      <c r="AA5"/>
      <c r="AC5" s="58" t="s">
        <v>84</v>
      </c>
      <c r="AE5" t="s">
        <v>38</v>
      </c>
      <c r="AK5" s="21"/>
      <c r="AL5" s="35" t="s">
        <v>85</v>
      </c>
      <c r="AQ5" s="32"/>
      <c r="AR5" s="71" t="s">
        <v>249</v>
      </c>
      <c r="AS5" s="13">
        <f>'Conduite Trp'!G8</f>
        <v>0.93215652173913055</v>
      </c>
      <c r="AT5" s="13">
        <f>'Conduite Trp'!H8</f>
        <v>0.93215652173913055</v>
      </c>
      <c r="AU5" s="13">
        <f>'Conduite Trp'!I8</f>
        <v>1.1921981217391306</v>
      </c>
      <c r="AV5" s="13">
        <f>'Conduite Trp'!J8</f>
        <v>1.1921981217391306</v>
      </c>
      <c r="AW5" s="13">
        <f>'Conduite Trp'!K8</f>
        <v>2.6063096347826087</v>
      </c>
      <c r="AX5" s="13">
        <f>'Conduite Trp'!L8</f>
        <v>8.0371668233043483</v>
      </c>
      <c r="AY5" s="13">
        <f>'Conduite Trp'!M8</f>
        <v>10.153678792173917</v>
      </c>
      <c r="AZ5" s="13">
        <f>'Conduite Trp'!N8</f>
        <v>10.130825806956524</v>
      </c>
      <c r="BA5" s="13">
        <f>'Conduite Trp'!O8</f>
        <v>10.833251694695653</v>
      </c>
      <c r="BB5" s="13">
        <f>'Conduite Trp'!P8</f>
        <v>9.2066012780000008</v>
      </c>
      <c r="BC5" s="13">
        <f>'Conduite Trp'!Q8</f>
        <v>8.9096141400000022</v>
      </c>
      <c r="BD5" s="13">
        <f>'Conduite Trp'!R8</f>
        <v>4.594007934782609</v>
      </c>
      <c r="BE5" s="13">
        <f>'Conduite Trp'!S8</f>
        <v>4.747141532608695</v>
      </c>
      <c r="BF5" s="13">
        <f>'Conduite Trp'!T8</f>
        <v>4.7471415326086959</v>
      </c>
      <c r="BG5" s="13">
        <f>'Conduite Trp'!U8</f>
        <v>4.7471415326086959</v>
      </c>
      <c r="BH5" s="13">
        <f>'Conduite Trp'!V8</f>
        <v>4.7471415326086959</v>
      </c>
      <c r="BI5" s="13">
        <f>'Conduite Trp'!W8</f>
        <v>4.2572804347826088</v>
      </c>
      <c r="BJ5" s="13">
        <f>'Conduite Trp'!X8</f>
        <v>4.2572804347826088</v>
      </c>
      <c r="BK5" s="13">
        <f>'Conduite Trp'!Y8</f>
        <v>4.4825016507478264</v>
      </c>
      <c r="BL5" s="13">
        <f>'Conduite Trp'!Z8</f>
        <v>6.5412800405217402</v>
      </c>
      <c r="BM5" s="13">
        <f>'Conduite Trp'!AA8</f>
        <v>3.596773356521739</v>
      </c>
      <c r="BN5" s="13">
        <f>'Conduite Trp'!AB8</f>
        <v>3.5981299565217393</v>
      </c>
      <c r="BO5" s="13">
        <f>'Conduite Trp'!AC8</f>
        <v>0.93215652173913055</v>
      </c>
      <c r="BP5" s="13">
        <f>'Conduite Trp'!AD8</f>
        <v>0.93215652173913055</v>
      </c>
    </row>
    <row r="6" spans="2:71" ht="15" customHeight="1" x14ac:dyDescent="0.25">
      <c r="B6" s="98"/>
      <c r="C6" s="99"/>
      <c r="D6" s="99"/>
      <c r="E6" s="99"/>
      <c r="F6" s="101" t="s">
        <v>302</v>
      </c>
      <c r="G6" s="102"/>
      <c r="H6" s="102" t="s">
        <v>81</v>
      </c>
      <c r="I6" s="102"/>
      <c r="J6" s="102"/>
      <c r="K6" s="102" t="s">
        <v>307</v>
      </c>
      <c r="L6" s="81"/>
      <c r="M6" s="100"/>
      <c r="O6" s="58" t="s">
        <v>88</v>
      </c>
      <c r="Q6" s="151" t="s">
        <v>76</v>
      </c>
      <c r="R6" s="33" t="s">
        <v>52</v>
      </c>
      <c r="S6" s="290" t="s">
        <v>418</v>
      </c>
      <c r="T6" s="33" t="s">
        <v>419</v>
      </c>
      <c r="U6" s="2" t="s">
        <v>76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271</v>
      </c>
      <c r="BS6" s="74" t="s">
        <v>272</v>
      </c>
    </row>
    <row r="7" spans="2:71" x14ac:dyDescent="0.25">
      <c r="B7" s="98" t="s">
        <v>303</v>
      </c>
      <c r="C7" s="103" t="s">
        <v>87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268</v>
      </c>
      <c r="O7" s="39">
        <v>18.7</v>
      </c>
      <c r="P7">
        <v>1</v>
      </c>
      <c r="Q7" s="39">
        <v>266</v>
      </c>
      <c r="R7" s="39">
        <v>2.7</v>
      </c>
      <c r="S7" s="291" t="str">
        <f>VLOOKUP($Q7,[1]MEP!$A$5:$D$300,3)</f>
        <v>PP EXCELLENTE PATUREE</v>
      </c>
      <c r="T7" s="76" t="str">
        <f>VLOOKUP($Q7,[1]MEP!$A$5:$D$300,4)</f>
        <v>zone 1</v>
      </c>
      <c r="U7" s="76" t="str">
        <f>VLOOKUP($Q7,[1]MEP!$A$4:$K$300,2)</f>
        <v>P</v>
      </c>
      <c r="V7" s="76">
        <f>VLOOKUP($Q7,[1]MEP!$A$4:$K$300,5)</f>
        <v>3.3</v>
      </c>
      <c r="W7" s="76">
        <f>VLOOKUP($Q7,[1]MEP!$A$4:$K$300,6)</f>
        <v>3</v>
      </c>
      <c r="X7" s="76">
        <f>VLOOKUP($Q7,[1]MEP!$A$4:$K$300,7)</f>
        <v>2.2999999999999998</v>
      </c>
      <c r="Y7" s="76">
        <f>VLOOKUP($Q7,[1]MEP!$A$4:$K$300,8)</f>
        <v>0.5</v>
      </c>
      <c r="Z7" s="76">
        <f>VLOOKUP($Q7,[1]MEP!$A$4:$K$300,9)</f>
        <v>0.7</v>
      </c>
      <c r="AA7" s="76">
        <f>VLOOKUP($Q7,[1]MEP!$A$4:$K$300,10)</f>
        <v>0</v>
      </c>
      <c r="AC7" s="76">
        <f>VLOOKUP($Q7,[1]MEP!$A$4:$K$300,11)</f>
        <v>0</v>
      </c>
      <c r="AE7" s="61">
        <f t="shared" ref="AE7:AE26" si="0">$R7*V7</f>
        <v>8.91</v>
      </c>
      <c r="AF7" s="61">
        <f t="shared" ref="AF7:AF26" si="1">$R7*W7</f>
        <v>8.1000000000000014</v>
      </c>
      <c r="AG7" s="61">
        <f t="shared" ref="AG7:AG26" si="2">$R7*X7</f>
        <v>6.21</v>
      </c>
      <c r="AH7" s="61">
        <f t="shared" ref="AH7:AH26" si="3">$R7*Y7</f>
        <v>1.35</v>
      </c>
      <c r="AI7" s="61">
        <f t="shared" ref="AI7:AI26" si="4">$R7*Z7</f>
        <v>1.89</v>
      </c>
      <c r="AJ7" s="61">
        <f t="shared" ref="AJ7:AJ26" si="5">$R7*AA7</f>
        <v>0</v>
      </c>
      <c r="AK7" s="141"/>
      <c r="AL7" s="61">
        <f t="shared" ref="AL7:AL26" si="6">R7*AC7</f>
        <v>0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10.153678792173917</v>
      </c>
      <c r="AZ7" s="61">
        <f t="shared" si="7"/>
        <v>10.130825806956524</v>
      </c>
      <c r="BA7" s="61">
        <f t="shared" si="7"/>
        <v>10.833251694695653</v>
      </c>
      <c r="BB7" s="61">
        <f t="shared" si="7"/>
        <v>9.2066012780000008</v>
      </c>
      <c r="BC7" s="61">
        <f t="shared" si="7"/>
        <v>8.9096141400000022</v>
      </c>
      <c r="BD7" s="61">
        <f t="shared" si="7"/>
        <v>4.594007934782609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53.827979646608711</v>
      </c>
      <c r="BS7" s="61">
        <f>COUNTIF($AS$4:$BP$4,1)/2</f>
        <v>3</v>
      </c>
    </row>
    <row r="8" spans="2:71" x14ac:dyDescent="0.25">
      <c r="B8" s="98" t="s">
        <v>304</v>
      </c>
      <c r="C8" s="103" t="s">
        <v>87</v>
      </c>
      <c r="D8" s="99"/>
      <c r="E8" s="99"/>
      <c r="F8" s="76">
        <f>'Conduite Trp'!C3</f>
        <v>50.268599999999992</v>
      </c>
      <c r="G8" s="99"/>
      <c r="H8" s="99"/>
      <c r="I8" s="99"/>
      <c r="J8" s="99"/>
      <c r="K8" s="99"/>
      <c r="L8" s="81"/>
      <c r="M8" s="100"/>
      <c r="N8" s="147" t="s">
        <v>89</v>
      </c>
      <c r="O8" s="42">
        <f>SUM(R7:R26)</f>
        <v>18.7</v>
      </c>
      <c r="P8">
        <v>2</v>
      </c>
      <c r="Q8" s="39">
        <v>241</v>
      </c>
      <c r="R8" s="39">
        <v>11</v>
      </c>
      <c r="S8" s="291" t="str">
        <f>VLOOKUP($Q8,[1]MEP!$A$5:$D$300,3)</f>
        <v>PP excellente 2 coupes estivales</v>
      </c>
      <c r="T8" s="76" t="str">
        <f>VLOOKUP($Q8,[1]MEP!$A$5:$D$300,4)</f>
        <v>zone 1</v>
      </c>
      <c r="U8" s="76" t="str">
        <f>VLOOKUP($Q8,[1]MEP!$A$4:$K$300,2)</f>
        <v>F/P</v>
      </c>
      <c r="V8" s="76">
        <f>VLOOKUP($Q8,[1]MEP!$A$4:$K$300,5)</f>
        <v>1.5</v>
      </c>
      <c r="W8" s="76">
        <f>VLOOKUP($Q8,[1]MEP!$A$4:$K$300,6)</f>
        <v>0</v>
      </c>
      <c r="X8" s="76">
        <f>VLOOKUP($Q8,[1]MEP!$A$4:$K$300,7)</f>
        <v>0.75</v>
      </c>
      <c r="Y8" s="76">
        <f>VLOOKUP($Q8,[1]MEP!$A$4:$K$300,8)</f>
        <v>0.75</v>
      </c>
      <c r="Z8" s="76">
        <f>VLOOKUP($Q8,[1]MEP!$A$4:$K$300,9)</f>
        <v>1</v>
      </c>
      <c r="AA8" s="76">
        <f>VLOOKUP($Q8,[1]MEP!$A$4:$K$300,10)</f>
        <v>0</v>
      </c>
      <c r="AC8" s="76">
        <f>VLOOKUP($Q8,[1]MEP!$A$4:$K$300,11)</f>
        <v>5</v>
      </c>
      <c r="AE8" s="61">
        <f t="shared" si="0"/>
        <v>16.5</v>
      </c>
      <c r="AF8" s="61">
        <f t="shared" si="1"/>
        <v>0</v>
      </c>
      <c r="AG8" s="61">
        <f t="shared" si="2"/>
        <v>8.25</v>
      </c>
      <c r="AH8" s="61">
        <f t="shared" si="3"/>
        <v>8.25</v>
      </c>
      <c r="AI8" s="61">
        <f t="shared" si="4"/>
        <v>11</v>
      </c>
      <c r="AJ8" s="61">
        <f t="shared" si="5"/>
        <v>0</v>
      </c>
      <c r="AK8" s="141"/>
      <c r="AL8" s="61">
        <f t="shared" si="6"/>
        <v>55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4.747141532608695</v>
      </c>
      <c r="BF8" s="61">
        <f t="shared" si="8"/>
        <v>4.7471415326086959</v>
      </c>
      <c r="BG8" s="61">
        <f t="shared" si="8"/>
        <v>4.7471415326086959</v>
      </c>
      <c r="BH8" s="61">
        <f t="shared" si="8"/>
        <v>4.7471415326086959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18.988566130434783</v>
      </c>
      <c r="BS8" s="61">
        <f>COUNTIF($AS$4:$BP$4,2)/2</f>
        <v>2</v>
      </c>
    </row>
    <row r="9" spans="2:71" x14ac:dyDescent="0.25">
      <c r="B9" s="98" t="s">
        <v>305</v>
      </c>
      <c r="C9" s="103" t="s">
        <v>87</v>
      </c>
      <c r="D9" s="99"/>
      <c r="E9" s="99"/>
      <c r="F9" s="61">
        <f>F7+F8</f>
        <v>50.268599999999992</v>
      </c>
      <c r="G9" s="81"/>
      <c r="H9" s="61">
        <f>SUM(L34:L43)</f>
        <v>0</v>
      </c>
      <c r="I9" s="81"/>
      <c r="J9" s="81"/>
      <c r="K9" s="93">
        <f>H9-F9</f>
        <v>-50.268599999999992</v>
      </c>
      <c r="L9" s="81"/>
      <c r="M9" s="100"/>
      <c r="P9">
        <v>3</v>
      </c>
      <c r="Q9" s="39">
        <v>290</v>
      </c>
      <c r="R9" s="39"/>
      <c r="S9" s="291" t="str">
        <f>VLOOKUP($Q9,[1]MEP!$A$5:$D$300,3)</f>
        <v>PP EXCELLENTE 1  COUPE ESTIVALE</v>
      </c>
      <c r="T9" s="76" t="str">
        <f>VLOOKUP($Q9,[1]MEP!$A$5:$D$300,4)</f>
        <v>zone 1</v>
      </c>
      <c r="U9" s="76" t="str">
        <f>VLOOKUP($Q9,[1]MEP!$A$4:$K$300,2)</f>
        <v>F/P</v>
      </c>
      <c r="V9" s="76">
        <f>VLOOKUP($Q9,[1]MEP!$A$4:$K$300,5)</f>
        <v>3.5</v>
      </c>
      <c r="W9" s="76">
        <f>VLOOKUP($Q9,[1]MEP!$A$4:$K$300,6)</f>
        <v>0</v>
      </c>
      <c r="X9" s="76">
        <f>VLOOKUP($Q9,[1]MEP!$A$4:$K$300,7)</f>
        <v>1</v>
      </c>
      <c r="Y9" s="76">
        <f>VLOOKUP($Q9,[1]MEP!$A$4:$K$300,8)</f>
        <v>0.7</v>
      </c>
      <c r="Z9" s="76">
        <f>VLOOKUP($Q9,[1]MEP!$A$4:$K$300,9)</f>
        <v>0.5</v>
      </c>
      <c r="AA9" s="76">
        <f>VLOOKUP($Q9,[1]MEP!$A$4:$K$300,10)</f>
        <v>0</v>
      </c>
      <c r="AC9" s="76">
        <f>VLOOKUP($Q9,[1]MEP!$A$4:$K$300,11)</f>
        <v>3.8</v>
      </c>
      <c r="AE9" s="61">
        <f t="shared" si="0"/>
        <v>0</v>
      </c>
      <c r="AF9" s="61">
        <f t="shared" si="1"/>
        <v>0</v>
      </c>
      <c r="AG9" s="61">
        <f t="shared" si="2"/>
        <v>0</v>
      </c>
      <c r="AH9" s="61">
        <f t="shared" si="3"/>
        <v>0</v>
      </c>
      <c r="AI9" s="61">
        <f t="shared" si="4"/>
        <v>0</v>
      </c>
      <c r="AJ9" s="61">
        <f t="shared" si="5"/>
        <v>0</v>
      </c>
      <c r="AK9" s="141"/>
      <c r="AL9" s="61">
        <f t="shared" si="6"/>
        <v>0</v>
      </c>
      <c r="AQ9" s="32"/>
      <c r="AR9" s="69">
        <v>3</v>
      </c>
      <c r="AS9" s="61">
        <f>IF(AS$4=3,AS$5,0)</f>
        <v>0</v>
      </c>
      <c r="AT9" s="61">
        <f t="shared" ref="AT9:BP9" si="10">IF(AT$4=3,AT$5,0)</f>
        <v>0</v>
      </c>
      <c r="AU9" s="61">
        <f t="shared" si="10"/>
        <v>0</v>
      </c>
      <c r="AV9" s="61">
        <f t="shared" si="10"/>
        <v>0</v>
      </c>
      <c r="AW9" s="61">
        <f t="shared" si="10"/>
        <v>0</v>
      </c>
      <c r="AX9" s="61">
        <f t="shared" si="10"/>
        <v>0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4.2572804347826088</v>
      </c>
      <c r="BJ9" s="61">
        <f t="shared" si="10"/>
        <v>4.2572804347826088</v>
      </c>
      <c r="BK9" s="61">
        <f t="shared" si="10"/>
        <v>4.4825016507478264</v>
      </c>
      <c r="BL9" s="61">
        <f t="shared" si="10"/>
        <v>6.5412800405217402</v>
      </c>
      <c r="BM9" s="61">
        <f t="shared" si="10"/>
        <v>3.596773356521739</v>
      </c>
      <c r="BN9" s="61">
        <f t="shared" si="10"/>
        <v>3.5981299565217393</v>
      </c>
      <c r="BO9" s="61">
        <f t="shared" si="10"/>
        <v>0</v>
      </c>
      <c r="BP9" s="61">
        <f t="shared" si="10"/>
        <v>0</v>
      </c>
      <c r="BR9" s="61">
        <f t="shared" si="9"/>
        <v>26.733245873878261</v>
      </c>
      <c r="BS9" s="61">
        <f>COUNTIF($AS$4:$BP$4,3)/2</f>
        <v>3</v>
      </c>
    </row>
    <row r="10" spans="2:71" ht="15" customHeight="1" x14ac:dyDescent="0.25">
      <c r="B10" s="98" t="s">
        <v>306</v>
      </c>
      <c r="C10" s="103" t="s">
        <v>86</v>
      </c>
      <c r="D10" s="99"/>
      <c r="E10" s="99"/>
      <c r="F10" s="76">
        <f>'Conduite Trp'!C6</f>
        <v>11.97</v>
      </c>
      <c r="G10" s="81"/>
      <c r="H10" s="61">
        <f>SUM(M34:M43)</f>
        <v>13</v>
      </c>
      <c r="I10" s="81"/>
      <c r="J10" s="81"/>
      <c r="K10" s="93">
        <f>H10-F10</f>
        <v>1.0299999999999994</v>
      </c>
      <c r="L10" s="81"/>
      <c r="M10" s="100"/>
      <c r="P10">
        <v>4</v>
      </c>
      <c r="Q10" s="39">
        <v>242</v>
      </c>
      <c r="R10" s="39">
        <v>3.3</v>
      </c>
      <c r="S10" s="291" t="str">
        <f>VLOOKUP($Q10,[1]MEP!$A$5:$D$300,3)</f>
        <v>PP bonne 1 coupe estivales</v>
      </c>
      <c r="T10" s="76" t="str">
        <f>VLOOKUP($Q10,[1]MEP!$A$5:$D$300,4)</f>
        <v>zone 1</v>
      </c>
      <c r="U10" s="76" t="str">
        <f>VLOOKUP($Q10,[1]MEP!$A$4:$K$300,2)</f>
        <v>F/P</v>
      </c>
      <c r="V10" s="76">
        <f>VLOOKUP($Q10,[1]MEP!$A$4:$K$300,5)</f>
        <v>1.5</v>
      </c>
      <c r="W10" s="76">
        <f>VLOOKUP($Q10,[1]MEP!$A$4:$K$300,6)</f>
        <v>0</v>
      </c>
      <c r="X10" s="76">
        <f>VLOOKUP($Q10,[1]MEP!$A$4:$K$300,7)</f>
        <v>0.75</v>
      </c>
      <c r="Y10" s="76">
        <f>VLOOKUP($Q10,[1]MEP!$A$4:$K$300,8)</f>
        <v>0.75</v>
      </c>
      <c r="Z10" s="76">
        <f>VLOOKUP($Q10,[1]MEP!$A$4:$K$300,9)</f>
        <v>1.06</v>
      </c>
      <c r="AA10" s="76">
        <f>VLOOKUP($Q10,[1]MEP!$A$4:$K$300,10)</f>
        <v>0</v>
      </c>
      <c r="AC10" s="76">
        <f>VLOOKUP($Q10,[1]MEP!$A$4:$K$300,11)</f>
        <v>3.27</v>
      </c>
      <c r="AE10" s="61">
        <f t="shared" si="0"/>
        <v>4.9499999999999993</v>
      </c>
      <c r="AF10" s="61">
        <f t="shared" si="1"/>
        <v>0</v>
      </c>
      <c r="AG10" s="61">
        <f t="shared" si="2"/>
        <v>2.4749999999999996</v>
      </c>
      <c r="AH10" s="61">
        <f t="shared" si="3"/>
        <v>2.4749999999999996</v>
      </c>
      <c r="AI10" s="61">
        <f t="shared" si="4"/>
        <v>3.4979999999999998</v>
      </c>
      <c r="AJ10" s="61">
        <f t="shared" si="5"/>
        <v>0</v>
      </c>
      <c r="AK10" s="141"/>
      <c r="AL10" s="61">
        <f t="shared" si="6"/>
        <v>10.790999999999999</v>
      </c>
      <c r="AQ10" s="32"/>
      <c r="AR10" s="70">
        <v>4</v>
      </c>
      <c r="AS10" s="61">
        <f>IF(AS$4=4,AS$5,0)</f>
        <v>0.93215652173913055</v>
      </c>
      <c r="AT10" s="61">
        <f t="shared" ref="AT10:BP10" si="11">IF(AT$4=4,AT$5,0)</f>
        <v>0.93215652173913055</v>
      </c>
      <c r="AU10" s="61">
        <f t="shared" si="11"/>
        <v>0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0.93215652173913055</v>
      </c>
      <c r="BP10" s="61">
        <f t="shared" si="11"/>
        <v>0.93215652173913055</v>
      </c>
      <c r="BR10" s="61">
        <f t="shared" si="9"/>
        <v>3.7286260869565222</v>
      </c>
      <c r="BS10" s="61">
        <f>COUNTIF($AS$4:$BP$4,4)/2</f>
        <v>2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>
        <v>239</v>
      </c>
      <c r="R11" s="39">
        <v>1.7</v>
      </c>
      <c r="S11" s="291" t="str">
        <f>VLOOKUP($Q11,[1]MEP!$A$5:$D$300,3)</f>
        <v>PP bonnne P prélèvement étalé</v>
      </c>
      <c r="T11" s="76" t="str">
        <f>VLOOKUP($Q11,[1]MEP!$A$5:$D$300,4)</f>
        <v>zone 1</v>
      </c>
      <c r="U11" s="76" t="str">
        <f>VLOOKUP($Q11,[1]MEP!$A$4:$K$300,2)</f>
        <v>P</v>
      </c>
      <c r="V11" s="76">
        <f>VLOOKUP($Q11,[1]MEP!$A$4:$K$300,5)</f>
        <v>3</v>
      </c>
      <c r="W11" s="76">
        <f>VLOOKUP($Q11,[1]MEP!$A$4:$K$300,6)</f>
        <v>2</v>
      </c>
      <c r="X11" s="76">
        <f>VLOOKUP($Q11,[1]MEP!$A$4:$K$300,7)</f>
        <v>1.5</v>
      </c>
      <c r="Y11" s="76">
        <f>VLOOKUP($Q11,[1]MEP!$A$4:$K$300,8)</f>
        <v>0.5</v>
      </c>
      <c r="Z11" s="76">
        <f>VLOOKUP($Q11,[1]MEP!$A$4:$K$300,9)</f>
        <v>0.5</v>
      </c>
      <c r="AA11" s="76">
        <f>VLOOKUP($Q11,[1]MEP!$A$4:$K$300,10)</f>
        <v>0</v>
      </c>
      <c r="AC11" s="76">
        <f>VLOOKUP($Q11,[1]MEP!$A$4:$K$300,11)</f>
        <v>0</v>
      </c>
      <c r="AE11" s="61">
        <f t="shared" si="0"/>
        <v>5.0999999999999996</v>
      </c>
      <c r="AF11" s="61">
        <f t="shared" si="1"/>
        <v>3.4</v>
      </c>
      <c r="AG11" s="61">
        <f t="shared" si="2"/>
        <v>2.5499999999999998</v>
      </c>
      <c r="AH11" s="61">
        <f t="shared" si="3"/>
        <v>0.85</v>
      </c>
      <c r="AI11" s="61">
        <f t="shared" si="4"/>
        <v>0.85</v>
      </c>
      <c r="AJ11" s="61">
        <f t="shared" si="5"/>
        <v>0</v>
      </c>
      <c r="AK11" s="141"/>
      <c r="AL11" s="61">
        <f t="shared" si="6"/>
        <v>0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1.1921981217391306</v>
      </c>
      <c r="AV11" s="61">
        <f t="shared" si="12"/>
        <v>1.1921981217391306</v>
      </c>
      <c r="AW11" s="61">
        <f t="shared" si="12"/>
        <v>2.6063096347826087</v>
      </c>
      <c r="AX11" s="61">
        <f t="shared" si="12"/>
        <v>8.0371668233043483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13.027872701565219</v>
      </c>
      <c r="BS11" s="61">
        <f>COUNTIF($AS$4:$BP$4,5)/2</f>
        <v>2</v>
      </c>
    </row>
    <row r="12" spans="2:71" x14ac:dyDescent="0.25">
      <c r="B12" s="104"/>
      <c r="C12" s="99"/>
      <c r="D12" s="99"/>
      <c r="E12" s="99"/>
      <c r="F12" s="81" t="s">
        <v>189</v>
      </c>
      <c r="G12" s="81"/>
      <c r="H12" s="81"/>
      <c r="I12" s="81"/>
      <c r="J12" s="52"/>
      <c r="K12" s="28"/>
      <c r="L12" s="81"/>
      <c r="M12" s="100"/>
      <c r="O12" s="3">
        <f>+O8+O30-5</f>
        <v>23</v>
      </c>
      <c r="P12">
        <v>6</v>
      </c>
      <c r="Q12" s="39"/>
      <c r="R12" s="39"/>
      <c r="S12" s="291" t="e">
        <f>VLOOKUP($Q12,[1]MEP!$A$5:$D$300,3)</f>
        <v>#N/A</v>
      </c>
      <c r="T12" s="76" t="e">
        <f>VLOOKUP($Q12,[1]MEP!$A$5:$D$300,4)</f>
        <v>#N/A</v>
      </c>
      <c r="U12" s="76">
        <f>VLOOKUP($Q12,[1]MEP!$A$4:$K$300,2)</f>
        <v>0</v>
      </c>
      <c r="V12" s="76">
        <f>VLOOKUP($Q12,[1]MEP!$A$4:$K$300,5)</f>
        <v>0</v>
      </c>
      <c r="W12" s="76">
        <f>VLOOKUP($Q12,[1]MEP!$A$4:$K$300,6)</f>
        <v>0</v>
      </c>
      <c r="X12" s="76">
        <f>VLOOKUP($Q12,[1]MEP!$A$4:$K$300,7)</f>
        <v>0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0</v>
      </c>
      <c r="AE12" s="61">
        <f t="shared" si="0"/>
        <v>0</v>
      </c>
      <c r="AF12" s="61">
        <f t="shared" si="1"/>
        <v>0</v>
      </c>
      <c r="AG12" s="61">
        <f t="shared" si="2"/>
        <v>0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1"/>
      <c r="AL12" s="61">
        <f t="shared" si="6"/>
        <v>0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21.7</v>
      </c>
      <c r="G13" s="81"/>
      <c r="H13" s="61">
        <f>F61</f>
        <v>0</v>
      </c>
      <c r="I13" s="81"/>
      <c r="J13" s="81"/>
      <c r="K13" s="93">
        <f>H13-F13</f>
        <v>-21.7</v>
      </c>
      <c r="L13" s="81"/>
      <c r="M13" s="100"/>
      <c r="O13" s="3"/>
      <c r="P13">
        <v>7</v>
      </c>
      <c r="Q13" s="39"/>
      <c r="R13" s="39"/>
      <c r="S13" s="291" t="e">
        <f>VLOOKUP($Q13,[1]MEP!$A$5:$D$300,3)</f>
        <v>#N/A</v>
      </c>
      <c r="T13" s="76" t="e">
        <f>VLOOKUP($Q13,[1]MEP!$A$5:$D$300,4)</f>
        <v>#N/A</v>
      </c>
      <c r="U13" s="76">
        <f>VLOOKUP($Q13,[1]MEP!$A$4:$K$300,2)</f>
        <v>0</v>
      </c>
      <c r="V13" s="76">
        <f>VLOOKUP($Q13,[1]MEP!$A$4:$K$300,5)</f>
        <v>0</v>
      </c>
      <c r="W13" s="76">
        <f>VLOOKUP($Q13,[1]MEP!$A$4:$K$300,6)</f>
        <v>0</v>
      </c>
      <c r="X13" s="76">
        <f>VLOOKUP($Q13,[1]MEP!$A$4:$K$300,7)</f>
        <v>0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0</v>
      </c>
      <c r="AE13" s="61">
        <f t="shared" si="0"/>
        <v>0</v>
      </c>
      <c r="AF13" s="61">
        <f t="shared" si="1"/>
        <v>0</v>
      </c>
      <c r="AG13" s="61">
        <f t="shared" si="2"/>
        <v>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0</v>
      </c>
      <c r="G14" s="81"/>
      <c r="H14" s="61">
        <f>G61</f>
        <v>0</v>
      </c>
      <c r="I14" s="81"/>
      <c r="J14" s="81"/>
      <c r="K14" s="93">
        <f t="shared" ref="K14:K17" si="14">H14-F14</f>
        <v>0</v>
      </c>
      <c r="L14" s="81"/>
      <c r="M14" s="100"/>
      <c r="P14">
        <v>8</v>
      </c>
      <c r="Q14" s="39"/>
      <c r="R14" s="39"/>
      <c r="S14" s="291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0</v>
      </c>
      <c r="AP14" s="168"/>
      <c r="AQ14" s="168"/>
      <c r="AR14" s="169" t="s">
        <v>480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4"/>
        <v>0</v>
      </c>
      <c r="L15" s="81"/>
      <c r="M15" s="100"/>
      <c r="N15" s="3"/>
      <c r="P15">
        <v>9</v>
      </c>
      <c r="Q15" s="39"/>
      <c r="R15" s="39"/>
      <c r="S15" s="291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481</v>
      </c>
      <c r="AS15" s="13">
        <f>'Conduite Trp'!G5</f>
        <v>0</v>
      </c>
      <c r="AT15" s="13">
        <f>'Conduite Trp'!H5</f>
        <v>0</v>
      </c>
      <c r="AU15" s="13">
        <f>'Conduite Trp'!I5</f>
        <v>0.35025029565217397</v>
      </c>
      <c r="AV15" s="13">
        <f>'Conduite Trp'!J5</f>
        <v>0.35025029565217397</v>
      </c>
      <c r="AW15" s="13">
        <f>'Conduite Trp'!K5</f>
        <v>0.38777711304347828</v>
      </c>
      <c r="AX15" s="13">
        <f>'Conduite Trp'!L5</f>
        <v>5.8186343015652184</v>
      </c>
      <c r="AY15" s="13">
        <f>'Conduite Trp'!M5</f>
        <v>8.006711835652176</v>
      </c>
      <c r="AZ15" s="13">
        <f>'Conduite Trp'!N5</f>
        <v>7.9838588504347836</v>
      </c>
      <c r="BA15" s="13">
        <f>'Conduite Trp'!O5</f>
        <v>6.5079109881739141</v>
      </c>
      <c r="BB15" s="13">
        <f>'Conduite Trp'!P5</f>
        <v>5.5896995280000006</v>
      </c>
      <c r="BC15" s="13">
        <f>'Conduite Trp'!Q5</f>
        <v>5.409386640000001</v>
      </c>
      <c r="BD15" s="13">
        <f>'Conduite Trp'!R5</f>
        <v>1.0937804347826088</v>
      </c>
      <c r="BE15" s="13">
        <f>'Conduite Trp'!S5</f>
        <v>1.1302397826086958</v>
      </c>
      <c r="BF15" s="13">
        <f>'Conduite Trp'!T5</f>
        <v>3.4607655326086957</v>
      </c>
      <c r="BG15" s="13">
        <f>'Conduite Trp'!U5</f>
        <v>3.4607655326086957</v>
      </c>
      <c r="BH15" s="13">
        <f>'Conduite Trp'!V5</f>
        <v>3.4607655326086957</v>
      </c>
      <c r="BI15" s="13">
        <f>'Conduite Trp'!W5</f>
        <v>1.0937804347826088</v>
      </c>
      <c r="BJ15" s="13">
        <f>'Conduite Trp'!X5</f>
        <v>1.0937804347826088</v>
      </c>
      <c r="BK15" s="13">
        <f>'Conduite Trp'!Y5</f>
        <v>1.8988649307478269</v>
      </c>
      <c r="BL15" s="13">
        <f>'Conduite Trp'!Z5</f>
        <v>4.2762400787826094</v>
      </c>
      <c r="BM15" s="13">
        <f>'Conduite Trp'!AA5</f>
        <v>1.2967500000000001</v>
      </c>
      <c r="BN15" s="13">
        <f>'Conduite Trp'!AB5</f>
        <v>1.270815</v>
      </c>
      <c r="BO15" s="13">
        <f>'Conduite Trp'!AC5</f>
        <v>0</v>
      </c>
      <c r="BP15" s="13">
        <f>'Conduite Trp'!AD5</f>
        <v>0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291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482</v>
      </c>
      <c r="AS16" s="13">
        <f>'Conduite Trp'!G6</f>
        <v>0.93215652173913055</v>
      </c>
      <c r="AT16" s="13">
        <f>'Conduite Trp'!H6</f>
        <v>0.93215652173913055</v>
      </c>
      <c r="AU16" s="13">
        <f>'Conduite Trp'!I6</f>
        <v>0.84194782608695662</v>
      </c>
      <c r="AV16" s="13">
        <f>'Conduite Trp'!J6</f>
        <v>0.84194782608695662</v>
      </c>
      <c r="AW16" s="13">
        <f>'Conduite Trp'!K6</f>
        <v>1.5100935652173912</v>
      </c>
      <c r="AX16" s="13">
        <f>'Conduite Trp'!L6</f>
        <v>1.5100935652173912</v>
      </c>
      <c r="AY16" s="13">
        <f>'Conduite Trp'!M6</f>
        <v>1.4613808695652175</v>
      </c>
      <c r="AZ16" s="13">
        <f>'Conduite Trp'!N6</f>
        <v>1.4613808695652175</v>
      </c>
      <c r="BA16" s="13">
        <f>'Conduite Trp'!O6</f>
        <v>3.6169017499999994</v>
      </c>
      <c r="BB16" s="13">
        <f>'Conduite Trp'!P6</f>
        <v>3.6169017499999994</v>
      </c>
      <c r="BC16" s="13">
        <f>'Conduite Trp'!Q6</f>
        <v>3.5002275000000003</v>
      </c>
      <c r="BD16" s="13">
        <f>'Conduite Trp'!R6</f>
        <v>3.5002275000000003</v>
      </c>
      <c r="BE16" s="13">
        <f>'Conduite Trp'!S6</f>
        <v>3.6169017499999994</v>
      </c>
      <c r="BF16" s="13">
        <f>'Conduite Trp'!T6</f>
        <v>1.286376</v>
      </c>
      <c r="BG16" s="13">
        <f>'Conduite Trp'!U6</f>
        <v>1.286376</v>
      </c>
      <c r="BH16" s="13">
        <f>'Conduite Trp'!V6</f>
        <v>1.286376</v>
      </c>
      <c r="BI16" s="13">
        <f>'Conduite Trp'!W6</f>
        <v>3.1635</v>
      </c>
      <c r="BJ16" s="13">
        <f>'Conduite Trp'!X6</f>
        <v>3.1635</v>
      </c>
      <c r="BK16" s="13">
        <f>'Conduite Trp'!Y6</f>
        <v>0</v>
      </c>
      <c r="BL16" s="13">
        <f>'Conduite Trp'!Z6</f>
        <v>0.22371756521739136</v>
      </c>
      <c r="BM16" s="13">
        <f>'Conduite Trp'!AA6</f>
        <v>1.6144372695652174</v>
      </c>
      <c r="BN16" s="13">
        <f>'Conduite Trp'!AB6</f>
        <v>1.6417288695652175</v>
      </c>
      <c r="BO16" s="13">
        <f>'Conduite Trp'!AC6</f>
        <v>0.22371756521739136</v>
      </c>
      <c r="BP16" s="13">
        <f>'Conduite Trp'!AD6</f>
        <v>0.93215652173913055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291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483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0.70843895652173916</v>
      </c>
      <c r="AX17" s="13">
        <f>'Conduite Trp'!L7</f>
        <v>0.70843895652173916</v>
      </c>
      <c r="AY17" s="13">
        <f>'Conduite Trp'!M7</f>
        <v>0.6855860869565219</v>
      </c>
      <c r="AZ17" s="13">
        <f>'Conduite Trp'!N7</f>
        <v>0.6855860869565219</v>
      </c>
      <c r="BA17" s="13">
        <f>'Conduite Trp'!O7</f>
        <v>0.70843895652173916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2.5836367199999999</v>
      </c>
      <c r="BL17" s="13">
        <f>'Conduite Trp'!Z7</f>
        <v>2.0413223965217391</v>
      </c>
      <c r="BM17" s="13">
        <f>'Conduite Trp'!AA7</f>
        <v>0.6855860869565219</v>
      </c>
      <c r="BN17" s="13">
        <f>'Conduite Trp'!AB7</f>
        <v>0.6855860869565219</v>
      </c>
      <c r="BO17" s="13">
        <f>'Conduite Trp'!AC7</f>
        <v>0.70843895652173916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91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310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O19" s="3"/>
      <c r="P19">
        <v>13</v>
      </c>
      <c r="Q19" s="39"/>
      <c r="R19" s="39"/>
      <c r="S19" s="291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481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8.006711835652176</v>
      </c>
      <c r="AZ19" s="61">
        <f t="shared" si="15"/>
        <v>7.9838588504347836</v>
      </c>
      <c r="BA19" s="61">
        <f t="shared" si="15"/>
        <v>6.5079109881739141</v>
      </c>
      <c r="BB19" s="61">
        <f t="shared" si="15"/>
        <v>5.5896995280000006</v>
      </c>
      <c r="BC19" s="61">
        <f t="shared" si="15"/>
        <v>5.409386640000001</v>
      </c>
      <c r="BD19" s="61">
        <f t="shared" si="15"/>
        <v>1.0937804347826088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34.591348277043487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91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1.1302397826086958</v>
      </c>
      <c r="BF20" s="61">
        <f t="shared" si="16"/>
        <v>3.4607655326086957</v>
      </c>
      <c r="BG20" s="61">
        <f t="shared" si="16"/>
        <v>3.4607655326086957</v>
      </c>
      <c r="BH20" s="61">
        <f t="shared" si="16"/>
        <v>3.4607655326086957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11.512536380434783</v>
      </c>
      <c r="BS20" s="140"/>
    </row>
    <row r="21" spans="2:72" ht="15" customHeight="1" x14ac:dyDescent="0.25">
      <c r="B21" s="112"/>
      <c r="C21" s="28"/>
      <c r="D21" s="114" t="s">
        <v>78</v>
      </c>
      <c r="E21" s="63"/>
      <c r="F21" s="63"/>
      <c r="G21" s="115"/>
      <c r="H21" s="52"/>
      <c r="I21" s="63"/>
      <c r="J21" s="63"/>
      <c r="K21" s="116" t="s">
        <v>309</v>
      </c>
      <c r="L21" s="101"/>
      <c r="M21" s="100"/>
      <c r="P21">
        <v>15</v>
      </c>
      <c r="Q21" s="39"/>
      <c r="R21" s="39"/>
      <c r="S21" s="291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8">IF(AT$4=3,AT$15,0)</f>
        <v>0</v>
      </c>
      <c r="AU21" s="61">
        <f t="shared" si="18"/>
        <v>0</v>
      </c>
      <c r="AV21" s="61">
        <f t="shared" si="18"/>
        <v>0</v>
      </c>
      <c r="AW21" s="61">
        <f t="shared" si="18"/>
        <v>0</v>
      </c>
      <c r="AX21" s="61">
        <f t="shared" si="18"/>
        <v>0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1.0937804347826088</v>
      </c>
      <c r="BJ21" s="61">
        <f t="shared" si="18"/>
        <v>1.0937804347826088</v>
      </c>
      <c r="BK21" s="61">
        <f t="shared" si="18"/>
        <v>1.8988649307478269</v>
      </c>
      <c r="BL21" s="61">
        <f t="shared" si="18"/>
        <v>4.2762400787826094</v>
      </c>
      <c r="BM21" s="61">
        <f t="shared" si="18"/>
        <v>1.2967500000000001</v>
      </c>
      <c r="BN21" s="61">
        <f t="shared" si="18"/>
        <v>1.270815</v>
      </c>
      <c r="BO21" s="61">
        <f t="shared" si="18"/>
        <v>0</v>
      </c>
      <c r="BP21" s="61">
        <f t="shared" si="18"/>
        <v>0</v>
      </c>
      <c r="BR21" s="61">
        <f t="shared" si="17"/>
        <v>10.930230879095655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416</v>
      </c>
      <c r="L22" s="63"/>
      <c r="M22" s="100"/>
      <c r="P22">
        <v>16</v>
      </c>
      <c r="Q22" s="39"/>
      <c r="R22" s="39"/>
      <c r="S22" s="291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19">IF(AT$4=4,AT$15,0)</f>
        <v>0</v>
      </c>
      <c r="AU22" s="61">
        <f t="shared" si="19"/>
        <v>0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</v>
      </c>
      <c r="BP22" s="61">
        <f t="shared" si="19"/>
        <v>0</v>
      </c>
      <c r="BR22" s="61">
        <f t="shared" si="17"/>
        <v>0</v>
      </c>
      <c r="BS22" s="140"/>
    </row>
    <row r="23" spans="2:72" ht="15" customHeight="1" x14ac:dyDescent="0.25">
      <c r="B23" s="112"/>
      <c r="C23" s="119" t="s">
        <v>273</v>
      </c>
      <c r="D23" s="78">
        <f>BS7</f>
        <v>3</v>
      </c>
      <c r="E23" s="78">
        <f>BS8</f>
        <v>2</v>
      </c>
      <c r="F23" s="78">
        <f>BS9</f>
        <v>3</v>
      </c>
      <c r="G23" s="78">
        <f>BS10</f>
        <v>2</v>
      </c>
      <c r="H23" s="78">
        <f>BS11</f>
        <v>2</v>
      </c>
      <c r="I23" s="78">
        <f>BS12</f>
        <v>0</v>
      </c>
      <c r="J23" s="63"/>
      <c r="K23" s="148" t="s">
        <v>415</v>
      </c>
      <c r="L23" s="63"/>
      <c r="M23" s="100"/>
      <c r="P23">
        <v>17</v>
      </c>
      <c r="Q23" s="39"/>
      <c r="R23" s="39"/>
      <c r="S23" s="291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0.35025029565217397</v>
      </c>
      <c r="AV23" s="61">
        <f t="shared" si="20"/>
        <v>0.35025029565217397</v>
      </c>
      <c r="AW23" s="61">
        <f t="shared" si="20"/>
        <v>0.38777711304347828</v>
      </c>
      <c r="AX23" s="61">
        <f t="shared" si="20"/>
        <v>5.8186343015652184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6.9069120059130444</v>
      </c>
      <c r="BS23" s="140"/>
    </row>
    <row r="24" spans="2:72" ht="15" customHeight="1" x14ac:dyDescent="0.25">
      <c r="B24" s="112"/>
      <c r="C24" s="117" t="s">
        <v>90</v>
      </c>
      <c r="D24" s="61">
        <f t="shared" ref="D24:I24" si="21">AE27+AE49+AE71</f>
        <v>54.91</v>
      </c>
      <c r="E24" s="61">
        <f t="shared" si="21"/>
        <v>21.175000000000001</v>
      </c>
      <c r="F24" s="61">
        <f t="shared" si="21"/>
        <v>36.465000000000003</v>
      </c>
      <c r="G24" s="61">
        <f t="shared" si="21"/>
        <v>17.056000000000001</v>
      </c>
      <c r="H24" s="61">
        <f t="shared" si="21"/>
        <v>25.509000000000004</v>
      </c>
      <c r="I24" s="61">
        <f t="shared" si="21"/>
        <v>0</v>
      </c>
      <c r="J24" s="63"/>
      <c r="K24" s="61">
        <f>AL27+AL49+AL71</f>
        <v>99.540999999999997</v>
      </c>
      <c r="L24" s="52"/>
      <c r="M24" s="100"/>
      <c r="P24">
        <v>18</v>
      </c>
      <c r="Q24" s="39"/>
      <c r="R24" s="39"/>
      <c r="S24" s="291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40"/>
    </row>
    <row r="25" spans="2:72" ht="15" customHeight="1" x14ac:dyDescent="0.25">
      <c r="B25" s="112"/>
      <c r="C25" s="117" t="s">
        <v>91</v>
      </c>
      <c r="D25" s="61">
        <f>BR7</f>
        <v>53.827979646608711</v>
      </c>
      <c r="E25" s="61">
        <f>BR8</f>
        <v>18.988566130434783</v>
      </c>
      <c r="F25" s="61">
        <f>BR9</f>
        <v>26.733245873878261</v>
      </c>
      <c r="G25" s="61">
        <f>BR10</f>
        <v>3.7286260869565222</v>
      </c>
      <c r="H25" s="61">
        <f>BR11</f>
        <v>13.027872701565219</v>
      </c>
      <c r="I25" s="61">
        <f>BR12</f>
        <v>0</v>
      </c>
      <c r="J25" s="63"/>
      <c r="K25" s="76">
        <f>'Conduite Trp'!C7</f>
        <v>144.9</v>
      </c>
      <c r="L25" s="63"/>
      <c r="M25" s="100"/>
      <c r="P25">
        <v>19</v>
      </c>
      <c r="Q25" s="39"/>
      <c r="R25" s="39"/>
      <c r="S25" s="291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91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92</v>
      </c>
      <c r="D27" s="93">
        <f t="shared" ref="D27:I27" si="23">D24-D25</f>
        <v>1.082020353391286</v>
      </c>
      <c r="E27" s="93">
        <f t="shared" si="23"/>
        <v>2.1864338695652172</v>
      </c>
      <c r="F27" s="93">
        <f t="shared" si="23"/>
        <v>9.7317541261217428</v>
      </c>
      <c r="G27" s="93">
        <f t="shared" si="23"/>
        <v>13.327373913043479</v>
      </c>
      <c r="H27" s="93">
        <f t="shared" si="23"/>
        <v>12.481127298434785</v>
      </c>
      <c r="I27" s="93">
        <f t="shared" si="23"/>
        <v>0</v>
      </c>
      <c r="J27" s="63"/>
      <c r="K27" s="93">
        <f>K24-K25</f>
        <v>-45.359000000000009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35.46</v>
      </c>
      <c r="AF27" s="75">
        <f t="shared" ref="AF27:AJ27" si="24">SUM(AF7:AF26)</f>
        <v>11.500000000000002</v>
      </c>
      <c r="AG27" s="75">
        <f t="shared" si="24"/>
        <v>19.485000000000003</v>
      </c>
      <c r="AH27" s="75">
        <f t="shared" si="24"/>
        <v>12.924999999999999</v>
      </c>
      <c r="AI27" s="75">
        <f t="shared" si="24"/>
        <v>17.238000000000003</v>
      </c>
      <c r="AJ27" s="75">
        <f t="shared" si="24"/>
        <v>0</v>
      </c>
      <c r="AK27"/>
      <c r="AL27" s="75">
        <f>SUM(AL7:AL26)</f>
        <v>65.790999999999997</v>
      </c>
      <c r="AQ27" s="32" t="s">
        <v>482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1.4613808695652175</v>
      </c>
      <c r="AZ27" s="61">
        <f t="shared" si="25"/>
        <v>1.4613808695652175</v>
      </c>
      <c r="BA27" s="61">
        <f t="shared" si="25"/>
        <v>3.6169017499999994</v>
      </c>
      <c r="BB27" s="61">
        <f t="shared" si="25"/>
        <v>3.6169017499999994</v>
      </c>
      <c r="BC27" s="61">
        <f t="shared" si="25"/>
        <v>3.5002275000000003</v>
      </c>
      <c r="BD27" s="61">
        <f t="shared" si="25"/>
        <v>3.5002275000000003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17.157020239130436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3.6169017499999994</v>
      </c>
      <c r="BF28" s="61">
        <f t="shared" si="26"/>
        <v>1.286376</v>
      </c>
      <c r="BG28" s="61">
        <f t="shared" si="26"/>
        <v>1.286376</v>
      </c>
      <c r="BH28" s="61">
        <f t="shared" si="26"/>
        <v>1.286376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7.4760297499999986</v>
      </c>
    </row>
    <row r="29" spans="2:72" ht="15" customHeight="1" thickBot="1" x14ac:dyDescent="0.3">
      <c r="B29" s="150" t="s">
        <v>274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269</v>
      </c>
      <c r="O29" s="279">
        <v>9.3000000000000007</v>
      </c>
      <c r="P29">
        <v>1</v>
      </c>
      <c r="Q29" s="39">
        <v>239</v>
      </c>
      <c r="R29" s="39">
        <v>4.3</v>
      </c>
      <c r="S29" s="291" t="str">
        <f>VLOOKUP($Q29,[1]MEP!$A$5:$D$300,3)</f>
        <v>PP bonnne P prélèvement étalé</v>
      </c>
      <c r="T29" s="76" t="str">
        <f>VLOOKUP($Q29,[1]MEP!$A$5:$D$300,4)</f>
        <v>zone 1</v>
      </c>
      <c r="U29" s="76" t="str">
        <f>VLOOKUP($Q29,[1]MEP!$A$4:$K$300,2)</f>
        <v>P</v>
      </c>
      <c r="V29" s="76">
        <f>VLOOKUP($Q29,[1]MEP!$A$4:$K$300,5)</f>
        <v>3</v>
      </c>
      <c r="W29" s="76">
        <f>VLOOKUP($Q29,[1]MEP!$A$4:$K$300,6)</f>
        <v>2</v>
      </c>
      <c r="X29" s="76">
        <f>VLOOKUP($Q29,[1]MEP!$A$4:$K$300,7)</f>
        <v>1.5</v>
      </c>
      <c r="Y29" s="76">
        <f>VLOOKUP($Q29,[1]MEP!$A$4:$K$300,8)</f>
        <v>0.5</v>
      </c>
      <c r="Z29" s="76">
        <f>VLOOKUP($Q29,[1]MEP!$A$4:$K$300,9)</f>
        <v>0.5</v>
      </c>
      <c r="AA29" s="76">
        <f>VLOOKUP($Q29,[1]MEP!$A$4:$K$300,10)</f>
        <v>0</v>
      </c>
      <c r="AC29" s="76">
        <f>VLOOKUP($Q29,[1]MEP!$A$4:$K$300,11)</f>
        <v>0</v>
      </c>
      <c r="AE29" s="61">
        <f t="shared" ref="AE29:AE48" si="28">$R29*V29</f>
        <v>12.899999999999999</v>
      </c>
      <c r="AF29" s="61">
        <f t="shared" ref="AF29:AF48" si="29">$R29*W29</f>
        <v>8.6</v>
      </c>
      <c r="AG29" s="61">
        <f t="shared" ref="AG29:AG48" si="30">$R29*X29</f>
        <v>6.4499999999999993</v>
      </c>
      <c r="AH29" s="61">
        <f t="shared" ref="AH29:AH48" si="31">$R29*Y29</f>
        <v>2.15</v>
      </c>
      <c r="AI29" s="61">
        <f t="shared" ref="AI29:AI48" si="32">$R29*Z29</f>
        <v>2.15</v>
      </c>
      <c r="AJ29" s="61">
        <f t="shared" ref="AJ29:AJ48" si="33">$R29*AA29</f>
        <v>0</v>
      </c>
      <c r="AK29"/>
      <c r="AL29" s="61">
        <f t="shared" ref="AL29:AL48" si="34">R29*AC29</f>
        <v>0</v>
      </c>
      <c r="AR29" s="69">
        <v>3</v>
      </c>
      <c r="AS29" s="61">
        <f>IF(AS$4=3,AS$16,0)</f>
        <v>0</v>
      </c>
      <c r="AT29" s="61">
        <f t="shared" ref="AT29:BP29" si="35">IF(AT$4=3,AT$16,0)</f>
        <v>0</v>
      </c>
      <c r="AU29" s="61">
        <f t="shared" si="35"/>
        <v>0</v>
      </c>
      <c r="AV29" s="61">
        <f t="shared" si="35"/>
        <v>0</v>
      </c>
      <c r="AW29" s="61">
        <f t="shared" si="35"/>
        <v>0</v>
      </c>
      <c r="AX29" s="61">
        <f t="shared" si="35"/>
        <v>0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3.1635</v>
      </c>
      <c r="BJ29" s="61">
        <f t="shared" si="35"/>
        <v>3.1635</v>
      </c>
      <c r="BK29" s="61">
        <f t="shared" si="35"/>
        <v>0</v>
      </c>
      <c r="BL29" s="61">
        <f t="shared" si="35"/>
        <v>0.22371756521739136</v>
      </c>
      <c r="BM29" s="61">
        <f t="shared" si="35"/>
        <v>1.6144372695652174</v>
      </c>
      <c r="BN29" s="61">
        <f t="shared" si="35"/>
        <v>1.6417288695652175</v>
      </c>
      <c r="BO29" s="61">
        <f t="shared" si="35"/>
        <v>0</v>
      </c>
      <c r="BP29" s="61">
        <f t="shared" si="35"/>
        <v>0</v>
      </c>
      <c r="BR29" s="61">
        <f t="shared" si="27"/>
        <v>9.8068837043478254</v>
      </c>
    </row>
    <row r="30" spans="2:72" ht="15" customHeight="1" x14ac:dyDescent="0.25">
      <c r="N30" s="17" t="s">
        <v>89</v>
      </c>
      <c r="O30" s="286">
        <f>SUM(R29:R48)</f>
        <v>9.3000000000000007</v>
      </c>
      <c r="P30">
        <v>2</v>
      </c>
      <c r="Q30" s="39">
        <v>242</v>
      </c>
      <c r="R30" s="39"/>
      <c r="S30" s="291" t="str">
        <f>VLOOKUP($Q30,[1]MEP!$A$5:$D$300,3)</f>
        <v>PP bonne 1 coupe estivales</v>
      </c>
      <c r="T30" s="76" t="str">
        <f>VLOOKUP($Q30,[1]MEP!$A$5:$D$300,4)</f>
        <v>zone 1</v>
      </c>
      <c r="U30" s="76" t="str">
        <f>VLOOKUP($Q30,[1]MEP!$A$4:$K$300,2)</f>
        <v>F/P</v>
      </c>
      <c r="V30" s="76">
        <f>VLOOKUP($Q30,[1]MEP!$A$4:$K$300,5)</f>
        <v>1.5</v>
      </c>
      <c r="W30" s="76">
        <f>VLOOKUP($Q30,[1]MEP!$A$4:$K$300,6)</f>
        <v>0</v>
      </c>
      <c r="X30" s="76">
        <f>VLOOKUP($Q30,[1]MEP!$A$4:$K$300,7)</f>
        <v>0.75</v>
      </c>
      <c r="Y30" s="76">
        <f>VLOOKUP($Q30,[1]MEP!$A$4:$K$300,8)</f>
        <v>0.75</v>
      </c>
      <c r="Z30" s="76">
        <f>VLOOKUP($Q30,[1]MEP!$A$4:$K$300,9)</f>
        <v>1.06</v>
      </c>
      <c r="AA30" s="76">
        <f>VLOOKUP($Q30,[1]MEP!$A$4:$K$300,10)</f>
        <v>0</v>
      </c>
      <c r="AC30" s="76">
        <f>VLOOKUP($Q30,[1]MEP!$A$4:$K$300,11)</f>
        <v>3.27</v>
      </c>
      <c r="AE30" s="61">
        <f t="shared" si="28"/>
        <v>0</v>
      </c>
      <c r="AF30" s="61">
        <f t="shared" si="29"/>
        <v>0</v>
      </c>
      <c r="AG30" s="61">
        <f t="shared" si="30"/>
        <v>0</v>
      </c>
      <c r="AH30" s="61">
        <f t="shared" si="31"/>
        <v>0</v>
      </c>
      <c r="AI30" s="61">
        <f t="shared" si="32"/>
        <v>0</v>
      </c>
      <c r="AJ30" s="61">
        <f t="shared" si="33"/>
        <v>0</v>
      </c>
      <c r="AK30"/>
      <c r="AL30" s="61">
        <f t="shared" si="34"/>
        <v>0</v>
      </c>
      <c r="AR30" s="70">
        <v>4</v>
      </c>
      <c r="AS30" s="61">
        <f>IF(AS$4=4,AS$16,0)</f>
        <v>0.93215652173913055</v>
      </c>
      <c r="AT30" s="61">
        <f t="shared" ref="AT30:BP30" si="36">IF(AT$4=4,AT$16,0)</f>
        <v>0.93215652173913055</v>
      </c>
      <c r="AU30" s="61">
        <f t="shared" si="36"/>
        <v>0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0.22371756521739136</v>
      </c>
      <c r="BP30" s="61">
        <f t="shared" si="36"/>
        <v>0.93215652173913055</v>
      </c>
      <c r="BR30" s="61">
        <f t="shared" si="27"/>
        <v>3.0201871304347829</v>
      </c>
    </row>
    <row r="31" spans="2:72" ht="15" customHeight="1" x14ac:dyDescent="0.25">
      <c r="D31" s="43" t="s">
        <v>311</v>
      </c>
      <c r="P31">
        <v>3</v>
      </c>
      <c r="Q31" s="39">
        <v>194</v>
      </c>
      <c r="R31" s="39">
        <v>5</v>
      </c>
      <c r="S31" s="291" t="str">
        <f>VLOOKUP($Q31,[1]MEP!$A$5:$D$300,3)</f>
        <v>PT Excellente 2 coupes avec deprimage</v>
      </c>
      <c r="T31" s="76" t="str">
        <f>VLOOKUP($Q31,[1]MEP!$A$5:$D$300,4)</f>
        <v>zone 1</v>
      </c>
      <c r="U31" s="76" t="str">
        <f>VLOOKUP($Q31,[1]MEP!$A$4:$K$300,2)</f>
        <v>F/P</v>
      </c>
      <c r="V31" s="76">
        <f>VLOOKUP($Q31,[1]MEP!$A$4:$K$300,5)</f>
        <v>0.88000000000000012</v>
      </c>
      <c r="W31" s="76">
        <f>VLOOKUP($Q31,[1]MEP!$A$4:$K$300,6)</f>
        <v>0</v>
      </c>
      <c r="X31" s="76">
        <f>VLOOKUP($Q31,[1]MEP!$A$4:$K$300,7)</f>
        <v>0.82799999999999996</v>
      </c>
      <c r="Y31" s="76">
        <f>VLOOKUP($Q31,[1]MEP!$A$4:$K$300,8)</f>
        <v>0.20699999999999999</v>
      </c>
      <c r="Z31" s="76">
        <f>VLOOKUP($Q31,[1]MEP!$A$4:$K$300,9)</f>
        <v>1.0349999999999999</v>
      </c>
      <c r="AA31" s="76">
        <f>VLOOKUP($Q31,[1]MEP!$A$4:$K$300,10)</f>
        <v>0</v>
      </c>
      <c r="AC31" s="76">
        <f>VLOOKUP($Q31,[1]MEP!$A$4:$K$300,11)</f>
        <v>6.75</v>
      </c>
      <c r="AE31" s="61">
        <f t="shared" si="28"/>
        <v>4.4000000000000004</v>
      </c>
      <c r="AF31" s="61">
        <f t="shared" si="29"/>
        <v>0</v>
      </c>
      <c r="AG31" s="61">
        <f t="shared" si="30"/>
        <v>4.1399999999999997</v>
      </c>
      <c r="AH31" s="61">
        <f t="shared" si="31"/>
        <v>1.0349999999999999</v>
      </c>
      <c r="AI31" s="61">
        <f t="shared" si="32"/>
        <v>5.1749999999999998</v>
      </c>
      <c r="AJ31" s="61">
        <f t="shared" si="33"/>
        <v>0</v>
      </c>
      <c r="AK31"/>
      <c r="AL31" s="61">
        <f t="shared" si="34"/>
        <v>33.75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0.84194782608695662</v>
      </c>
      <c r="AV31" s="61">
        <f t="shared" si="37"/>
        <v>0.84194782608695662</v>
      </c>
      <c r="AW31" s="61">
        <f t="shared" si="37"/>
        <v>1.5100935652173912</v>
      </c>
      <c r="AX31" s="61">
        <f t="shared" si="37"/>
        <v>1.5100935652173912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4.7040827826086957</v>
      </c>
    </row>
    <row r="32" spans="2:72" x14ac:dyDescent="0.25">
      <c r="D32" s="68" t="s">
        <v>267</v>
      </c>
      <c r="E32" s="68" t="s">
        <v>18</v>
      </c>
      <c r="F32" s="296" t="s">
        <v>276</v>
      </c>
      <c r="G32" s="296"/>
      <c r="H32" s="82"/>
      <c r="I32" s="68" t="s">
        <v>280</v>
      </c>
      <c r="J32" s="82" t="s">
        <v>280</v>
      </c>
      <c r="K32" s="296" t="s">
        <v>278</v>
      </c>
      <c r="L32" s="296"/>
      <c r="M32" s="82"/>
      <c r="P32">
        <v>4</v>
      </c>
      <c r="Q32" s="39"/>
      <c r="R32" s="39"/>
      <c r="S32" s="291" t="e">
        <f>VLOOKUP($Q32,[1]MEP!$A$5:$D$300,3)</f>
        <v>#N/A</v>
      </c>
      <c r="T32" s="76" t="e">
        <f>VLOOKUP($Q32,[1]MEP!$A$5:$D$300,4)</f>
        <v>#N/A</v>
      </c>
      <c r="U32" s="76">
        <f>VLOOKUP($Q32,[1]MEP!$A$4:$K$300,2)</f>
        <v>0</v>
      </c>
      <c r="V32" s="76">
        <f>VLOOKUP($Q32,[1]MEP!$A$4:$K$300,5)</f>
        <v>0</v>
      </c>
      <c r="W32" s="76">
        <f>VLOOKUP($Q32,[1]MEP!$A$4:$K$300,6)</f>
        <v>0</v>
      </c>
      <c r="X32" s="76">
        <f>VLOOKUP($Q32,[1]MEP!$A$4:$K$300,7)</f>
        <v>0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0</v>
      </c>
      <c r="AE32" s="61">
        <f t="shared" si="28"/>
        <v>0</v>
      </c>
      <c r="AF32" s="61">
        <f t="shared" si="29"/>
        <v>0</v>
      </c>
      <c r="AG32" s="61">
        <f t="shared" si="30"/>
        <v>0</v>
      </c>
      <c r="AH32" s="61">
        <f t="shared" si="31"/>
        <v>0</v>
      </c>
      <c r="AI32" s="61">
        <f t="shared" si="32"/>
        <v>0</v>
      </c>
      <c r="AJ32" s="61">
        <f t="shared" si="33"/>
        <v>0</v>
      </c>
      <c r="AK32"/>
      <c r="AL32" s="61">
        <f t="shared" si="34"/>
        <v>0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275</v>
      </c>
      <c r="E33" s="68" t="s">
        <v>88</v>
      </c>
      <c r="F33" s="58" t="s">
        <v>277</v>
      </c>
      <c r="G33" s="68" t="s">
        <v>36</v>
      </c>
      <c r="H33" s="82" t="s">
        <v>301</v>
      </c>
      <c r="I33" s="68" t="s">
        <v>279</v>
      </c>
      <c r="J33" s="82" t="s">
        <v>279</v>
      </c>
      <c r="K33" s="58" t="s">
        <v>277</v>
      </c>
      <c r="L33" s="68" t="s">
        <v>36</v>
      </c>
      <c r="M33" s="82" t="s">
        <v>300</v>
      </c>
      <c r="P33">
        <v>5</v>
      </c>
      <c r="Q33" s="39"/>
      <c r="R33" s="39"/>
      <c r="S33" s="291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 xml:space="preserve">maïs ensil zone 1 </v>
      </c>
      <c r="D34" s="39">
        <v>6</v>
      </c>
      <c r="E34" s="39">
        <v>1</v>
      </c>
      <c r="F34" s="76">
        <f>VLOOKUP($D34,[1]Cult!$A$5:$F$61,3)</f>
        <v>0</v>
      </c>
      <c r="G34" s="76">
        <f>VLOOKUP($D34,[1]Cult!$A$5:$F$61,4)</f>
        <v>0</v>
      </c>
      <c r="H34" s="76">
        <f>VLOOKUP($D34,[1]Cult!$A$5:$F$61,5)</f>
        <v>13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39">E34*F34</f>
        <v>0</v>
      </c>
      <c r="L34" s="61">
        <f t="shared" ref="L34:L43" si="40">E34*G34</f>
        <v>0</v>
      </c>
      <c r="M34" s="61">
        <f t="shared" ref="M34:M43" si="41">E34*H34</f>
        <v>13</v>
      </c>
      <c r="P34">
        <v>6</v>
      </c>
      <c r="Q34" s="39"/>
      <c r="R34" s="39"/>
      <c r="S34" s="291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>
        <f>VLOOKUP($D35,[1]Cult!$A$5:$F$61,2)</f>
        <v>0</v>
      </c>
      <c r="D35" s="39"/>
      <c r="E35" s="39"/>
      <c r="F35" s="76">
        <f>VLOOKUP($D35,[1]Cult!$A$5:$F$61,3)</f>
        <v>0</v>
      </c>
      <c r="G35" s="76">
        <f>VLOOKUP($D35,[1]Cult!$A$5:$F$61,4)</f>
        <v>0</v>
      </c>
      <c r="H35" s="76">
        <f>VLOOKUP($D35,[1]Cult!$A$5:$F$61,5)</f>
        <v>0</v>
      </c>
      <c r="I35" s="76" t="str">
        <f>VLOOKUP($D35,[1]Cult!$A$5:$F$61,6)</f>
        <v>0 -pas d'utilisation comme concentrés</v>
      </c>
      <c r="J35" s="76">
        <f t="shared" ref="J35:J43" si="42">VALUE(LEFT(I35,2))</f>
        <v>0</v>
      </c>
      <c r="K35" s="61">
        <f t="shared" si="39"/>
        <v>0</v>
      </c>
      <c r="L35" s="61">
        <f t="shared" si="40"/>
        <v>0</v>
      </c>
      <c r="M35" s="61">
        <f t="shared" si="41"/>
        <v>0</v>
      </c>
      <c r="P35">
        <v>7</v>
      </c>
      <c r="Q35" s="39"/>
      <c r="R35" s="39"/>
      <c r="S35" s="291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483</v>
      </c>
      <c r="AR35" s="69">
        <v>1</v>
      </c>
      <c r="AS35" s="61">
        <f>IF(AS$4=1,AS$17,0)</f>
        <v>0</v>
      </c>
      <c r="AT35" s="61">
        <f t="shared" ref="AT35:BP35" si="43">IF(AT$4=1,AT$17,0)</f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0.6855860869565219</v>
      </c>
      <c r="AZ35" s="61">
        <f t="shared" si="43"/>
        <v>0.6855860869565219</v>
      </c>
      <c r="BA35" s="61">
        <f t="shared" si="43"/>
        <v>0.70843895652173916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2.0796111304347829</v>
      </c>
      <c r="BS35"/>
    </row>
    <row r="36" spans="2:73" x14ac:dyDescent="0.25">
      <c r="B36" s="76">
        <f>VLOOKUP($D36,[1]Cult!$A$5:$F$61,2)</f>
        <v>0</v>
      </c>
      <c r="D36" s="39"/>
      <c r="E36" s="39"/>
      <c r="F36" s="76">
        <f>VLOOKUP($D36,[1]Cult!$A$5:$F$61,3)</f>
        <v>0</v>
      </c>
      <c r="G36" s="76">
        <f>VLOOKUP($D36,[1]Cult!$A$5:$F$61,4)</f>
        <v>0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2"/>
        <v>0</v>
      </c>
      <c r="K36" s="61">
        <f t="shared" si="39"/>
        <v>0</v>
      </c>
      <c r="L36" s="61">
        <f t="shared" si="40"/>
        <v>0</v>
      </c>
      <c r="M36" s="61">
        <f t="shared" si="41"/>
        <v>0</v>
      </c>
      <c r="P36">
        <v>8</v>
      </c>
      <c r="Q36" s="39"/>
      <c r="R36" s="39"/>
      <c r="S36" s="291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72"/>
      <c r="AP36" s="164"/>
      <c r="AQ36" s="164"/>
      <c r="AR36" s="70">
        <v>2</v>
      </c>
      <c r="AS36" s="61">
        <f>IF(AS$4=2,AS$17,0)</f>
        <v>0</v>
      </c>
      <c r="AT36" s="61">
        <f t="shared" ref="AT36:BP36" si="44">IF(AT$4=2,AT$17,0)</f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 t="shared" si="39"/>
        <v>0</v>
      </c>
      <c r="L37" s="61">
        <f t="shared" si="40"/>
        <v>0</v>
      </c>
      <c r="M37" s="61">
        <f t="shared" si="41"/>
        <v>0</v>
      </c>
      <c r="P37">
        <v>9</v>
      </c>
      <c r="Q37" s="39"/>
      <c r="R37" s="39"/>
      <c r="S37" s="291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6">IF(AT$4=3,AT$17,0)</f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0</v>
      </c>
      <c r="BK37" s="61">
        <f t="shared" si="46"/>
        <v>2.5836367199999999</v>
      </c>
      <c r="BL37" s="61">
        <f t="shared" si="46"/>
        <v>2.0413223965217391</v>
      </c>
      <c r="BM37" s="61">
        <f t="shared" si="46"/>
        <v>0.6855860869565219</v>
      </c>
      <c r="BN37" s="61">
        <f t="shared" si="46"/>
        <v>0.6855860869565219</v>
      </c>
      <c r="BO37" s="61">
        <f t="shared" si="46"/>
        <v>0</v>
      </c>
      <c r="BP37" s="61">
        <f t="shared" si="46"/>
        <v>0</v>
      </c>
      <c r="BR37" s="61">
        <f t="shared" si="45"/>
        <v>5.9961312904347821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 t="shared" si="39"/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291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7">IF(AT$4=4,AT$17,0)</f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0.70843895652173916</v>
      </c>
      <c r="BP38" s="61">
        <f t="shared" si="47"/>
        <v>0</v>
      </c>
      <c r="BR38" s="61">
        <f t="shared" si="45"/>
        <v>0.70843895652173916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291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48">IF(AT$4=5,AT$17,0)</f>
        <v>0</v>
      </c>
      <c r="AU39" s="61">
        <f t="shared" si="48"/>
        <v>0</v>
      </c>
      <c r="AV39" s="61">
        <f t="shared" si="48"/>
        <v>0</v>
      </c>
      <c r="AW39" s="61">
        <f t="shared" si="48"/>
        <v>0.70843895652173916</v>
      </c>
      <c r="AX39" s="61">
        <f t="shared" si="48"/>
        <v>0.70843895652173916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1.4168779130434783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291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72"/>
      <c r="AP40" s="164"/>
      <c r="AQ40" s="164"/>
      <c r="AR40" s="69">
        <v>6</v>
      </c>
      <c r="AS40" s="61">
        <f>IF(AS$4=6,AS$17,0)</f>
        <v>0</v>
      </c>
      <c r="AT40" s="61">
        <f t="shared" ref="AT40:BP40" si="49">IF(AT$4=6,AT$17,0)</f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291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291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291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91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91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91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91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425</v>
      </c>
      <c r="P48">
        <v>20</v>
      </c>
      <c r="Q48" s="39"/>
      <c r="R48" s="39"/>
      <c r="S48" s="291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285</v>
      </c>
      <c r="R49" s="58"/>
      <c r="T49" s="139"/>
      <c r="AA49"/>
      <c r="AC49" s="58"/>
      <c r="AE49" s="75">
        <f>SUM(AE29:AE48)</f>
        <v>17.299999999999997</v>
      </c>
      <c r="AF49" s="75">
        <f t="shared" ref="AF49" si="50">SUM(AF29:AF48)</f>
        <v>8.6</v>
      </c>
      <c r="AG49" s="75">
        <f t="shared" ref="AG49" si="51">SUM(AG29:AG48)</f>
        <v>10.59</v>
      </c>
      <c r="AH49" s="75">
        <f t="shared" ref="AH49" si="52">SUM(AH29:AH48)</f>
        <v>3.1849999999999996</v>
      </c>
      <c r="AI49" s="75">
        <f t="shared" ref="AI49" si="53">SUM(AI29:AI48)</f>
        <v>7.3249999999999993</v>
      </c>
      <c r="AJ49" s="75">
        <f t="shared" ref="AJ49" si="54">SUM(AJ29:AJ48)</f>
        <v>0</v>
      </c>
      <c r="AK49"/>
      <c r="AL49" s="75">
        <f>SUM(AL29:AL48)</f>
        <v>33.75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308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0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270</v>
      </c>
      <c r="O51" s="39">
        <v>11.1</v>
      </c>
      <c r="P51">
        <v>1</v>
      </c>
      <c r="Q51" s="39">
        <v>17</v>
      </c>
      <c r="R51" s="39">
        <v>4.3</v>
      </c>
      <c r="S51" s="291" t="str">
        <f>VLOOKUP($Q51,[1]MEP!$A$5:$D$300,3)</f>
        <v>landes privées</v>
      </c>
      <c r="T51" s="76" t="str">
        <f>VLOOKUP($Q51,[1]MEP!$A$5:$D$300,4)</f>
        <v>zone 1</v>
      </c>
      <c r="U51" s="76" t="str">
        <f>VLOOKUP($Q51,[1]MEP!$A$4:$K$300,2)</f>
        <v>P</v>
      </c>
      <c r="V51" s="76">
        <f>VLOOKUP($Q51,[1]MEP!$A$4:$K$300,5)</f>
        <v>0.5</v>
      </c>
      <c r="W51" s="76">
        <f>VLOOKUP($Q51,[1]MEP!$A$4:$K$300,6)</f>
        <v>0.25</v>
      </c>
      <c r="X51" s="76">
        <f>VLOOKUP($Q51,[1]MEP!$A$4:$K$300,7)</f>
        <v>0.3</v>
      </c>
      <c r="Y51" s="76">
        <f>VLOOKUP($Q51,[1]MEP!$A$4:$K$300,8)</f>
        <v>0.22</v>
      </c>
      <c r="Z51" s="76">
        <f>VLOOKUP($Q51,[1]MEP!$A$4:$K$300,9)</f>
        <v>0.22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2.15</v>
      </c>
      <c r="AF51" s="61">
        <f t="shared" ref="AF51:AF70" si="61">$R51*W51</f>
        <v>1.075</v>
      </c>
      <c r="AG51" s="61">
        <f t="shared" ref="AG51:AG70" si="62">$R51*X51</f>
        <v>1.2899999999999998</v>
      </c>
      <c r="AH51" s="61">
        <f t="shared" ref="AH51:AH70" si="63">$R51*Y51</f>
        <v>0.94599999999999995</v>
      </c>
      <c r="AI51" s="61">
        <f t="shared" ref="AI51:AI70" si="64">$R51*Z51</f>
        <v>0.94599999999999995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0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89</v>
      </c>
      <c r="O52" s="42">
        <f>SUM(R51:R70)</f>
        <v>11.1</v>
      </c>
      <c r="P52">
        <v>2</v>
      </c>
      <c r="Q52" s="39">
        <v>172</v>
      </c>
      <c r="R52" s="39">
        <v>6.8</v>
      </c>
      <c r="S52" s="291" t="str">
        <f>VLOOKUP($Q52,[1]MEP!$A$5:$D$300,3)</f>
        <v xml:space="preserve">landes privées </v>
      </c>
      <c r="T52" s="76" t="str">
        <f>VLOOKUP($Q52,[1]MEP!$A$5:$D$300,4)</f>
        <v>zone 1</v>
      </c>
      <c r="U52" s="76" t="str">
        <f>VLOOKUP($Q52,[1]MEP!$A$4:$K$300,2)</f>
        <v>P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0.75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5.0999999999999996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0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291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291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0</v>
      </c>
      <c r="I55" s="61">
        <f t="shared" si="57"/>
        <v>0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291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291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291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291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291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291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0</v>
      </c>
      <c r="G61" s="75">
        <f t="shared" ref="G61:K61" si="67">SUM(G51:G60)</f>
        <v>0</v>
      </c>
      <c r="H61" s="75">
        <f t="shared" si="67"/>
        <v>0</v>
      </c>
      <c r="I61" s="75">
        <f t="shared" si="67"/>
        <v>0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291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91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91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91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91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165" t="s">
        <v>475</v>
      </c>
      <c r="C66" s="165"/>
      <c r="D66" s="165"/>
      <c r="E66" s="165"/>
      <c r="F66" s="165"/>
      <c r="G66" s="166" t="s">
        <v>476</v>
      </c>
      <c r="H66" s="166"/>
      <c r="P66">
        <v>16</v>
      </c>
      <c r="Q66" s="39"/>
      <c r="R66" s="39"/>
      <c r="S66" s="291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91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91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167" t="s">
        <v>477</v>
      </c>
      <c r="C69" s="28"/>
      <c r="D69" s="114" t="s">
        <v>78</v>
      </c>
      <c r="E69" s="63"/>
      <c r="F69" s="63"/>
      <c r="G69" s="115"/>
      <c r="H69" s="52"/>
      <c r="I69" s="63"/>
      <c r="J69" s="63"/>
      <c r="K69" s="116" t="s">
        <v>309</v>
      </c>
      <c r="L69" s="101"/>
      <c r="P69">
        <v>19</v>
      </c>
      <c r="Q69" s="39"/>
      <c r="R69" s="39"/>
      <c r="S69" s="291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416</v>
      </c>
      <c r="L70" s="63"/>
      <c r="P70">
        <v>20</v>
      </c>
      <c r="Q70" s="39"/>
      <c r="R70" s="39"/>
      <c r="S70" s="291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273</v>
      </c>
      <c r="D71" s="78">
        <f>$BS$7</f>
        <v>3</v>
      </c>
      <c r="E71" s="78">
        <f>$BS$8</f>
        <v>2</v>
      </c>
      <c r="F71" s="78">
        <f>$BS$9</f>
        <v>3</v>
      </c>
      <c r="G71" s="78">
        <f>$BS$10</f>
        <v>2</v>
      </c>
      <c r="H71" s="78">
        <f>$BS$11</f>
        <v>2</v>
      </c>
      <c r="I71" s="78">
        <f>BS60</f>
        <v>0</v>
      </c>
      <c r="J71" s="63"/>
      <c r="K71" s="148" t="s">
        <v>415</v>
      </c>
      <c r="L71" s="63"/>
      <c r="AE71" s="75">
        <f t="shared" ref="AE71:AJ71" si="68">SUM(AE51:AE70)</f>
        <v>2.15</v>
      </c>
      <c r="AF71" s="75">
        <f t="shared" si="68"/>
        <v>1.075</v>
      </c>
      <c r="AG71" s="75">
        <f t="shared" si="68"/>
        <v>6.39</v>
      </c>
      <c r="AH71" s="75">
        <f t="shared" si="68"/>
        <v>0.94599999999999995</v>
      </c>
      <c r="AI71" s="75">
        <f t="shared" si="68"/>
        <v>0.94599999999999995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90</v>
      </c>
      <c r="D72" s="61">
        <f>AE27</f>
        <v>35.46</v>
      </c>
      <c r="E72" s="61">
        <f t="shared" ref="E72:H72" si="69">AF27</f>
        <v>11.500000000000002</v>
      </c>
      <c r="F72" s="61">
        <f t="shared" si="69"/>
        <v>19.485000000000003</v>
      </c>
      <c r="G72" s="61">
        <f t="shared" si="69"/>
        <v>12.924999999999999</v>
      </c>
      <c r="H72" s="61">
        <f t="shared" si="69"/>
        <v>17.238000000000003</v>
      </c>
      <c r="I72" s="61">
        <f t="shared" ref="I72" si="70">AJ75+AJ97+AJ119</f>
        <v>0</v>
      </c>
      <c r="J72" s="63"/>
      <c r="K72" s="61">
        <f>+K24</f>
        <v>99.540999999999997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91</v>
      </c>
      <c r="D73" s="61">
        <f>BR19</f>
        <v>34.591348277043487</v>
      </c>
      <c r="E73" s="61">
        <f>BR20</f>
        <v>11.512536380434783</v>
      </c>
      <c r="F73" s="61">
        <f>BR21</f>
        <v>10.930230879095655</v>
      </c>
      <c r="G73" s="61">
        <f>BR22</f>
        <v>0</v>
      </c>
      <c r="H73" s="61">
        <f>BR23</f>
        <v>6.9069120059130444</v>
      </c>
      <c r="I73" s="61">
        <f>BR60</f>
        <v>0</v>
      </c>
      <c r="J73" s="63"/>
      <c r="K73" s="76">
        <f>+K25</f>
        <v>144.9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92</v>
      </c>
      <c r="D75" s="93">
        <f>D72-D73</f>
        <v>0.86865172295651405</v>
      </c>
      <c r="E75" s="93">
        <f t="shared" ref="E75:I75" si="71">E72-E73</f>
        <v>-1.2536380434781336E-2</v>
      </c>
      <c r="F75" s="93">
        <f t="shared" si="71"/>
        <v>8.5547691209043482</v>
      </c>
      <c r="G75" s="93">
        <f t="shared" si="71"/>
        <v>12.924999999999999</v>
      </c>
      <c r="H75" s="93">
        <f t="shared" si="71"/>
        <v>10.331087994086959</v>
      </c>
      <c r="I75" s="93">
        <f t="shared" si="71"/>
        <v>0</v>
      </c>
      <c r="J75" s="63"/>
      <c r="K75" s="93">
        <f>+K27</f>
        <v>-45.359000000000009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7"/>
      <c r="AK78"/>
      <c r="AN78" s="32"/>
      <c r="AT78" s="5"/>
      <c r="AU78" s="5"/>
      <c r="BS78"/>
      <c r="BU78" s="82"/>
    </row>
    <row r="79" spans="2:73" x14ac:dyDescent="0.25">
      <c r="B79" s="167" t="s">
        <v>478</v>
      </c>
      <c r="C79" s="28"/>
      <c r="D79" s="114" t="s">
        <v>78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273</v>
      </c>
      <c r="D81" s="78">
        <f>$BS$7</f>
        <v>3</v>
      </c>
      <c r="E81" s="78">
        <f>$BS$8</f>
        <v>2</v>
      </c>
      <c r="F81" s="78">
        <f>$BS$9</f>
        <v>3</v>
      </c>
      <c r="G81" s="78">
        <f>$BS$10</f>
        <v>2</v>
      </c>
      <c r="H81" s="78">
        <f>$BS$11</f>
        <v>2</v>
      </c>
      <c r="AK81"/>
      <c r="AN81" s="32"/>
      <c r="AT81" s="5"/>
      <c r="AU81" s="5"/>
      <c r="BS81"/>
      <c r="BU81" s="82"/>
    </row>
    <row r="82" spans="2:73" x14ac:dyDescent="0.25">
      <c r="C82" s="117" t="s">
        <v>90</v>
      </c>
      <c r="D82" s="61">
        <f>AE49</f>
        <v>17.299999999999997</v>
      </c>
      <c r="E82" s="61">
        <f t="shared" ref="E82:H82" si="72">AF49</f>
        <v>8.6</v>
      </c>
      <c r="F82" s="61">
        <f t="shared" si="72"/>
        <v>10.59</v>
      </c>
      <c r="G82" s="61">
        <f t="shared" si="72"/>
        <v>3.1849999999999996</v>
      </c>
      <c r="H82" s="61">
        <f t="shared" si="72"/>
        <v>7.3249999999999993</v>
      </c>
      <c r="AK82"/>
      <c r="AN82" s="32"/>
      <c r="AT82" s="5"/>
      <c r="AU82" s="5"/>
      <c r="BS82"/>
      <c r="BU82" s="82"/>
    </row>
    <row r="83" spans="2:73" x14ac:dyDescent="0.25">
      <c r="C83" s="117" t="s">
        <v>91</v>
      </c>
      <c r="D83" s="61">
        <f>BR27</f>
        <v>17.157020239130436</v>
      </c>
      <c r="E83" s="61">
        <f>BR28</f>
        <v>7.4760297499999986</v>
      </c>
      <c r="F83" s="61">
        <f>BR29</f>
        <v>9.8068837043478254</v>
      </c>
      <c r="G83" s="61">
        <f>BR30</f>
        <v>3.0201871304347829</v>
      </c>
      <c r="H83" s="61">
        <f>BR31</f>
        <v>4.7040827826086957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92</v>
      </c>
      <c r="D85" s="93">
        <f>D82-D83</f>
        <v>0.14297976086956155</v>
      </c>
      <c r="E85" s="93">
        <f t="shared" ref="E85:H85" si="73">E82-E83</f>
        <v>1.1239702500000011</v>
      </c>
      <c r="F85" s="93">
        <f t="shared" si="73"/>
        <v>0.78311629565217444</v>
      </c>
      <c r="G85" s="93">
        <f t="shared" si="73"/>
        <v>0.16481286956521668</v>
      </c>
      <c r="H85" s="93">
        <f t="shared" si="73"/>
        <v>2.6209172173913036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477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7" t="s">
        <v>479</v>
      </c>
      <c r="C89" s="28"/>
      <c r="D89" s="114" t="s">
        <v>78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273</v>
      </c>
      <c r="D91" s="78">
        <f>$BS$7</f>
        <v>3</v>
      </c>
      <c r="E91" s="78">
        <f>$BS$8</f>
        <v>2</v>
      </c>
      <c r="F91" s="78">
        <f>$BS$9</f>
        <v>3</v>
      </c>
      <c r="G91" s="78">
        <f>$BS$10</f>
        <v>2</v>
      </c>
      <c r="H91" s="78">
        <f>$BS$11</f>
        <v>2</v>
      </c>
      <c r="AN91" s="32"/>
      <c r="AT91" s="5"/>
      <c r="AU91" s="5"/>
      <c r="BS91"/>
      <c r="BU91" s="82"/>
    </row>
    <row r="92" spans="2:73" x14ac:dyDescent="0.25">
      <c r="C92" s="117" t="s">
        <v>90</v>
      </c>
      <c r="D92" s="61">
        <f>AE71</f>
        <v>2.15</v>
      </c>
      <c r="E92" s="61">
        <f t="shared" ref="E92:I92" si="74">AF71</f>
        <v>1.075</v>
      </c>
      <c r="F92" s="61">
        <f t="shared" si="74"/>
        <v>6.39</v>
      </c>
      <c r="G92" s="61">
        <f t="shared" si="74"/>
        <v>0.94599999999999995</v>
      </c>
      <c r="H92" s="61">
        <f t="shared" si="74"/>
        <v>0.94599999999999995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91</v>
      </c>
      <c r="D93" s="61">
        <f>BR35</f>
        <v>2.0796111304347829</v>
      </c>
      <c r="E93" s="61">
        <f>BR36</f>
        <v>0</v>
      </c>
      <c r="F93" s="61">
        <f>BR37</f>
        <v>5.9961312904347821</v>
      </c>
      <c r="G93" s="61">
        <f>BR38</f>
        <v>0.70843895652173916</v>
      </c>
      <c r="H93" s="61">
        <f>BR39</f>
        <v>1.4168779130434783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92</v>
      </c>
      <c r="D95" s="93">
        <f>D92-D93</f>
        <v>7.038886956521706E-2</v>
      </c>
      <c r="E95" s="93">
        <f t="shared" ref="E95:H95" si="75">E92-E93</f>
        <v>1.075</v>
      </c>
      <c r="F95" s="93">
        <f t="shared" si="75"/>
        <v>0.39386870956521758</v>
      </c>
      <c r="G95" s="93">
        <f t="shared" si="75"/>
        <v>0.23756104347826079</v>
      </c>
      <c r="H95" s="93">
        <f t="shared" si="75"/>
        <v>-0.47087791304347837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  <row r="188" spans="5:5" x14ac:dyDescent="0.25">
      <c r="E188" s="14">
        <f>0.6*3.68</f>
        <v>2.2080000000000002</v>
      </c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5"/>
  <sheetViews>
    <sheetView workbookViewId="0">
      <selection activeCell="B22" sqref="B22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customWidth="1"/>
    <col min="5" max="5" width="12.5703125" bestFit="1" customWidth="1"/>
  </cols>
  <sheetData>
    <row r="3" spans="1:5" x14ac:dyDescent="0.25">
      <c r="A3" s="293" t="s">
        <v>1446</v>
      </c>
      <c r="B3" s="293" t="s">
        <v>1442</v>
      </c>
    </row>
    <row r="4" spans="1:5" x14ac:dyDescent="0.25">
      <c r="A4" s="293" t="s">
        <v>1445</v>
      </c>
      <c r="B4" t="s">
        <v>487</v>
      </c>
      <c r="C4" t="s">
        <v>450</v>
      </c>
      <c r="D4" t="s">
        <v>1443</v>
      </c>
      <c r="E4" t="s">
        <v>1444</v>
      </c>
    </row>
    <row r="5" spans="1:5" x14ac:dyDescent="0.25">
      <c r="A5" s="15">
        <v>17</v>
      </c>
      <c r="B5" s="294"/>
      <c r="C5" s="294">
        <v>4.3</v>
      </c>
      <c r="D5" s="294"/>
      <c r="E5" s="294">
        <v>4.3</v>
      </c>
    </row>
    <row r="6" spans="1:5" x14ac:dyDescent="0.25">
      <c r="A6" s="15">
        <v>172</v>
      </c>
      <c r="B6" s="294">
        <v>6.8</v>
      </c>
      <c r="C6" s="294"/>
      <c r="D6" s="294"/>
      <c r="E6" s="294">
        <v>6.8</v>
      </c>
    </row>
    <row r="7" spans="1:5" x14ac:dyDescent="0.25">
      <c r="A7" s="15">
        <v>239</v>
      </c>
      <c r="B7" s="294">
        <v>2.8000000000000003</v>
      </c>
      <c r="C7" s="294"/>
      <c r="D7" s="294"/>
      <c r="E7" s="294">
        <v>2.8000000000000003</v>
      </c>
    </row>
    <row r="8" spans="1:5" x14ac:dyDescent="0.25">
      <c r="A8" s="15">
        <v>266</v>
      </c>
      <c r="B8" s="294"/>
      <c r="C8" s="294">
        <v>1.7</v>
      </c>
      <c r="D8" s="294"/>
      <c r="E8" s="294">
        <v>1.7</v>
      </c>
    </row>
    <row r="9" spans="1:5" x14ac:dyDescent="0.25">
      <c r="A9" s="15" t="s">
        <v>1443</v>
      </c>
      <c r="B9" s="294"/>
      <c r="C9" s="294"/>
      <c r="D9" s="294"/>
      <c r="E9" s="294"/>
    </row>
    <row r="10" spans="1:5" x14ac:dyDescent="0.25">
      <c r="A10" s="15">
        <v>290</v>
      </c>
      <c r="B10" s="294"/>
      <c r="C10" s="294">
        <v>1</v>
      </c>
      <c r="D10" s="294"/>
      <c r="E10" s="294">
        <v>1</v>
      </c>
    </row>
    <row r="11" spans="1:5" x14ac:dyDescent="0.25">
      <c r="A11" s="15">
        <v>194</v>
      </c>
      <c r="B11" s="294">
        <v>5</v>
      </c>
      <c r="C11" s="294"/>
      <c r="D11" s="294"/>
      <c r="E11" s="294">
        <v>5</v>
      </c>
    </row>
    <row r="12" spans="1:5" x14ac:dyDescent="0.25">
      <c r="A12" s="15">
        <v>242</v>
      </c>
      <c r="B12" s="294">
        <v>1.5</v>
      </c>
      <c r="C12" s="294">
        <v>5</v>
      </c>
      <c r="D12" s="294"/>
      <c r="E12" s="294">
        <v>6.5</v>
      </c>
    </row>
    <row r="13" spans="1:5" x14ac:dyDescent="0.25">
      <c r="A13" s="15">
        <v>241</v>
      </c>
      <c r="B13" s="294"/>
      <c r="C13" s="294">
        <v>11</v>
      </c>
      <c r="D13" s="294"/>
      <c r="E13" s="294">
        <v>11</v>
      </c>
    </row>
    <row r="14" spans="1:5" x14ac:dyDescent="0.25">
      <c r="A14" s="15" t="s">
        <v>543</v>
      </c>
      <c r="B14" s="294">
        <v>1</v>
      </c>
      <c r="C14" s="294"/>
      <c r="D14" s="294"/>
      <c r="E14" s="294">
        <v>1</v>
      </c>
    </row>
    <row r="15" spans="1:5" x14ac:dyDescent="0.25">
      <c r="A15" s="15" t="s">
        <v>1444</v>
      </c>
      <c r="B15" s="294">
        <v>17.100000000000001</v>
      </c>
      <c r="C15" s="294">
        <v>23</v>
      </c>
      <c r="D15" s="294"/>
      <c r="E15" s="294">
        <v>40.1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6"/>
  <sheetViews>
    <sheetView tabSelected="1" zoomScale="80" workbookViewId="0">
      <selection activeCell="O2" sqref="O2:Q23"/>
    </sheetView>
  </sheetViews>
  <sheetFormatPr baseColWidth="10" defaultRowHeight="15" x14ac:dyDescent="0.25"/>
  <cols>
    <col min="5" max="5" width="18.7109375" customWidth="1"/>
    <col min="6" max="6" width="13.8554687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448</v>
      </c>
      <c r="E1" s="6" t="s">
        <v>449</v>
      </c>
      <c r="F1" s="7" t="s">
        <v>76</v>
      </c>
      <c r="G1" s="7" t="s">
        <v>18</v>
      </c>
      <c r="H1" s="7" t="s">
        <v>1441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45</v>
      </c>
      <c r="P1" s="25" t="s">
        <v>332</v>
      </c>
      <c r="Q1" s="25" t="s">
        <v>333</v>
      </c>
      <c r="R1" s="6" t="s">
        <v>46</v>
      </c>
      <c r="S1" s="25" t="s">
        <v>47</v>
      </c>
      <c r="T1" s="6" t="s">
        <v>48</v>
      </c>
      <c r="U1" s="25" t="s">
        <v>49</v>
      </c>
      <c r="V1" s="6" t="s">
        <v>50</v>
      </c>
    </row>
    <row r="2" spans="1:29" ht="15" customHeight="1" x14ac:dyDescent="0.25">
      <c r="A2" s="8">
        <v>1</v>
      </c>
      <c r="B2" s="9">
        <v>1</v>
      </c>
      <c r="C2" s="9">
        <v>2</v>
      </c>
      <c r="D2" s="9" t="s">
        <v>487</v>
      </c>
      <c r="E2" s="9">
        <v>3</v>
      </c>
      <c r="F2" s="9">
        <v>239</v>
      </c>
      <c r="G2" s="292">
        <v>0.8</v>
      </c>
      <c r="H2" s="292"/>
      <c r="I2" s="9">
        <v>2</v>
      </c>
      <c r="J2" s="9">
        <v>0.5</v>
      </c>
      <c r="K2" s="8">
        <f>IF(B2=2,0,IF(I2=$Y$11,G2*$AB$11,IF(I2=$Y$12,G2*$AB$12,IF(I2=$Y$13,G2*$AB$13,""))))</f>
        <v>0.8</v>
      </c>
      <c r="L2" s="8">
        <f t="shared" ref="L2:L33" si="0">IF(J2=$Y$6,K2*$AA$6,IF(J2=$Y$7,K2*$AA$7,IF(J2=$Y$8,K2*$AA$8,"")))</f>
        <v>0.88000000000000012</v>
      </c>
      <c r="M2" s="10">
        <f>IF(I2=$Y$11,SQRT(L2*10000),SQRT(Parcellaire!L2*10000)/$AC$12)</f>
        <v>66.332495807108003</v>
      </c>
      <c r="N2" s="10">
        <f t="shared" ref="N2:N39" si="1">IF(I2=1,4,6)</f>
        <v>6</v>
      </c>
      <c r="O2" s="24">
        <v>6</v>
      </c>
      <c r="P2" s="26"/>
      <c r="Q2" s="155">
        <v>3</v>
      </c>
      <c r="R2" s="10">
        <f t="shared" ref="R2:R39" si="2">IF(C2=1,O2*M2,0)</f>
        <v>0</v>
      </c>
      <c r="S2" s="10">
        <f t="shared" ref="S2:S39" si="3">IF(C2=1,P2*M2,0)</f>
        <v>0</v>
      </c>
      <c r="T2" s="10">
        <f t="shared" ref="T2:T65" si="4">(M2*O2)-(M2*Q2)/2</f>
        <v>298.49623113198606</v>
      </c>
      <c r="U2" s="10">
        <f t="shared" ref="U2:U39" si="5">IF(C2=2,Q2*M2,0)</f>
        <v>198.99748742132402</v>
      </c>
      <c r="V2" s="27">
        <f t="shared" ref="V2:V39" si="6">O2*M2</f>
        <v>397.99497484264805</v>
      </c>
      <c r="W2" s="3"/>
      <c r="X2" s="3"/>
    </row>
    <row r="3" spans="1:29" ht="15" customHeight="1" x14ac:dyDescent="0.25">
      <c r="A3" s="8">
        <v>2</v>
      </c>
      <c r="B3" s="9">
        <v>1</v>
      </c>
      <c r="C3" s="9">
        <v>2</v>
      </c>
      <c r="D3" s="9" t="s">
        <v>487</v>
      </c>
      <c r="E3" s="9">
        <v>3</v>
      </c>
      <c r="F3" s="9">
        <v>239</v>
      </c>
      <c r="G3" s="292">
        <v>0.9</v>
      </c>
      <c r="H3" s="292"/>
      <c r="I3" s="9">
        <v>3</v>
      </c>
      <c r="J3" s="9">
        <v>0.5</v>
      </c>
      <c r="K3" s="8">
        <f t="shared" ref="K3:K24" si="7">IF(B3=2,0,IF(I3=$Y$11,G3*$AB$11,IF(I3=$Y$12,G3*$AB$12,IF(I3=$Y$13,G3*$AB$13,""))))</f>
        <v>0.9900000000000001</v>
      </c>
      <c r="L3" s="8">
        <f t="shared" ref="L3:L24" si="8">IF(J3=$Y$6,K3*$AA$6,IF(J3=$Y$7,K3*$AA$7,IF(J3=$Y$8,K3*$AA$8,"")))</f>
        <v>1.0890000000000002</v>
      </c>
      <c r="M3" s="10">
        <f>IF(I3=$Y$11,SQRT(L3*10000),SQRT(Parcellaire!L3*10000)/$AC$12)</f>
        <v>73.79024325749306</v>
      </c>
      <c r="N3" s="10">
        <f t="shared" ref="N3:N24" si="9">IF(I3=1,4,6)</f>
        <v>6</v>
      </c>
      <c r="O3" s="24">
        <v>6</v>
      </c>
      <c r="P3" s="26"/>
      <c r="Q3" s="155">
        <v>3</v>
      </c>
      <c r="R3" s="10">
        <f t="shared" si="2"/>
        <v>0</v>
      </c>
      <c r="S3" s="10">
        <f t="shared" si="3"/>
        <v>0</v>
      </c>
      <c r="T3" s="10">
        <f t="shared" si="4"/>
        <v>332.05609465871879</v>
      </c>
      <c r="U3" s="10">
        <f>IF(C3=2,Q3*M3,0)</f>
        <v>221.37072977247919</v>
      </c>
      <c r="V3" s="27">
        <f t="shared" si="6"/>
        <v>442.74145954495839</v>
      </c>
      <c r="W3" s="3"/>
      <c r="X3" s="3"/>
    </row>
    <row r="4" spans="1:29" ht="15" customHeight="1" x14ac:dyDescent="0.25">
      <c r="A4" s="8">
        <v>3</v>
      </c>
      <c r="B4" s="9">
        <v>2</v>
      </c>
      <c r="C4" s="9">
        <v>2</v>
      </c>
      <c r="D4" s="9" t="s">
        <v>487</v>
      </c>
      <c r="E4" s="9" t="s">
        <v>543</v>
      </c>
      <c r="F4" s="9"/>
      <c r="G4" s="292">
        <v>1</v>
      </c>
      <c r="H4" s="292"/>
      <c r="I4" s="9">
        <v>2</v>
      </c>
      <c r="J4" s="9">
        <v>0</v>
      </c>
      <c r="K4" s="8">
        <f t="shared" si="7"/>
        <v>0</v>
      </c>
      <c r="L4" s="8">
        <f t="shared" si="8"/>
        <v>0</v>
      </c>
      <c r="M4" s="10">
        <f>IF(I4=$Y$11,SQRT(L4*10000),SQRT(Parcellaire!L4*10000)/$AC$12)</f>
        <v>0</v>
      </c>
      <c r="N4" s="10">
        <f t="shared" si="9"/>
        <v>6</v>
      </c>
      <c r="O4" s="24">
        <v>6</v>
      </c>
      <c r="P4" s="26"/>
      <c r="Q4" s="155">
        <v>3</v>
      </c>
      <c r="R4" s="10">
        <f t="shared" si="2"/>
        <v>0</v>
      </c>
      <c r="S4" s="10">
        <f t="shared" si="3"/>
        <v>0</v>
      </c>
      <c r="T4" s="10">
        <f t="shared" si="4"/>
        <v>0</v>
      </c>
      <c r="U4" s="10">
        <f>IF(C4=2,Q4*M4,0)</f>
        <v>0</v>
      </c>
      <c r="V4" s="27">
        <f t="shared" si="6"/>
        <v>0</v>
      </c>
      <c r="W4" s="3"/>
      <c r="X4" s="3"/>
      <c r="Z4" s="8" t="s">
        <v>20</v>
      </c>
      <c r="AA4" s="11" t="s">
        <v>27</v>
      </c>
    </row>
    <row r="5" spans="1:29" ht="15" customHeight="1" x14ac:dyDescent="0.25">
      <c r="A5" s="8">
        <v>4</v>
      </c>
      <c r="B5" s="9"/>
      <c r="C5" s="9"/>
      <c r="D5" s="9"/>
      <c r="E5" s="9"/>
      <c r="F5" s="9"/>
      <c r="G5" s="292"/>
      <c r="H5" s="292"/>
      <c r="I5" s="9"/>
      <c r="J5" s="9"/>
      <c r="K5" s="8" t="str">
        <f t="shared" si="7"/>
        <v/>
      </c>
      <c r="L5" s="8" t="e">
        <f t="shared" si="8"/>
        <v>#VALUE!</v>
      </c>
      <c r="M5" s="10" t="e">
        <f>IF(I5=$Y$11,SQRT(L5*10000),SQRT(Parcellaire!L5*10000)/$AC$12)</f>
        <v>#VALUE!</v>
      </c>
      <c r="N5" s="10">
        <f t="shared" si="9"/>
        <v>6</v>
      </c>
      <c r="O5" s="24">
        <v>6</v>
      </c>
      <c r="P5" s="26"/>
      <c r="Q5" s="155">
        <v>3</v>
      </c>
      <c r="R5" s="10">
        <f t="shared" si="2"/>
        <v>0</v>
      </c>
      <c r="S5" s="10">
        <f t="shared" si="3"/>
        <v>0</v>
      </c>
      <c r="T5" s="10" t="e">
        <f t="shared" si="4"/>
        <v>#VALUE!</v>
      </c>
      <c r="U5" s="10">
        <f t="shared" si="5"/>
        <v>0</v>
      </c>
      <c r="V5" s="27" t="e">
        <f t="shared" si="6"/>
        <v>#VALUE!</v>
      </c>
      <c r="W5" s="3"/>
      <c r="X5" s="3"/>
      <c r="Z5" s="8" t="s">
        <v>20</v>
      </c>
      <c r="AA5" s="11" t="s">
        <v>27</v>
      </c>
    </row>
    <row r="6" spans="1:29" ht="15" customHeight="1" x14ac:dyDescent="0.25">
      <c r="A6" s="8">
        <v>5</v>
      </c>
      <c r="B6" s="9">
        <v>1</v>
      </c>
      <c r="C6" s="9">
        <v>2</v>
      </c>
      <c r="D6" s="9" t="s">
        <v>487</v>
      </c>
      <c r="E6" s="9">
        <v>2</v>
      </c>
      <c r="F6" s="9">
        <v>239</v>
      </c>
      <c r="G6" s="292">
        <v>1.1000000000000001</v>
      </c>
      <c r="H6" s="292"/>
      <c r="I6" s="9">
        <v>3</v>
      </c>
      <c r="J6" s="9">
        <v>0.5</v>
      </c>
      <c r="K6" s="8">
        <f t="shared" si="7"/>
        <v>1.2100000000000002</v>
      </c>
      <c r="L6" s="8">
        <f t="shared" si="8"/>
        <v>1.3310000000000004</v>
      </c>
      <c r="M6" s="10">
        <f>IF(I6=$Y$11,SQRT(L6*10000),SQRT(Parcellaire!L6*10000)/$AC$12)</f>
        <v>81.5781833580523</v>
      </c>
      <c r="N6" s="10">
        <f t="shared" si="9"/>
        <v>6</v>
      </c>
      <c r="O6" s="24">
        <v>6</v>
      </c>
      <c r="P6" s="26"/>
      <c r="Q6" s="155">
        <v>3</v>
      </c>
      <c r="R6" s="10">
        <f t="shared" si="2"/>
        <v>0</v>
      </c>
      <c r="S6" s="10">
        <f t="shared" si="3"/>
        <v>0</v>
      </c>
      <c r="T6" s="10">
        <f t="shared" si="4"/>
        <v>367.10182511123537</v>
      </c>
      <c r="U6" s="10">
        <f t="shared" si="5"/>
        <v>244.73455007415691</v>
      </c>
      <c r="V6" s="27">
        <f t="shared" si="6"/>
        <v>489.46910014831383</v>
      </c>
      <c r="W6" s="3"/>
      <c r="X6" s="3"/>
      <c r="Y6" s="8">
        <v>0</v>
      </c>
      <c r="Z6" s="8" t="s">
        <v>29</v>
      </c>
      <c r="AA6" s="9">
        <v>1</v>
      </c>
    </row>
    <row r="7" spans="1:29" ht="15" customHeight="1" x14ac:dyDescent="0.25">
      <c r="A7" s="8">
        <v>6</v>
      </c>
      <c r="B7" s="9">
        <v>1</v>
      </c>
      <c r="C7" s="9">
        <v>2</v>
      </c>
      <c r="D7" s="9" t="s">
        <v>487</v>
      </c>
      <c r="E7" s="9">
        <v>3</v>
      </c>
      <c r="F7" s="9">
        <v>242</v>
      </c>
      <c r="G7" s="292">
        <v>1.5</v>
      </c>
      <c r="H7" s="292"/>
      <c r="I7" s="9">
        <v>3</v>
      </c>
      <c r="J7" s="9">
        <v>0.5</v>
      </c>
      <c r="K7" s="8">
        <f t="shared" si="7"/>
        <v>1.6500000000000001</v>
      </c>
      <c r="L7" s="8">
        <f t="shared" si="8"/>
        <v>1.8150000000000004</v>
      </c>
      <c r="M7" s="10">
        <f>IF(I7=$Y$11,SQRT(L7*10000),SQRT(Parcellaire!L7*10000)/$AC$12)</f>
        <v>95.262794416288244</v>
      </c>
      <c r="N7" s="10">
        <f t="shared" si="9"/>
        <v>6</v>
      </c>
      <c r="O7" s="24">
        <v>6</v>
      </c>
      <c r="P7" s="26"/>
      <c r="Q7" s="155">
        <v>3</v>
      </c>
      <c r="R7" s="10">
        <f>IF(C7=1,O7*M7,0)</f>
        <v>0</v>
      </c>
      <c r="S7" s="10">
        <f t="shared" si="3"/>
        <v>0</v>
      </c>
      <c r="T7" s="10">
        <f t="shared" si="4"/>
        <v>428.68257487329714</v>
      </c>
      <c r="U7" s="10">
        <f t="shared" si="5"/>
        <v>285.78838324886476</v>
      </c>
      <c r="V7" s="27">
        <f t="shared" si="6"/>
        <v>571.57676649772952</v>
      </c>
      <c r="W7" s="3"/>
      <c r="X7" s="3"/>
      <c r="Y7" s="8">
        <v>0.5</v>
      </c>
      <c r="Z7" s="8" t="s">
        <v>31</v>
      </c>
      <c r="AA7" s="9">
        <v>1.1000000000000001</v>
      </c>
    </row>
    <row r="8" spans="1:29" ht="15" customHeight="1" x14ac:dyDescent="0.25">
      <c r="A8" s="8">
        <v>7</v>
      </c>
      <c r="B8" s="9">
        <v>1</v>
      </c>
      <c r="C8" s="9">
        <v>2</v>
      </c>
      <c r="D8" s="9" t="s">
        <v>450</v>
      </c>
      <c r="E8" s="9">
        <v>3</v>
      </c>
      <c r="F8" s="9">
        <v>242</v>
      </c>
      <c r="G8" s="292">
        <v>2</v>
      </c>
      <c r="H8" s="292"/>
      <c r="I8" s="9">
        <v>3</v>
      </c>
      <c r="J8" s="9">
        <v>0.5</v>
      </c>
      <c r="K8" s="8">
        <f t="shared" si="7"/>
        <v>2.2000000000000002</v>
      </c>
      <c r="L8" s="8">
        <f t="shared" si="8"/>
        <v>2.4200000000000004</v>
      </c>
      <c r="M8" s="10">
        <f>IF(I8=$Y$11,SQRT(L8*10000),SQRT(Parcellaire!L8*10000)/$AC$12)</f>
        <v>110</v>
      </c>
      <c r="N8" s="10">
        <f t="shared" si="9"/>
        <v>6</v>
      </c>
      <c r="O8" s="24">
        <v>6</v>
      </c>
      <c r="P8" s="26"/>
      <c r="Q8" s="155">
        <v>3</v>
      </c>
      <c r="R8" s="10">
        <f t="shared" ref="R8:R9" si="10">IF(C8=1,O8*M8,0)</f>
        <v>0</v>
      </c>
      <c r="S8" s="10">
        <f t="shared" ref="S8:S9" si="11">IF(C8=1,P8*M8,0)</f>
        <v>0</v>
      </c>
      <c r="T8" s="10">
        <f t="shared" ref="T8:T9" si="12">(M8*O8)-(M8*Q8)/2</f>
        <v>495</v>
      </c>
      <c r="U8" s="10">
        <f t="shared" ref="U8:U9" si="13">IF(C8=2,Q8*M8,0)</f>
        <v>330</v>
      </c>
      <c r="V8" s="27">
        <f t="shared" ref="V8:V9" si="14">O8*M8</f>
        <v>660</v>
      </c>
      <c r="W8" s="3"/>
      <c r="X8" s="3"/>
      <c r="Y8" s="8">
        <v>1</v>
      </c>
      <c r="Z8" s="8" t="s">
        <v>33</v>
      </c>
      <c r="AA8" s="9">
        <v>1.2</v>
      </c>
    </row>
    <row r="9" spans="1:29" ht="15" customHeight="1" x14ac:dyDescent="0.25">
      <c r="A9" s="8">
        <v>8</v>
      </c>
      <c r="B9" s="9">
        <v>1</v>
      </c>
      <c r="C9" s="9">
        <v>2</v>
      </c>
      <c r="D9" s="9" t="s">
        <v>450</v>
      </c>
      <c r="E9" s="9">
        <v>3</v>
      </c>
      <c r="F9" s="9">
        <v>266</v>
      </c>
      <c r="G9" s="292">
        <v>0.7</v>
      </c>
      <c r="H9" s="292"/>
      <c r="I9" s="9">
        <v>3</v>
      </c>
      <c r="J9" s="9">
        <v>0.5</v>
      </c>
      <c r="K9" s="8">
        <f t="shared" si="7"/>
        <v>0.77</v>
      </c>
      <c r="L9" s="8">
        <f t="shared" si="8"/>
        <v>0.84700000000000009</v>
      </c>
      <c r="M9" s="10">
        <f>IF(I9=$Y$11,SQRT(L9*10000),SQRT(Parcellaire!L9*10000)/$AC$12)</f>
        <v>65.076877614095778</v>
      </c>
      <c r="N9" s="10">
        <f t="shared" si="9"/>
        <v>6</v>
      </c>
      <c r="O9" s="24">
        <v>6</v>
      </c>
      <c r="P9" s="26"/>
      <c r="Q9" s="155">
        <v>3</v>
      </c>
      <c r="R9" s="10">
        <f t="shared" si="10"/>
        <v>0</v>
      </c>
      <c r="S9" s="10">
        <f t="shared" si="11"/>
        <v>0</v>
      </c>
      <c r="T9" s="10">
        <f t="shared" si="12"/>
        <v>292.84594926343095</v>
      </c>
      <c r="U9" s="10">
        <f t="shared" si="13"/>
        <v>195.23063284228732</v>
      </c>
      <c r="V9" s="27">
        <f t="shared" si="14"/>
        <v>390.46126568457464</v>
      </c>
      <c r="W9" s="3"/>
      <c r="X9" s="3"/>
    </row>
    <row r="10" spans="1:29" ht="15" customHeight="1" x14ac:dyDescent="0.25">
      <c r="A10" s="8">
        <v>9</v>
      </c>
      <c r="B10" s="9">
        <v>1</v>
      </c>
      <c r="C10" s="9">
        <v>2</v>
      </c>
      <c r="D10" s="9" t="s">
        <v>450</v>
      </c>
      <c r="E10" s="9">
        <v>3</v>
      </c>
      <c r="F10" s="9">
        <v>241</v>
      </c>
      <c r="G10" s="292">
        <v>2</v>
      </c>
      <c r="H10" s="292"/>
      <c r="I10" s="9">
        <v>3</v>
      </c>
      <c r="J10" s="9">
        <v>0.5</v>
      </c>
      <c r="K10" s="8">
        <f t="shared" si="7"/>
        <v>2.2000000000000002</v>
      </c>
      <c r="L10" s="8">
        <f t="shared" si="8"/>
        <v>2.4200000000000004</v>
      </c>
      <c r="M10" s="10">
        <f>IF(I10=$Y$11,SQRT(L10*10000),SQRT(Parcellaire!L10*10000)/$AC$12)</f>
        <v>110</v>
      </c>
      <c r="N10" s="10">
        <f t="shared" si="9"/>
        <v>6</v>
      </c>
      <c r="O10" s="24">
        <v>6</v>
      </c>
      <c r="P10" s="26"/>
      <c r="Q10" s="155">
        <v>3</v>
      </c>
      <c r="R10" s="10">
        <f t="shared" si="2"/>
        <v>0</v>
      </c>
      <c r="S10" s="10">
        <f t="shared" si="3"/>
        <v>0</v>
      </c>
      <c r="T10" s="10">
        <f t="shared" si="4"/>
        <v>495</v>
      </c>
      <c r="U10" s="10">
        <f t="shared" si="5"/>
        <v>330</v>
      </c>
      <c r="V10" s="27">
        <f t="shared" si="6"/>
        <v>660</v>
      </c>
      <c r="W10" s="3"/>
      <c r="X10" s="3"/>
      <c r="Z10" s="8" t="s">
        <v>19</v>
      </c>
      <c r="AA10" s="11" t="s">
        <v>24</v>
      </c>
      <c r="AB10" s="11" t="s">
        <v>25</v>
      </c>
      <c r="AC10" s="11" t="s">
        <v>26</v>
      </c>
    </row>
    <row r="11" spans="1:29" ht="15" customHeight="1" x14ac:dyDescent="0.25">
      <c r="A11" s="8">
        <v>10</v>
      </c>
      <c r="B11" s="9">
        <v>1</v>
      </c>
      <c r="C11" s="9">
        <v>2</v>
      </c>
      <c r="D11" s="9" t="s">
        <v>450</v>
      </c>
      <c r="E11" s="9">
        <v>2</v>
      </c>
      <c r="F11" s="9">
        <v>241</v>
      </c>
      <c r="G11" s="292">
        <v>3.3</v>
      </c>
      <c r="H11" s="292">
        <v>2.2999999999999998</v>
      </c>
      <c r="I11" s="9">
        <v>3</v>
      </c>
      <c r="J11" s="9">
        <v>0.5</v>
      </c>
      <c r="K11" s="8">
        <f t="shared" si="7"/>
        <v>3.63</v>
      </c>
      <c r="L11" s="8">
        <f t="shared" si="8"/>
        <v>3.9930000000000003</v>
      </c>
      <c r="M11" s="10">
        <f>IF(I11=$Y$11,SQRT(L11*10000),SQRT(Parcellaire!L11*10000)/$AC$12)</f>
        <v>141.29755836531641</v>
      </c>
      <c r="N11" s="10">
        <f t="shared" si="9"/>
        <v>6</v>
      </c>
      <c r="O11" s="24">
        <v>6</v>
      </c>
      <c r="P11" s="26"/>
      <c r="Q11" s="155">
        <v>3</v>
      </c>
      <c r="R11" s="10">
        <f t="shared" si="2"/>
        <v>0</v>
      </c>
      <c r="S11" s="10">
        <f t="shared" si="3"/>
        <v>0</v>
      </c>
      <c r="T11" s="10">
        <f t="shared" si="4"/>
        <v>635.83901264392387</v>
      </c>
      <c r="U11" s="10">
        <f t="shared" si="5"/>
        <v>423.89267509594924</v>
      </c>
      <c r="V11" s="27">
        <f t="shared" si="6"/>
        <v>847.78535019189849</v>
      </c>
      <c r="W11" s="3"/>
      <c r="X11" s="3"/>
      <c r="Y11" s="8">
        <v>1</v>
      </c>
      <c r="Z11" s="8" t="s">
        <v>28</v>
      </c>
      <c r="AA11" s="9">
        <v>4</v>
      </c>
      <c r="AB11" s="9">
        <v>1</v>
      </c>
      <c r="AC11" s="12">
        <v>1</v>
      </c>
    </row>
    <row r="12" spans="1:29" ht="15" customHeight="1" x14ac:dyDescent="0.25">
      <c r="A12" s="8">
        <v>11</v>
      </c>
      <c r="B12" s="9">
        <v>1</v>
      </c>
      <c r="C12" s="9">
        <v>2</v>
      </c>
      <c r="D12" s="9" t="s">
        <v>450</v>
      </c>
      <c r="E12" s="9">
        <v>3</v>
      </c>
      <c r="F12" s="9">
        <v>266</v>
      </c>
      <c r="G12" s="292"/>
      <c r="H12" s="292">
        <v>1</v>
      </c>
      <c r="I12" s="9">
        <v>3</v>
      </c>
      <c r="J12" s="9">
        <v>1</v>
      </c>
      <c r="K12" s="8">
        <f t="shared" si="7"/>
        <v>0</v>
      </c>
      <c r="L12" s="8">
        <f t="shared" si="8"/>
        <v>0</v>
      </c>
      <c r="M12" s="10">
        <f>IF(I12=$Y$11,SQRT(L12*10000),SQRT(Parcellaire!L12*10000)/$AC$12)</f>
        <v>0</v>
      </c>
      <c r="N12" s="10">
        <f t="shared" si="9"/>
        <v>6</v>
      </c>
      <c r="O12" s="24">
        <v>6</v>
      </c>
      <c r="P12" s="26"/>
      <c r="Q12" s="155">
        <v>3</v>
      </c>
      <c r="R12" s="10">
        <f t="shared" si="2"/>
        <v>0</v>
      </c>
      <c r="S12" s="10">
        <f t="shared" si="3"/>
        <v>0</v>
      </c>
      <c r="T12" s="10">
        <f t="shared" si="4"/>
        <v>0</v>
      </c>
      <c r="U12" s="10">
        <f t="shared" si="5"/>
        <v>0</v>
      </c>
      <c r="V12" s="27">
        <f t="shared" si="6"/>
        <v>0</v>
      </c>
      <c r="W12" s="3"/>
      <c r="X12" s="3"/>
      <c r="Y12" s="8">
        <v>2</v>
      </c>
      <c r="Z12" s="8" t="s">
        <v>30</v>
      </c>
      <c r="AA12" s="9">
        <v>6</v>
      </c>
      <c r="AB12" s="9">
        <v>1</v>
      </c>
      <c r="AC12" s="12">
        <f>SQRT(2)</f>
        <v>1.4142135623730951</v>
      </c>
    </row>
    <row r="13" spans="1:29" ht="15" customHeight="1" x14ac:dyDescent="0.25">
      <c r="A13" s="8">
        <v>12</v>
      </c>
      <c r="B13" s="9">
        <v>1</v>
      </c>
      <c r="C13" s="9">
        <v>2</v>
      </c>
      <c r="D13" s="9" t="s">
        <v>450</v>
      </c>
      <c r="E13" s="9">
        <v>2</v>
      </c>
      <c r="F13" s="9">
        <v>242</v>
      </c>
      <c r="G13" s="292">
        <v>3</v>
      </c>
      <c r="H13" s="292">
        <v>1.7</v>
      </c>
      <c r="I13" s="9">
        <v>2</v>
      </c>
      <c r="J13" s="9">
        <v>0</v>
      </c>
      <c r="K13" s="8">
        <f t="shared" si="7"/>
        <v>3</v>
      </c>
      <c r="L13" s="8">
        <f t="shared" si="8"/>
        <v>3</v>
      </c>
      <c r="M13" s="10">
        <f>IF(I13=$Y$11,SQRT(L13*10000),SQRT(Parcellaire!L13*10000)/$AC$12)</f>
        <v>122.4744871391589</v>
      </c>
      <c r="N13" s="10">
        <f t="shared" si="9"/>
        <v>6</v>
      </c>
      <c r="O13" s="24">
        <v>6</v>
      </c>
      <c r="P13" s="26"/>
      <c r="Q13" s="155">
        <v>3</v>
      </c>
      <c r="R13" s="10">
        <f t="shared" si="2"/>
        <v>0</v>
      </c>
      <c r="S13" s="10">
        <f t="shared" si="3"/>
        <v>0</v>
      </c>
      <c r="T13" s="10">
        <f t="shared" si="4"/>
        <v>551.13519212621509</v>
      </c>
      <c r="U13" s="10">
        <f t="shared" si="5"/>
        <v>367.42346141747669</v>
      </c>
      <c r="V13" s="27">
        <f t="shared" si="6"/>
        <v>734.84692283495338</v>
      </c>
      <c r="W13" s="3"/>
      <c r="X13" s="3"/>
      <c r="Y13" s="8">
        <v>3</v>
      </c>
      <c r="Z13" s="8" t="s">
        <v>32</v>
      </c>
      <c r="AA13" s="9">
        <v>6</v>
      </c>
      <c r="AB13" s="9">
        <v>1.1000000000000001</v>
      </c>
    </row>
    <row r="14" spans="1:29" ht="15" customHeight="1" x14ac:dyDescent="0.25">
      <c r="A14" s="8">
        <v>13</v>
      </c>
      <c r="B14" s="9">
        <v>1</v>
      </c>
      <c r="C14" s="9">
        <v>2</v>
      </c>
      <c r="D14" s="9" t="s">
        <v>450</v>
      </c>
      <c r="E14" s="9">
        <v>3</v>
      </c>
      <c r="F14" s="9">
        <v>242</v>
      </c>
      <c r="G14" s="292"/>
      <c r="H14" s="292">
        <v>1.3</v>
      </c>
      <c r="I14" s="9">
        <v>2</v>
      </c>
      <c r="J14" s="9">
        <v>1</v>
      </c>
      <c r="K14" s="8">
        <f t="shared" si="7"/>
        <v>0</v>
      </c>
      <c r="L14" s="8">
        <f t="shared" si="8"/>
        <v>0</v>
      </c>
      <c r="M14" s="10">
        <f>IF(I14=$Y$11,SQRT(L14*10000),SQRT(Parcellaire!L14*10000)/$AC$12)</f>
        <v>0</v>
      </c>
      <c r="N14" s="10">
        <f t="shared" si="9"/>
        <v>6</v>
      </c>
      <c r="O14" s="24">
        <v>0</v>
      </c>
      <c r="P14" s="26"/>
      <c r="Q14" s="155">
        <v>0</v>
      </c>
      <c r="R14" s="10">
        <f t="shared" si="2"/>
        <v>0</v>
      </c>
      <c r="S14" s="10">
        <f t="shared" si="3"/>
        <v>0</v>
      </c>
      <c r="T14" s="10">
        <f t="shared" si="4"/>
        <v>0</v>
      </c>
      <c r="U14" s="10">
        <f t="shared" si="5"/>
        <v>0</v>
      </c>
      <c r="V14" s="27">
        <f t="shared" si="6"/>
        <v>0</v>
      </c>
      <c r="W14" s="3"/>
      <c r="X14" s="3"/>
    </row>
    <row r="15" spans="1:29" ht="15" customHeight="1" x14ac:dyDescent="0.25">
      <c r="A15" s="8">
        <v>14</v>
      </c>
      <c r="B15" s="9">
        <v>1</v>
      </c>
      <c r="C15" s="9">
        <v>2</v>
      </c>
      <c r="D15" s="9" t="s">
        <v>450</v>
      </c>
      <c r="E15" s="9">
        <v>2</v>
      </c>
      <c r="F15" s="9">
        <v>290</v>
      </c>
      <c r="G15" s="292">
        <v>1</v>
      </c>
      <c r="H15" s="292"/>
      <c r="I15" s="9">
        <v>2</v>
      </c>
      <c r="J15" s="9">
        <v>0.5</v>
      </c>
      <c r="K15" s="8">
        <f t="shared" si="7"/>
        <v>1</v>
      </c>
      <c r="L15" s="8">
        <f t="shared" si="8"/>
        <v>1.1000000000000001</v>
      </c>
      <c r="M15" s="10">
        <f>IF(I15=$Y$11,SQRT(L15*10000),SQRT(Parcellaire!L15*10000)/$AC$12)</f>
        <v>74.16198487095663</v>
      </c>
      <c r="N15" s="10">
        <f t="shared" si="9"/>
        <v>6</v>
      </c>
      <c r="O15" s="24">
        <v>6</v>
      </c>
      <c r="P15" s="26"/>
      <c r="Q15" s="155">
        <v>3</v>
      </c>
      <c r="R15" s="10">
        <f t="shared" si="2"/>
        <v>0</v>
      </c>
      <c r="S15" s="10">
        <f t="shared" si="3"/>
        <v>0</v>
      </c>
      <c r="T15" s="10">
        <f t="shared" si="4"/>
        <v>333.72893191930484</v>
      </c>
      <c r="U15" s="10">
        <f t="shared" si="5"/>
        <v>222.48595461286988</v>
      </c>
      <c r="V15" s="27">
        <f t="shared" si="6"/>
        <v>444.97190922573975</v>
      </c>
      <c r="W15" s="3"/>
      <c r="X15" s="3"/>
    </row>
    <row r="16" spans="1:29" ht="15" customHeight="1" x14ac:dyDescent="0.25">
      <c r="A16" s="8">
        <v>15</v>
      </c>
      <c r="B16" s="9">
        <v>1</v>
      </c>
      <c r="C16" s="9">
        <v>2</v>
      </c>
      <c r="D16" s="9" t="s">
        <v>450</v>
      </c>
      <c r="E16" s="9">
        <v>2</v>
      </c>
      <c r="F16" s="9">
        <v>241</v>
      </c>
      <c r="G16" s="292">
        <v>2</v>
      </c>
      <c r="H16" s="292"/>
      <c r="I16" s="9">
        <v>2</v>
      </c>
      <c r="J16" s="9">
        <v>0.5</v>
      </c>
      <c r="K16" s="8">
        <f t="shared" si="7"/>
        <v>2</v>
      </c>
      <c r="L16" s="8">
        <f t="shared" si="8"/>
        <v>2.2000000000000002</v>
      </c>
      <c r="M16" s="10">
        <f>IF(I16=$Y$11,SQRT(L16*10000),SQRT(Parcellaire!L16*10000)/$AC$12)</f>
        <v>104.88088481701514</v>
      </c>
      <c r="N16" s="10">
        <f t="shared" si="9"/>
        <v>6</v>
      </c>
      <c r="O16" s="24">
        <v>6</v>
      </c>
      <c r="P16" s="26"/>
      <c r="Q16" s="155">
        <v>3</v>
      </c>
      <c r="R16" s="10">
        <f t="shared" si="2"/>
        <v>0</v>
      </c>
      <c r="S16" s="10">
        <f t="shared" si="3"/>
        <v>0</v>
      </c>
      <c r="T16" s="10">
        <f t="shared" si="4"/>
        <v>471.9639816765681</v>
      </c>
      <c r="U16" s="10">
        <f t="shared" si="5"/>
        <v>314.64265445104542</v>
      </c>
      <c r="V16" s="27">
        <f t="shared" si="6"/>
        <v>629.28530890209083</v>
      </c>
      <c r="W16" s="3"/>
      <c r="X16" s="3"/>
      <c r="Z16" s="8" t="s">
        <v>41</v>
      </c>
    </row>
    <row r="17" spans="1:28" ht="15" customHeight="1" x14ac:dyDescent="0.25">
      <c r="A17" s="8">
        <v>16</v>
      </c>
      <c r="B17" s="9">
        <v>1</v>
      </c>
      <c r="C17" s="9">
        <v>2</v>
      </c>
      <c r="D17" s="9" t="s">
        <v>450</v>
      </c>
      <c r="E17" s="9">
        <v>2</v>
      </c>
      <c r="F17" s="9">
        <v>241</v>
      </c>
      <c r="G17" s="292">
        <v>1.7</v>
      </c>
      <c r="H17" s="292"/>
      <c r="I17" s="9">
        <v>2</v>
      </c>
      <c r="J17" s="9">
        <v>0.5</v>
      </c>
      <c r="K17" s="8">
        <f t="shared" si="7"/>
        <v>1.7</v>
      </c>
      <c r="L17" s="8">
        <f t="shared" si="8"/>
        <v>1.87</v>
      </c>
      <c r="M17" s="10">
        <f>IF(I17=$Y$11,SQRT(L17*10000),SQRT(Parcellaire!L17*10000)/$AC$12)</f>
        <v>96.695398029068585</v>
      </c>
      <c r="N17" s="10">
        <f t="shared" si="9"/>
        <v>6</v>
      </c>
      <c r="O17" s="24">
        <v>6</v>
      </c>
      <c r="P17" s="26"/>
      <c r="Q17" s="155">
        <v>3</v>
      </c>
      <c r="R17" s="10">
        <f t="shared" si="2"/>
        <v>0</v>
      </c>
      <c r="S17" s="10">
        <f t="shared" si="3"/>
        <v>0</v>
      </c>
      <c r="T17" s="10">
        <f t="shared" si="4"/>
        <v>435.12929113080861</v>
      </c>
      <c r="U17" s="10">
        <f t="shared" si="5"/>
        <v>290.08619408720574</v>
      </c>
      <c r="V17" s="27">
        <f t="shared" si="6"/>
        <v>580.17238817441148</v>
      </c>
      <c r="W17" s="3"/>
      <c r="X17" s="3"/>
      <c r="Y17" s="8">
        <v>1</v>
      </c>
      <c r="Z17" s="138" t="s">
        <v>334</v>
      </c>
      <c r="AA17" s="134" t="s">
        <v>325</v>
      </c>
      <c r="AB17" t="s">
        <v>51</v>
      </c>
    </row>
    <row r="18" spans="1:28" ht="15" customHeight="1" x14ac:dyDescent="0.25">
      <c r="A18" s="8">
        <v>17</v>
      </c>
      <c r="B18" s="9">
        <v>1</v>
      </c>
      <c r="C18" s="9">
        <v>2</v>
      </c>
      <c r="D18" s="9" t="s">
        <v>450</v>
      </c>
      <c r="E18" s="9">
        <v>2</v>
      </c>
      <c r="F18" s="9">
        <v>241</v>
      </c>
      <c r="G18" s="292">
        <v>3</v>
      </c>
      <c r="H18" s="292"/>
      <c r="I18" s="9">
        <v>3</v>
      </c>
      <c r="J18" s="9">
        <v>0.5</v>
      </c>
      <c r="K18" s="8">
        <f t="shared" si="7"/>
        <v>3.3000000000000003</v>
      </c>
      <c r="L18" s="8">
        <f t="shared" si="8"/>
        <v>3.6300000000000008</v>
      </c>
      <c r="M18" s="10">
        <f>IF(I18=$Y$11,SQRT(L18*10000),SQRT(Parcellaire!L18*10000)/$AC$12)</f>
        <v>134.7219358530748</v>
      </c>
      <c r="N18" s="10">
        <f t="shared" si="9"/>
        <v>6</v>
      </c>
      <c r="O18" s="24">
        <v>6</v>
      </c>
      <c r="P18" s="26"/>
      <c r="Q18" s="155">
        <v>3</v>
      </c>
      <c r="R18" s="10">
        <f t="shared" si="2"/>
        <v>0</v>
      </c>
      <c r="S18" s="10">
        <f t="shared" si="3"/>
        <v>0</v>
      </c>
      <c r="T18" s="10">
        <f t="shared" si="4"/>
        <v>606.24871133883653</v>
      </c>
      <c r="U18" s="10">
        <f t="shared" si="5"/>
        <v>404.16580755922439</v>
      </c>
      <c r="V18" s="27">
        <f t="shared" si="6"/>
        <v>808.33161511844878</v>
      </c>
      <c r="W18" s="3"/>
      <c r="X18" s="3"/>
      <c r="Y18" s="8">
        <v>2</v>
      </c>
      <c r="Z18" s="138" t="s">
        <v>335</v>
      </c>
      <c r="AA18" s="136">
        <f>T66</f>
        <v>9365.1215451202352</v>
      </c>
      <c r="AB18" t="s">
        <v>42</v>
      </c>
    </row>
    <row r="19" spans="1:28" ht="15" customHeight="1" x14ac:dyDescent="0.25">
      <c r="A19" s="8">
        <v>18</v>
      </c>
      <c r="B19" s="9">
        <v>1</v>
      </c>
      <c r="C19" s="9">
        <v>2</v>
      </c>
      <c r="D19" s="9" t="s">
        <v>487</v>
      </c>
      <c r="E19" s="9"/>
      <c r="F19" s="9">
        <v>194</v>
      </c>
      <c r="G19" s="9">
        <v>1</v>
      </c>
      <c r="H19" s="9"/>
      <c r="I19" s="9">
        <v>3</v>
      </c>
      <c r="J19" s="9">
        <v>0.5</v>
      </c>
      <c r="K19" s="8">
        <f t="shared" si="7"/>
        <v>1.1000000000000001</v>
      </c>
      <c r="L19" s="8">
        <f t="shared" si="8"/>
        <v>1.2100000000000002</v>
      </c>
      <c r="M19" s="10">
        <f>IF(I19=$Y$11,SQRT(L19*10000),SQRT(Parcellaire!L19*10000)/$AC$12)</f>
        <v>77.781745930520231</v>
      </c>
      <c r="N19" s="10">
        <f t="shared" si="9"/>
        <v>6</v>
      </c>
      <c r="O19" s="24">
        <v>6</v>
      </c>
      <c r="P19" s="26"/>
      <c r="Q19" s="155">
        <v>3</v>
      </c>
      <c r="R19" s="10">
        <f t="shared" si="2"/>
        <v>0</v>
      </c>
      <c r="S19" s="10">
        <f t="shared" si="3"/>
        <v>0</v>
      </c>
      <c r="T19" s="10">
        <f t="shared" si="4"/>
        <v>350.01785668734101</v>
      </c>
      <c r="U19" s="10">
        <f t="shared" si="5"/>
        <v>233.34523779156069</v>
      </c>
      <c r="V19" s="27">
        <f t="shared" si="6"/>
        <v>466.69047558312138</v>
      </c>
      <c r="W19" s="3"/>
      <c r="X19" s="3"/>
      <c r="Y19" s="8">
        <v>3</v>
      </c>
      <c r="Z19" s="138" t="s">
        <v>336</v>
      </c>
      <c r="AA19" s="136">
        <f>S66</f>
        <v>0</v>
      </c>
      <c r="AB19" t="s">
        <v>43</v>
      </c>
    </row>
    <row r="20" spans="1:28" ht="15" customHeight="1" x14ac:dyDescent="0.25">
      <c r="A20" s="8">
        <v>19</v>
      </c>
      <c r="B20" s="9">
        <v>1</v>
      </c>
      <c r="C20" s="9">
        <v>2</v>
      </c>
      <c r="D20" s="9" t="s">
        <v>450</v>
      </c>
      <c r="E20" s="9"/>
      <c r="F20" s="9">
        <v>17</v>
      </c>
      <c r="G20" s="9">
        <v>4.3</v>
      </c>
      <c r="H20" s="9"/>
      <c r="I20" s="9">
        <v>3</v>
      </c>
      <c r="J20" s="9">
        <v>1</v>
      </c>
      <c r="K20" s="8">
        <f t="shared" si="7"/>
        <v>4.7300000000000004</v>
      </c>
      <c r="L20" s="8">
        <f t="shared" si="8"/>
        <v>5.6760000000000002</v>
      </c>
      <c r="M20" s="10">
        <f>IF(I20=$Y$11,SQRT(L20*10000),SQRT(Parcellaire!L20*10000)/$AC$12)</f>
        <v>168.46364592991569</v>
      </c>
      <c r="N20" s="10">
        <f t="shared" si="9"/>
        <v>6</v>
      </c>
      <c r="O20" s="24">
        <v>6</v>
      </c>
      <c r="P20" s="26"/>
      <c r="Q20" s="155">
        <v>0</v>
      </c>
      <c r="R20" s="10">
        <f t="shared" si="2"/>
        <v>0</v>
      </c>
      <c r="S20" s="10">
        <f t="shared" si="3"/>
        <v>0</v>
      </c>
      <c r="T20" s="10">
        <f t="shared" si="4"/>
        <v>1010.7818755794941</v>
      </c>
      <c r="U20" s="10">
        <f t="shared" si="5"/>
        <v>0</v>
      </c>
      <c r="V20" s="27">
        <f t="shared" si="6"/>
        <v>1010.7818755794941</v>
      </c>
      <c r="W20" s="3"/>
      <c r="X20" s="3"/>
      <c r="Z20" s="20"/>
      <c r="AA20" s="136">
        <f>AA18+AA19</f>
        <v>9365.1215451202352</v>
      </c>
      <c r="AB20" t="s">
        <v>44</v>
      </c>
    </row>
    <row r="21" spans="1:28" ht="15" customHeight="1" x14ac:dyDescent="0.25">
      <c r="A21" s="8">
        <v>20</v>
      </c>
      <c r="B21" s="9">
        <v>1</v>
      </c>
      <c r="C21" s="9">
        <v>2</v>
      </c>
      <c r="D21" s="9" t="s">
        <v>487</v>
      </c>
      <c r="E21" s="9"/>
      <c r="F21" s="9">
        <v>172</v>
      </c>
      <c r="G21" s="9">
        <v>6.8</v>
      </c>
      <c r="H21" s="9"/>
      <c r="I21" s="9">
        <v>3</v>
      </c>
      <c r="J21" s="9">
        <v>1</v>
      </c>
      <c r="K21" s="8">
        <f t="shared" si="7"/>
        <v>7.48</v>
      </c>
      <c r="L21" s="8">
        <f t="shared" si="8"/>
        <v>8.9760000000000009</v>
      </c>
      <c r="M21" s="10">
        <f>IF(I21=$Y$11,SQRT(L21*10000),SQRT(Parcellaire!L21*10000)/$AC$12)</f>
        <v>211.84900282984577</v>
      </c>
      <c r="N21" s="10">
        <f t="shared" si="9"/>
        <v>6</v>
      </c>
      <c r="O21" s="24">
        <v>6</v>
      </c>
      <c r="P21" s="26"/>
      <c r="Q21" s="155">
        <v>0</v>
      </c>
      <c r="R21" s="10">
        <f t="shared" si="2"/>
        <v>0</v>
      </c>
      <c r="S21" s="10">
        <f t="shared" si="3"/>
        <v>0</v>
      </c>
      <c r="T21" s="10">
        <f t="shared" si="4"/>
        <v>1271.0940169790747</v>
      </c>
      <c r="U21" s="10">
        <f t="shared" si="5"/>
        <v>0</v>
      </c>
      <c r="V21" s="27">
        <f t="shared" si="6"/>
        <v>1271.0940169790747</v>
      </c>
      <c r="W21" s="3"/>
      <c r="X21" s="3"/>
      <c r="Z21" s="20"/>
    </row>
    <row r="22" spans="1:28" ht="15" customHeight="1" x14ac:dyDescent="0.25">
      <c r="A22" s="8">
        <v>21</v>
      </c>
      <c r="B22" s="9">
        <v>1</v>
      </c>
      <c r="C22" s="9">
        <v>2</v>
      </c>
      <c r="D22" s="9" t="s">
        <v>487</v>
      </c>
      <c r="E22" s="9"/>
      <c r="F22" s="9">
        <v>194</v>
      </c>
      <c r="G22" s="9">
        <v>2</v>
      </c>
      <c r="H22" s="9"/>
      <c r="I22" s="9">
        <v>3</v>
      </c>
      <c r="J22" s="9">
        <v>0.5</v>
      </c>
      <c r="K22" s="8">
        <f t="shared" si="7"/>
        <v>2.2000000000000002</v>
      </c>
      <c r="L22" s="8">
        <f t="shared" si="8"/>
        <v>2.4200000000000004</v>
      </c>
      <c r="M22" s="10">
        <f>IF(I22=$Y$11,SQRT(L22*10000),SQRT(Parcellaire!L22*10000)/$AC$12)</f>
        <v>110</v>
      </c>
      <c r="N22" s="10">
        <f t="shared" si="9"/>
        <v>6</v>
      </c>
      <c r="O22" s="24">
        <v>6</v>
      </c>
      <c r="P22" s="26"/>
      <c r="Q22" s="155">
        <v>3</v>
      </c>
      <c r="R22" s="10">
        <f t="shared" si="2"/>
        <v>0</v>
      </c>
      <c r="S22" s="10">
        <f t="shared" si="3"/>
        <v>0</v>
      </c>
      <c r="T22" s="10">
        <f t="shared" si="4"/>
        <v>495</v>
      </c>
      <c r="U22" s="10">
        <f t="shared" si="5"/>
        <v>330</v>
      </c>
      <c r="V22" s="27">
        <f t="shared" si="6"/>
        <v>660</v>
      </c>
      <c r="W22" s="3"/>
      <c r="X22" s="3"/>
    </row>
    <row r="23" spans="1:28" ht="15" customHeight="1" x14ac:dyDescent="0.25">
      <c r="A23" s="8">
        <v>22</v>
      </c>
      <c r="B23" s="9">
        <v>1</v>
      </c>
      <c r="C23" s="9">
        <v>2</v>
      </c>
      <c r="D23" s="9" t="s">
        <v>487</v>
      </c>
      <c r="E23" s="9"/>
      <c r="F23" s="9">
        <v>194</v>
      </c>
      <c r="G23" s="9">
        <v>2</v>
      </c>
      <c r="H23" s="9"/>
      <c r="I23" s="9">
        <v>3</v>
      </c>
      <c r="J23" s="9">
        <v>0.5</v>
      </c>
      <c r="K23" s="8">
        <f t="shared" si="7"/>
        <v>2.2000000000000002</v>
      </c>
      <c r="L23" s="8">
        <f t="shared" si="8"/>
        <v>2.4200000000000004</v>
      </c>
      <c r="M23" s="10">
        <f>IF(I23=$Y$11,SQRT(L23*10000),SQRT(Parcellaire!L23*10000)/$AC$12)</f>
        <v>110</v>
      </c>
      <c r="N23" s="10">
        <f t="shared" si="9"/>
        <v>6</v>
      </c>
      <c r="O23" s="24">
        <v>6</v>
      </c>
      <c r="P23" s="26"/>
      <c r="Q23" s="155">
        <v>3</v>
      </c>
      <c r="R23" s="10">
        <f t="shared" si="2"/>
        <v>0</v>
      </c>
      <c r="S23" s="10">
        <f t="shared" si="3"/>
        <v>0</v>
      </c>
      <c r="T23" s="10">
        <f t="shared" si="4"/>
        <v>495</v>
      </c>
      <c r="U23" s="10">
        <f t="shared" si="5"/>
        <v>330</v>
      </c>
      <c r="V23" s="27">
        <f t="shared" si="6"/>
        <v>660</v>
      </c>
      <c r="W23" s="3"/>
      <c r="X23" s="3"/>
      <c r="Z23" t="s">
        <v>323</v>
      </c>
    </row>
    <row r="24" spans="1:28" ht="15" customHeight="1" x14ac:dyDescent="0.25">
      <c r="A24" s="8">
        <v>21</v>
      </c>
      <c r="B24" s="9"/>
      <c r="C24" s="9"/>
      <c r="D24" s="9"/>
      <c r="E24" s="9"/>
      <c r="F24" s="9"/>
      <c r="G24" s="9"/>
      <c r="H24" s="9"/>
      <c r="I24" s="9"/>
      <c r="J24" s="9"/>
      <c r="K24" s="8" t="str">
        <f t="shared" si="7"/>
        <v/>
      </c>
      <c r="L24" s="8" t="e">
        <f t="shared" si="8"/>
        <v>#VALUE!</v>
      </c>
      <c r="M24" s="10" t="e">
        <f>IF(I24=$Y$11,SQRT(L24*10000),SQRT(Parcellaire!L24*10000)/$AC$12)</f>
        <v>#VALUE!</v>
      </c>
      <c r="N24" s="10">
        <f t="shared" si="9"/>
        <v>6</v>
      </c>
      <c r="O24" s="24">
        <v>6</v>
      </c>
      <c r="P24" s="26"/>
      <c r="Q24" s="155">
        <f t="shared" ref="Q20:Q65" si="15">O24-P24</f>
        <v>6</v>
      </c>
      <c r="R24" s="10">
        <f t="shared" si="2"/>
        <v>0</v>
      </c>
      <c r="S24" s="10">
        <f t="shared" si="3"/>
        <v>0</v>
      </c>
      <c r="T24" s="10" t="e">
        <f t="shared" si="4"/>
        <v>#VALUE!</v>
      </c>
      <c r="U24" s="10">
        <f t="shared" si="5"/>
        <v>0</v>
      </c>
      <c r="V24" s="27" t="e">
        <f t="shared" si="6"/>
        <v>#VALUE!</v>
      </c>
      <c r="W24" s="3"/>
      <c r="X24" s="3"/>
      <c r="Y24" s="133">
        <v>0</v>
      </c>
      <c r="Z24" t="s">
        <v>324</v>
      </c>
    </row>
    <row r="25" spans="1:28" ht="15" customHeight="1" x14ac:dyDescent="0.25">
      <c r="A25" s="8">
        <v>22</v>
      </c>
      <c r="B25" s="9"/>
      <c r="C25" s="9"/>
      <c r="D25" s="9"/>
      <c r="E25" s="9"/>
      <c r="F25" s="9"/>
      <c r="G25" s="9"/>
      <c r="H25" s="9"/>
      <c r="I25" s="9"/>
      <c r="J25" s="9"/>
      <c r="K25" s="8" t="str">
        <f t="shared" ref="K25:K36" si="16">IF(I25=$Y$11,G25*$AB$11,IF(I25=$Y$12,G25*$AB$12,IF(I25=$Y$13,G25*$AB$13,"")))</f>
        <v/>
      </c>
      <c r="L25" s="8" t="e">
        <f t="shared" si="0"/>
        <v>#VALUE!</v>
      </c>
      <c r="M25" s="10" t="e">
        <f>IF(I25=$Y$11,SQRT(L25*10000),SQRT(Parcellaire!L25*10000)/$AC$12)</f>
        <v>#VALUE!</v>
      </c>
      <c r="N25" s="10">
        <f t="shared" si="1"/>
        <v>6</v>
      </c>
      <c r="O25" s="24"/>
      <c r="P25" s="26"/>
      <c r="Q25" s="155">
        <f t="shared" si="15"/>
        <v>0</v>
      </c>
      <c r="R25" s="10">
        <f t="shared" si="2"/>
        <v>0</v>
      </c>
      <c r="S25" s="10">
        <f t="shared" si="3"/>
        <v>0</v>
      </c>
      <c r="T25" s="10" t="e">
        <f t="shared" si="4"/>
        <v>#VALUE!</v>
      </c>
      <c r="U25" s="10">
        <f t="shared" si="5"/>
        <v>0</v>
      </c>
      <c r="V25" s="27" t="e">
        <f t="shared" si="6"/>
        <v>#VALUE!</v>
      </c>
      <c r="W25" s="3"/>
      <c r="X25" s="3"/>
      <c r="Y25" s="133">
        <v>1</v>
      </c>
      <c r="Z25" t="s">
        <v>485</v>
      </c>
    </row>
    <row r="26" spans="1:28" ht="15" customHeight="1" x14ac:dyDescent="0.25">
      <c r="A26" s="8">
        <v>23</v>
      </c>
      <c r="B26" s="9"/>
      <c r="C26" s="9"/>
      <c r="D26" s="9"/>
      <c r="E26" s="9"/>
      <c r="F26" s="9"/>
      <c r="G26" s="9"/>
      <c r="H26" s="9"/>
      <c r="I26" s="9"/>
      <c r="J26" s="9"/>
      <c r="K26" s="8" t="str">
        <f t="shared" si="16"/>
        <v/>
      </c>
      <c r="L26" s="8" t="e">
        <f t="shared" si="0"/>
        <v>#VALUE!</v>
      </c>
      <c r="M26" s="10" t="e">
        <f>IF(I26=$Y$11,SQRT(L26*10000),SQRT(Parcellaire!L26*10000)/$AC$12)</f>
        <v>#VALUE!</v>
      </c>
      <c r="N26" s="10">
        <f t="shared" si="1"/>
        <v>6</v>
      </c>
      <c r="O26" s="24"/>
      <c r="P26" s="26"/>
      <c r="Q26" s="155">
        <f t="shared" si="15"/>
        <v>0</v>
      </c>
      <c r="R26" s="10">
        <f t="shared" si="2"/>
        <v>0</v>
      </c>
      <c r="S26" s="10">
        <f t="shared" si="3"/>
        <v>0</v>
      </c>
      <c r="T26" s="10" t="e">
        <f t="shared" si="4"/>
        <v>#VALUE!</v>
      </c>
      <c r="U26" s="10">
        <f t="shared" si="5"/>
        <v>0</v>
      </c>
      <c r="V26" s="27" t="e">
        <f t="shared" si="6"/>
        <v>#VALUE!</v>
      </c>
      <c r="W26" s="3"/>
      <c r="X26" s="3"/>
      <c r="Y26">
        <v>2</v>
      </c>
      <c r="Z26" t="s">
        <v>486</v>
      </c>
    </row>
    <row r="27" spans="1:28" ht="15" customHeight="1" x14ac:dyDescent="0.25">
      <c r="A27" s="8">
        <v>24</v>
      </c>
      <c r="B27" s="9"/>
      <c r="C27" s="9"/>
      <c r="D27" s="9"/>
      <c r="E27" s="9"/>
      <c r="F27" s="9"/>
      <c r="G27" s="9"/>
      <c r="H27" s="9"/>
      <c r="I27" s="9"/>
      <c r="J27" s="9"/>
      <c r="K27" s="8" t="str">
        <f t="shared" si="16"/>
        <v/>
      </c>
      <c r="L27" s="8" t="e">
        <f t="shared" si="0"/>
        <v>#VALUE!</v>
      </c>
      <c r="M27" s="10" t="e">
        <f>IF(I27=$Y$11,SQRT(L27*10000),SQRT(Parcellaire!L27*10000)/$AC$12)</f>
        <v>#VALUE!</v>
      </c>
      <c r="N27" s="10">
        <f t="shared" si="1"/>
        <v>6</v>
      </c>
      <c r="O27" s="24"/>
      <c r="P27" s="26"/>
      <c r="Q27" s="155">
        <f t="shared" si="15"/>
        <v>0</v>
      </c>
      <c r="R27" s="10">
        <f t="shared" si="2"/>
        <v>0</v>
      </c>
      <c r="S27" s="10">
        <f t="shared" si="3"/>
        <v>0</v>
      </c>
      <c r="T27" s="10" t="e">
        <f t="shared" si="4"/>
        <v>#VALUE!</v>
      </c>
      <c r="U27" s="10">
        <f t="shared" si="5"/>
        <v>0</v>
      </c>
      <c r="V27" s="27" t="e">
        <f t="shared" si="6"/>
        <v>#VALUE!</v>
      </c>
      <c r="W27" s="3"/>
      <c r="X27" s="3"/>
      <c r="Z27" t="s">
        <v>17</v>
      </c>
    </row>
    <row r="28" spans="1:28" ht="15" customHeight="1" x14ac:dyDescent="0.25">
      <c r="A28" s="8">
        <v>25</v>
      </c>
      <c r="B28" s="9"/>
      <c r="C28" s="9"/>
      <c r="D28" s="9"/>
      <c r="E28" s="9"/>
      <c r="F28" s="9"/>
      <c r="G28" s="9"/>
      <c r="H28" s="9"/>
      <c r="I28" s="9"/>
      <c r="J28" s="9"/>
      <c r="K28" s="8" t="str">
        <f t="shared" si="16"/>
        <v/>
      </c>
      <c r="L28" s="8" t="e">
        <f t="shared" si="0"/>
        <v>#VALUE!</v>
      </c>
      <c r="M28" s="10" t="e">
        <f>IF(I28=$Y$11,SQRT(L28*10000),SQRT(Parcellaire!L28*10000)/$AC$12)</f>
        <v>#VALUE!</v>
      </c>
      <c r="N28" s="10">
        <f t="shared" si="1"/>
        <v>6</v>
      </c>
      <c r="O28" s="24"/>
      <c r="P28" s="26"/>
      <c r="Q28" s="155">
        <f t="shared" si="15"/>
        <v>0</v>
      </c>
      <c r="R28" s="10">
        <f t="shared" si="2"/>
        <v>0</v>
      </c>
      <c r="S28" s="10">
        <f t="shared" si="3"/>
        <v>0</v>
      </c>
      <c r="T28" s="10" t="e">
        <f t="shared" si="4"/>
        <v>#VALUE!</v>
      </c>
      <c r="U28" s="10">
        <f t="shared" si="5"/>
        <v>0</v>
      </c>
      <c r="V28" s="27" t="e">
        <f t="shared" si="6"/>
        <v>#VALUE!</v>
      </c>
      <c r="W28" s="3"/>
      <c r="X28" s="3"/>
      <c r="Y28">
        <v>0</v>
      </c>
      <c r="Z28" t="s">
        <v>337</v>
      </c>
    </row>
    <row r="29" spans="1:28" ht="15" customHeight="1" x14ac:dyDescent="0.25">
      <c r="A29" s="8">
        <v>26</v>
      </c>
      <c r="B29" s="9"/>
      <c r="C29" s="9"/>
      <c r="D29" s="9"/>
      <c r="E29" s="9"/>
      <c r="F29" s="9"/>
      <c r="G29" s="9"/>
      <c r="H29" s="9"/>
      <c r="I29" s="9"/>
      <c r="J29" s="9"/>
      <c r="K29" s="8" t="str">
        <f t="shared" si="16"/>
        <v/>
      </c>
      <c r="L29" s="8" t="e">
        <f t="shared" si="0"/>
        <v>#VALUE!</v>
      </c>
      <c r="M29" s="10" t="e">
        <f>IF(I29=$Y$11,SQRT(L29*10000),SQRT(Parcellaire!L29*10000)/$AC$12)</f>
        <v>#VALUE!</v>
      </c>
      <c r="N29" s="10">
        <f t="shared" si="1"/>
        <v>6</v>
      </c>
      <c r="O29" s="24"/>
      <c r="P29" s="26"/>
      <c r="Q29" s="155">
        <f t="shared" si="15"/>
        <v>0</v>
      </c>
      <c r="R29" s="10">
        <f t="shared" si="2"/>
        <v>0</v>
      </c>
      <c r="S29" s="10">
        <f t="shared" si="3"/>
        <v>0</v>
      </c>
      <c r="T29" s="10" t="e">
        <f t="shared" si="4"/>
        <v>#VALUE!</v>
      </c>
      <c r="U29" s="10">
        <f t="shared" si="5"/>
        <v>0</v>
      </c>
      <c r="V29" s="27" t="e">
        <f t="shared" si="6"/>
        <v>#VALUE!</v>
      </c>
      <c r="W29" s="3"/>
      <c r="X29" s="3"/>
      <c r="Y29">
        <v>1</v>
      </c>
      <c r="Z29" t="s">
        <v>338</v>
      </c>
    </row>
    <row r="30" spans="1:28" ht="15" customHeight="1" x14ac:dyDescent="0.25">
      <c r="A30" s="8">
        <v>27</v>
      </c>
      <c r="B30" s="9"/>
      <c r="C30" s="9"/>
      <c r="D30" s="9"/>
      <c r="E30" s="9"/>
      <c r="F30" s="9"/>
      <c r="G30" s="9"/>
      <c r="H30" s="9"/>
      <c r="I30" s="9"/>
      <c r="J30" s="9"/>
      <c r="K30" s="8" t="str">
        <f t="shared" si="16"/>
        <v/>
      </c>
      <c r="L30" s="8" t="e">
        <f t="shared" si="0"/>
        <v>#VALUE!</v>
      </c>
      <c r="M30" s="10" t="e">
        <f>IF(I30=$Y$11,SQRT(L30*10000),SQRT(Parcellaire!L30*10000)/$AC$12)</f>
        <v>#VALUE!</v>
      </c>
      <c r="N30" s="10">
        <f t="shared" si="1"/>
        <v>6</v>
      </c>
      <c r="O30" s="24"/>
      <c r="P30" s="26"/>
      <c r="Q30" s="155">
        <f t="shared" si="15"/>
        <v>0</v>
      </c>
      <c r="R30" s="10">
        <f t="shared" si="2"/>
        <v>0</v>
      </c>
      <c r="S30" s="10">
        <f t="shared" si="3"/>
        <v>0</v>
      </c>
      <c r="T30" s="10" t="e">
        <f t="shared" si="4"/>
        <v>#VALUE!</v>
      </c>
      <c r="U30" s="10">
        <f t="shared" si="5"/>
        <v>0</v>
      </c>
      <c r="V30" s="27" t="e">
        <f t="shared" si="6"/>
        <v>#VALUE!</v>
      </c>
      <c r="W30" s="3"/>
      <c r="X30" s="3"/>
      <c r="Y30">
        <v>2</v>
      </c>
      <c r="Z30" t="s">
        <v>339</v>
      </c>
    </row>
    <row r="31" spans="1:28" ht="15" customHeight="1" x14ac:dyDescent="0.25">
      <c r="A31" s="8">
        <v>28</v>
      </c>
      <c r="B31" s="9"/>
      <c r="C31" s="9"/>
      <c r="D31" s="9"/>
      <c r="E31" s="9"/>
      <c r="F31" s="9"/>
      <c r="G31" s="9"/>
      <c r="H31" s="9"/>
      <c r="I31" s="9"/>
      <c r="J31" s="9"/>
      <c r="K31" s="8" t="str">
        <f t="shared" si="16"/>
        <v/>
      </c>
      <c r="L31" s="8" t="e">
        <f t="shared" si="0"/>
        <v>#VALUE!</v>
      </c>
      <c r="M31" s="10" t="e">
        <f>IF(I31=$Y$11,SQRT(L31*10000),SQRT(Parcellaire!L31*10000)/$AC$12)</f>
        <v>#VALUE!</v>
      </c>
      <c r="N31" s="10">
        <f t="shared" si="1"/>
        <v>6</v>
      </c>
      <c r="O31" s="24"/>
      <c r="P31" s="26"/>
      <c r="Q31" s="155">
        <f t="shared" si="15"/>
        <v>0</v>
      </c>
      <c r="R31" s="10">
        <f t="shared" si="2"/>
        <v>0</v>
      </c>
      <c r="S31" s="10">
        <f t="shared" si="3"/>
        <v>0</v>
      </c>
      <c r="T31" s="10" t="e">
        <f t="shared" si="4"/>
        <v>#VALUE!</v>
      </c>
      <c r="U31" s="10">
        <f t="shared" si="5"/>
        <v>0</v>
      </c>
      <c r="V31" s="27" t="e">
        <f t="shared" si="6"/>
        <v>#VALUE!</v>
      </c>
      <c r="W31" s="3"/>
      <c r="X31" s="3"/>
      <c r="Y31">
        <v>3</v>
      </c>
      <c r="Z31" t="s">
        <v>340</v>
      </c>
    </row>
    <row r="32" spans="1:28" ht="15" customHeight="1" x14ac:dyDescent="0.25">
      <c r="A32" s="8">
        <v>29</v>
      </c>
      <c r="B32" s="9"/>
      <c r="C32" s="9"/>
      <c r="D32" s="9"/>
      <c r="E32" s="9"/>
      <c r="F32" s="9"/>
      <c r="G32" s="9"/>
      <c r="H32" s="9"/>
      <c r="I32" s="9"/>
      <c r="J32" s="9"/>
      <c r="K32" s="8" t="str">
        <f t="shared" si="16"/>
        <v/>
      </c>
      <c r="L32" s="8" t="e">
        <f t="shared" si="0"/>
        <v>#VALUE!</v>
      </c>
      <c r="M32" s="10" t="e">
        <f>IF(I32=$Y$11,SQRT(L32*10000),SQRT(Parcellaire!L32*10000)/$AC$12)</f>
        <v>#VALUE!</v>
      </c>
      <c r="N32" s="10">
        <f t="shared" si="1"/>
        <v>6</v>
      </c>
      <c r="O32" s="24"/>
      <c r="P32" s="26"/>
      <c r="Q32" s="155">
        <f t="shared" si="15"/>
        <v>0</v>
      </c>
      <c r="R32" s="10">
        <f t="shared" si="2"/>
        <v>0</v>
      </c>
      <c r="S32" s="10">
        <f t="shared" si="3"/>
        <v>0</v>
      </c>
      <c r="T32" s="10" t="e">
        <f t="shared" si="4"/>
        <v>#VALUE!</v>
      </c>
      <c r="U32" s="10">
        <f t="shared" si="5"/>
        <v>0</v>
      </c>
      <c r="V32" s="27" t="e">
        <f t="shared" si="6"/>
        <v>#VALUE!</v>
      </c>
      <c r="W32" s="3"/>
      <c r="X32" s="3"/>
      <c r="Y32">
        <v>4</v>
      </c>
      <c r="Z32" t="s">
        <v>341</v>
      </c>
    </row>
    <row r="33" spans="1:26" ht="15" customHeight="1" x14ac:dyDescent="0.25">
      <c r="A33" s="8">
        <v>30</v>
      </c>
      <c r="B33" s="9"/>
      <c r="C33" s="9"/>
      <c r="D33" s="9"/>
      <c r="E33" s="9"/>
      <c r="F33" s="9"/>
      <c r="G33" s="9"/>
      <c r="H33" s="9"/>
      <c r="I33" s="9"/>
      <c r="J33" s="9"/>
      <c r="K33" s="8" t="str">
        <f t="shared" si="16"/>
        <v/>
      </c>
      <c r="L33" s="8" t="e">
        <f t="shared" si="0"/>
        <v>#VALUE!</v>
      </c>
      <c r="M33" s="10" t="e">
        <f>IF(I33=$Y$11,SQRT(L33*10000),SQRT(Parcellaire!L33*10000)/$AC$12)</f>
        <v>#VALUE!</v>
      </c>
      <c r="N33" s="10">
        <f t="shared" si="1"/>
        <v>6</v>
      </c>
      <c r="O33" s="24"/>
      <c r="P33" s="26"/>
      <c r="Q33" s="155">
        <f t="shared" si="15"/>
        <v>0</v>
      </c>
      <c r="R33" s="10">
        <f t="shared" si="2"/>
        <v>0</v>
      </c>
      <c r="S33" s="10">
        <f t="shared" si="3"/>
        <v>0</v>
      </c>
      <c r="T33" s="10" t="e">
        <f t="shared" si="4"/>
        <v>#VALUE!</v>
      </c>
      <c r="U33" s="10">
        <f t="shared" si="5"/>
        <v>0</v>
      </c>
      <c r="V33" s="27" t="e">
        <f t="shared" si="6"/>
        <v>#VALUE!</v>
      </c>
      <c r="W33" s="3"/>
      <c r="X33" s="3"/>
      <c r="Y33" t="s">
        <v>343</v>
      </c>
      <c r="Z33" t="s">
        <v>342</v>
      </c>
    </row>
    <row r="34" spans="1:26" ht="15" customHeight="1" x14ac:dyDescent="0.25">
      <c r="A34" s="8">
        <v>31</v>
      </c>
      <c r="B34" s="9"/>
      <c r="C34" s="9"/>
      <c r="D34" s="9"/>
      <c r="E34" s="9"/>
      <c r="F34" s="9"/>
      <c r="G34" s="9"/>
      <c r="H34" s="9"/>
      <c r="I34" s="9"/>
      <c r="J34" s="9"/>
      <c r="K34" s="8" t="str">
        <f t="shared" si="16"/>
        <v/>
      </c>
      <c r="L34" s="8" t="e">
        <f t="shared" ref="L34:L65" si="17">IF(J34=$Y$6,K34*$AA$6,IF(J34=$Y$7,K34*$AA$7,IF(J34=$Y$8,K34*$AA$8,"")))</f>
        <v>#VALUE!</v>
      </c>
      <c r="M34" s="10" t="e">
        <f>IF(I34=$Y$11,SQRT(L34*10000),SQRT(Parcellaire!L34*10000)/$AC$12)</f>
        <v>#VALUE!</v>
      </c>
      <c r="N34" s="10">
        <f t="shared" si="1"/>
        <v>6</v>
      </c>
      <c r="O34" s="24"/>
      <c r="P34" s="26"/>
      <c r="Q34" s="155">
        <f t="shared" si="15"/>
        <v>0</v>
      </c>
      <c r="R34" s="10">
        <f t="shared" si="2"/>
        <v>0</v>
      </c>
      <c r="S34" s="10">
        <f t="shared" si="3"/>
        <v>0</v>
      </c>
      <c r="T34" s="10" t="e">
        <f t="shared" si="4"/>
        <v>#VALUE!</v>
      </c>
      <c r="U34" s="10">
        <f t="shared" si="5"/>
        <v>0</v>
      </c>
      <c r="V34" s="27" t="e">
        <f t="shared" si="6"/>
        <v>#VALUE!</v>
      </c>
      <c r="W34" s="3"/>
      <c r="X34" s="3"/>
      <c r="Y34" t="s">
        <v>345</v>
      </c>
      <c r="Z34" t="s">
        <v>344</v>
      </c>
    </row>
    <row r="35" spans="1:26" ht="15" customHeight="1" x14ac:dyDescent="0.25">
      <c r="A35" s="8">
        <v>32</v>
      </c>
      <c r="B35" s="9"/>
      <c r="C35" s="9"/>
      <c r="D35" s="9"/>
      <c r="E35" s="9"/>
      <c r="F35" s="9"/>
      <c r="G35" s="9"/>
      <c r="H35" s="9"/>
      <c r="I35" s="9"/>
      <c r="J35" s="9"/>
      <c r="K35" s="8" t="str">
        <f t="shared" si="16"/>
        <v/>
      </c>
      <c r="L35" s="8" t="e">
        <f t="shared" si="17"/>
        <v>#VALUE!</v>
      </c>
      <c r="M35" s="10" t="e">
        <f>IF(I35=$Y$11,SQRT(L35*10000),SQRT(Parcellaire!L35*10000)/$AC$12)</f>
        <v>#VALUE!</v>
      </c>
      <c r="N35" s="10">
        <f t="shared" si="1"/>
        <v>6</v>
      </c>
      <c r="O35" s="24"/>
      <c r="P35" s="26"/>
      <c r="Q35" s="155">
        <f t="shared" si="15"/>
        <v>0</v>
      </c>
      <c r="R35" s="10">
        <f t="shared" si="2"/>
        <v>0</v>
      </c>
      <c r="S35" s="10">
        <f t="shared" si="3"/>
        <v>0</v>
      </c>
      <c r="T35" s="10" t="e">
        <f t="shared" si="4"/>
        <v>#VALUE!</v>
      </c>
      <c r="U35" s="10">
        <f t="shared" si="5"/>
        <v>0</v>
      </c>
      <c r="V35" s="27" t="e">
        <f t="shared" si="6"/>
        <v>#VALUE!</v>
      </c>
      <c r="W35" s="3"/>
      <c r="X35" s="3"/>
      <c r="Y35">
        <v>6</v>
      </c>
      <c r="Z35" t="s">
        <v>346</v>
      </c>
    </row>
    <row r="36" spans="1:26" ht="15" customHeight="1" x14ac:dyDescent="0.25">
      <c r="A36" s="8">
        <v>33</v>
      </c>
      <c r="B36" s="9"/>
      <c r="C36" s="9"/>
      <c r="D36" s="9"/>
      <c r="E36" s="9"/>
      <c r="F36" s="9"/>
      <c r="G36" s="9"/>
      <c r="H36" s="9"/>
      <c r="I36" s="9"/>
      <c r="J36" s="9"/>
      <c r="K36" s="8" t="str">
        <f t="shared" si="16"/>
        <v/>
      </c>
      <c r="L36" s="8" t="e">
        <f t="shared" si="17"/>
        <v>#VALUE!</v>
      </c>
      <c r="M36" s="10" t="e">
        <f>IF(I36=$Y$11,SQRT(L36*10000),SQRT(Parcellaire!L36*10000)/$AC$12)</f>
        <v>#VALUE!</v>
      </c>
      <c r="N36" s="10">
        <f t="shared" si="1"/>
        <v>6</v>
      </c>
      <c r="O36" s="24"/>
      <c r="P36" s="26"/>
      <c r="Q36" s="155">
        <f t="shared" si="15"/>
        <v>0</v>
      </c>
      <c r="R36" s="10">
        <f t="shared" si="2"/>
        <v>0</v>
      </c>
      <c r="S36" s="10">
        <f t="shared" si="3"/>
        <v>0</v>
      </c>
      <c r="T36" s="10" t="e">
        <f t="shared" si="4"/>
        <v>#VALUE!</v>
      </c>
      <c r="U36" s="10">
        <f t="shared" si="5"/>
        <v>0</v>
      </c>
      <c r="V36" s="27" t="e">
        <f t="shared" si="6"/>
        <v>#VALUE!</v>
      </c>
      <c r="W36" s="3"/>
      <c r="X36" s="3"/>
      <c r="Y36">
        <v>7</v>
      </c>
      <c r="Z36" t="s">
        <v>347</v>
      </c>
    </row>
    <row r="37" spans="1:26" ht="15" customHeight="1" x14ac:dyDescent="0.25">
      <c r="A37" s="8">
        <v>34</v>
      </c>
      <c r="B37" s="9"/>
      <c r="C37" s="9"/>
      <c r="D37" s="9"/>
      <c r="E37" s="9"/>
      <c r="F37" s="9"/>
      <c r="G37" s="9"/>
      <c r="H37" s="9"/>
      <c r="I37" s="9"/>
      <c r="J37" s="9"/>
      <c r="K37" s="8" t="str">
        <f t="shared" ref="K37:K65" si="18">IF(I37=$Y$11,G37*$AB$11,IF(I37=$Y$12,G37*$AB$12,IF(I37=$Y$13,G37*$AB$13,"")))</f>
        <v/>
      </c>
      <c r="L37" s="8" t="e">
        <f t="shared" si="17"/>
        <v>#VALUE!</v>
      </c>
      <c r="M37" s="10" t="e">
        <f>IF(I37=$Y$11,SQRT(L37*10000),SQRT(Parcellaire!L37*10000)/$AC$12)</f>
        <v>#VALUE!</v>
      </c>
      <c r="N37" s="10">
        <f t="shared" si="1"/>
        <v>6</v>
      </c>
      <c r="O37" s="24"/>
      <c r="P37" s="26"/>
      <c r="Q37" s="155">
        <f t="shared" si="15"/>
        <v>0</v>
      </c>
      <c r="R37" s="10">
        <f t="shared" si="2"/>
        <v>0</v>
      </c>
      <c r="S37" s="10">
        <f t="shared" si="3"/>
        <v>0</v>
      </c>
      <c r="T37" s="10" t="e">
        <f t="shared" si="4"/>
        <v>#VALUE!</v>
      </c>
      <c r="U37" s="10">
        <f t="shared" si="5"/>
        <v>0</v>
      </c>
      <c r="V37" s="27" t="e">
        <f t="shared" si="6"/>
        <v>#VALUE!</v>
      </c>
      <c r="W37" s="3"/>
      <c r="X37" s="3"/>
      <c r="Y37" t="s">
        <v>349</v>
      </c>
      <c r="Z37" t="s">
        <v>348</v>
      </c>
    </row>
    <row r="38" spans="1:26" ht="15" customHeight="1" x14ac:dyDescent="0.25">
      <c r="A38" s="8">
        <v>35</v>
      </c>
      <c r="B38" s="9"/>
      <c r="C38" s="9"/>
      <c r="D38" s="9"/>
      <c r="E38" s="9"/>
      <c r="F38" s="9"/>
      <c r="G38" s="9"/>
      <c r="H38" s="9"/>
      <c r="I38" s="9"/>
      <c r="J38" s="9"/>
      <c r="K38" s="8" t="str">
        <f t="shared" si="18"/>
        <v/>
      </c>
      <c r="L38" s="8" t="e">
        <f t="shared" si="17"/>
        <v>#VALUE!</v>
      </c>
      <c r="M38" s="10" t="e">
        <f>IF(I38=$Y$11,SQRT(L38*10000),SQRT(Parcellaire!L38*10000)/$AC$12)</f>
        <v>#VALUE!</v>
      </c>
      <c r="N38" s="10">
        <f t="shared" si="1"/>
        <v>6</v>
      </c>
      <c r="O38" s="24"/>
      <c r="P38" s="26"/>
      <c r="Q38" s="155">
        <f t="shared" si="15"/>
        <v>0</v>
      </c>
      <c r="R38" s="10">
        <f t="shared" si="2"/>
        <v>0</v>
      </c>
      <c r="S38" s="10">
        <f t="shared" si="3"/>
        <v>0</v>
      </c>
      <c r="T38" s="10" t="e">
        <f t="shared" si="4"/>
        <v>#VALUE!</v>
      </c>
      <c r="U38" s="10">
        <f t="shared" si="5"/>
        <v>0</v>
      </c>
      <c r="V38" s="27" t="e">
        <f t="shared" si="6"/>
        <v>#VALUE!</v>
      </c>
      <c r="W38" s="3"/>
      <c r="X38" s="3"/>
      <c r="Y38" t="s">
        <v>351</v>
      </c>
      <c r="Z38" t="s">
        <v>350</v>
      </c>
    </row>
    <row r="39" spans="1:26" ht="15" customHeight="1" x14ac:dyDescent="0.25">
      <c r="A39" s="8">
        <v>36</v>
      </c>
      <c r="B39" s="9"/>
      <c r="C39" s="9"/>
      <c r="D39" s="9"/>
      <c r="E39" s="9"/>
      <c r="F39" s="9"/>
      <c r="G39" s="9"/>
      <c r="H39" s="9"/>
      <c r="I39" s="9"/>
      <c r="J39" s="9"/>
      <c r="K39" s="8" t="str">
        <f t="shared" si="18"/>
        <v/>
      </c>
      <c r="L39" s="8" t="e">
        <f t="shared" si="17"/>
        <v>#VALUE!</v>
      </c>
      <c r="M39" s="10" t="e">
        <f>IF(I39=$Y$11,SQRT(L39*10000),SQRT(Parcellaire!L39*10000)/$AC$12)</f>
        <v>#VALUE!</v>
      </c>
      <c r="N39" s="10">
        <f t="shared" si="1"/>
        <v>6</v>
      </c>
      <c r="O39" s="24"/>
      <c r="P39" s="26"/>
      <c r="Q39" s="155">
        <f t="shared" si="15"/>
        <v>0</v>
      </c>
      <c r="R39" s="10">
        <f t="shared" si="2"/>
        <v>0</v>
      </c>
      <c r="S39" s="10">
        <f t="shared" si="3"/>
        <v>0</v>
      </c>
      <c r="T39" s="10" t="e">
        <f t="shared" si="4"/>
        <v>#VALUE!</v>
      </c>
      <c r="U39" s="10">
        <f t="shared" si="5"/>
        <v>0</v>
      </c>
      <c r="V39" s="27" t="e">
        <f t="shared" si="6"/>
        <v>#VALUE!</v>
      </c>
      <c r="W39" s="3"/>
      <c r="X39" s="3"/>
      <c r="Y39" t="s">
        <v>352</v>
      </c>
      <c r="Z39" t="s">
        <v>353</v>
      </c>
    </row>
    <row r="40" spans="1:26" x14ac:dyDescent="0.25">
      <c r="A40" s="8">
        <v>37</v>
      </c>
      <c r="B40" s="9"/>
      <c r="C40" s="9"/>
      <c r="D40" s="9"/>
      <c r="E40" s="9"/>
      <c r="F40" s="9"/>
      <c r="G40" s="9"/>
      <c r="H40" s="9"/>
      <c r="I40" s="9"/>
      <c r="J40" s="9"/>
      <c r="K40" s="8" t="str">
        <f t="shared" si="18"/>
        <v/>
      </c>
      <c r="L40" s="8" t="e">
        <f t="shared" si="17"/>
        <v>#VALUE!</v>
      </c>
      <c r="M40" s="10" t="e">
        <f>IF(I40=$Y$11,SQRT(L40*10000),SQRT(Parcellaire!L40*10000)/$AC$12)</f>
        <v>#VALUE!</v>
      </c>
      <c r="N40" s="10">
        <f t="shared" ref="N40:N59" si="19">IF(I40=1,4,6)</f>
        <v>6</v>
      </c>
      <c r="O40" s="24"/>
      <c r="P40" s="26"/>
      <c r="Q40" s="155">
        <f t="shared" si="15"/>
        <v>0</v>
      </c>
      <c r="R40" s="10">
        <f t="shared" ref="R40:R59" si="20">IF(C40=1,O40*M40,0)</f>
        <v>0</v>
      </c>
      <c r="S40" s="10">
        <f t="shared" ref="S40:S59" si="21">IF(C40=1,P40*M40,0)</f>
        <v>0</v>
      </c>
      <c r="T40" s="10" t="e">
        <f t="shared" si="4"/>
        <v>#VALUE!</v>
      </c>
      <c r="U40" s="10">
        <f t="shared" ref="U40:U59" si="22">IF(C40=2,Q40*M40,0)</f>
        <v>0</v>
      </c>
      <c r="V40" s="27" t="e">
        <f t="shared" ref="V40:V59" si="23">O40*M40</f>
        <v>#VALUE!</v>
      </c>
    </row>
    <row r="41" spans="1:26" x14ac:dyDescent="0.25">
      <c r="A41" s="8">
        <v>38</v>
      </c>
      <c r="B41" s="9"/>
      <c r="C41" s="9"/>
      <c r="D41" s="9"/>
      <c r="E41" s="9"/>
      <c r="F41" s="9"/>
      <c r="G41" s="9"/>
      <c r="H41" s="9"/>
      <c r="I41" s="9"/>
      <c r="J41" s="9"/>
      <c r="K41" s="8" t="str">
        <f t="shared" si="18"/>
        <v/>
      </c>
      <c r="L41" s="8" t="e">
        <f t="shared" si="17"/>
        <v>#VALUE!</v>
      </c>
      <c r="M41" s="10" t="e">
        <f>IF(I41=$Y$11,SQRT(L41*10000),SQRT(Parcellaire!L41*10000)/$AC$12)</f>
        <v>#VALUE!</v>
      </c>
      <c r="N41" s="10">
        <f t="shared" si="19"/>
        <v>6</v>
      </c>
      <c r="O41" s="24"/>
      <c r="P41" s="26"/>
      <c r="Q41" s="155">
        <f t="shared" si="15"/>
        <v>0</v>
      </c>
      <c r="R41" s="10">
        <f t="shared" si="20"/>
        <v>0</v>
      </c>
      <c r="S41" s="10">
        <f t="shared" si="21"/>
        <v>0</v>
      </c>
      <c r="T41" s="10" t="e">
        <f t="shared" si="4"/>
        <v>#VALUE!</v>
      </c>
      <c r="U41" s="10">
        <f t="shared" si="22"/>
        <v>0</v>
      </c>
      <c r="V41" s="27" t="e">
        <f t="shared" si="23"/>
        <v>#VALUE!</v>
      </c>
    </row>
    <row r="42" spans="1:26" x14ac:dyDescent="0.25">
      <c r="A42" s="8">
        <v>39</v>
      </c>
      <c r="B42" s="9"/>
      <c r="C42" s="9"/>
      <c r="D42" s="9"/>
      <c r="E42" s="9"/>
      <c r="F42" s="9"/>
      <c r="G42" s="9"/>
      <c r="H42" s="9"/>
      <c r="I42" s="9"/>
      <c r="J42" s="9"/>
      <c r="K42" s="8" t="str">
        <f t="shared" si="18"/>
        <v/>
      </c>
      <c r="L42" s="8" t="e">
        <f t="shared" si="17"/>
        <v>#VALUE!</v>
      </c>
      <c r="M42" s="10" t="e">
        <f>IF(I42=$Y$11,SQRT(L42*10000),SQRT(Parcellaire!L42*10000)/$AC$12)</f>
        <v>#VALUE!</v>
      </c>
      <c r="N42" s="10">
        <f t="shared" si="19"/>
        <v>6</v>
      </c>
      <c r="O42" s="24"/>
      <c r="P42" s="26"/>
      <c r="Q42" s="155">
        <f t="shared" si="15"/>
        <v>0</v>
      </c>
      <c r="R42" s="10">
        <f t="shared" si="20"/>
        <v>0</v>
      </c>
      <c r="S42" s="10">
        <f t="shared" si="21"/>
        <v>0</v>
      </c>
      <c r="T42" s="10" t="e">
        <f t="shared" si="4"/>
        <v>#VALUE!</v>
      </c>
      <c r="U42" s="10">
        <f t="shared" si="22"/>
        <v>0</v>
      </c>
      <c r="V42" s="27" t="e">
        <f t="shared" si="23"/>
        <v>#VALUE!</v>
      </c>
    </row>
    <row r="43" spans="1:26" x14ac:dyDescent="0.25">
      <c r="A43" s="8">
        <v>40</v>
      </c>
      <c r="B43" s="9"/>
      <c r="C43" s="9"/>
      <c r="D43" s="9"/>
      <c r="E43" s="9"/>
      <c r="F43" s="9"/>
      <c r="G43" s="9"/>
      <c r="H43" s="9"/>
      <c r="I43" s="9"/>
      <c r="J43" s="9"/>
      <c r="K43" s="8" t="str">
        <f t="shared" si="18"/>
        <v/>
      </c>
      <c r="L43" s="8" t="e">
        <f t="shared" si="17"/>
        <v>#VALUE!</v>
      </c>
      <c r="M43" s="10" t="e">
        <f>IF(I43=$Y$11,SQRT(L43*10000),SQRT(Parcellaire!L43*10000)/$AC$12)</f>
        <v>#VALUE!</v>
      </c>
      <c r="N43" s="10">
        <f t="shared" si="19"/>
        <v>6</v>
      </c>
      <c r="O43" s="24"/>
      <c r="P43" s="26"/>
      <c r="Q43" s="155">
        <f t="shared" si="15"/>
        <v>0</v>
      </c>
      <c r="R43" s="10">
        <f t="shared" si="20"/>
        <v>0</v>
      </c>
      <c r="S43" s="10">
        <f t="shared" si="21"/>
        <v>0</v>
      </c>
      <c r="T43" s="10" t="e">
        <f t="shared" si="4"/>
        <v>#VALUE!</v>
      </c>
      <c r="U43" s="10">
        <f t="shared" si="22"/>
        <v>0</v>
      </c>
      <c r="V43" s="27" t="e">
        <f t="shared" si="23"/>
        <v>#VALUE!</v>
      </c>
    </row>
    <row r="44" spans="1:26" x14ac:dyDescent="0.25">
      <c r="A44" s="8">
        <v>41</v>
      </c>
      <c r="B44" s="9"/>
      <c r="C44" s="9"/>
      <c r="D44" s="9"/>
      <c r="E44" s="9"/>
      <c r="F44" s="9"/>
      <c r="G44" s="9"/>
      <c r="H44" s="9"/>
      <c r="I44" s="9"/>
      <c r="J44" s="9"/>
      <c r="K44" s="8" t="str">
        <f t="shared" si="18"/>
        <v/>
      </c>
      <c r="L44" s="8" t="e">
        <f t="shared" si="17"/>
        <v>#VALUE!</v>
      </c>
      <c r="M44" s="10" t="e">
        <f>IF(I44=$Y$11,SQRT(L44*10000),SQRT(Parcellaire!L44*10000)/$AC$12)</f>
        <v>#VALUE!</v>
      </c>
      <c r="N44" s="10">
        <f t="shared" si="19"/>
        <v>6</v>
      </c>
      <c r="O44" s="24"/>
      <c r="P44" s="26"/>
      <c r="Q44" s="155">
        <f t="shared" si="15"/>
        <v>0</v>
      </c>
      <c r="R44" s="10">
        <f t="shared" si="20"/>
        <v>0</v>
      </c>
      <c r="S44" s="10">
        <f t="shared" si="21"/>
        <v>0</v>
      </c>
      <c r="T44" s="10" t="e">
        <f t="shared" si="4"/>
        <v>#VALUE!</v>
      </c>
      <c r="U44" s="10">
        <f t="shared" si="22"/>
        <v>0</v>
      </c>
      <c r="V44" s="27" t="e">
        <f t="shared" si="23"/>
        <v>#VALUE!</v>
      </c>
    </row>
    <row r="45" spans="1:26" x14ac:dyDescent="0.25">
      <c r="A45" s="8">
        <v>42</v>
      </c>
      <c r="B45" s="9"/>
      <c r="C45" s="9"/>
      <c r="D45" s="9"/>
      <c r="E45" s="9"/>
      <c r="F45" s="9"/>
      <c r="G45" s="9"/>
      <c r="H45" s="9"/>
      <c r="I45" s="9"/>
      <c r="J45" s="9"/>
      <c r="K45" s="8" t="str">
        <f t="shared" si="18"/>
        <v/>
      </c>
      <c r="L45" s="8" t="e">
        <f t="shared" si="17"/>
        <v>#VALUE!</v>
      </c>
      <c r="M45" s="10" t="e">
        <f>IF(I45=$Y$11,SQRT(L45*10000),SQRT(Parcellaire!L45*10000)/$AC$12)</f>
        <v>#VALUE!</v>
      </c>
      <c r="N45" s="10">
        <f t="shared" si="19"/>
        <v>6</v>
      </c>
      <c r="O45" s="24"/>
      <c r="P45" s="26"/>
      <c r="Q45" s="155">
        <f t="shared" si="15"/>
        <v>0</v>
      </c>
      <c r="R45" s="10">
        <f t="shared" si="20"/>
        <v>0</v>
      </c>
      <c r="S45" s="10">
        <f t="shared" si="21"/>
        <v>0</v>
      </c>
      <c r="T45" s="10" t="e">
        <f t="shared" si="4"/>
        <v>#VALUE!</v>
      </c>
      <c r="U45" s="10">
        <f t="shared" si="22"/>
        <v>0</v>
      </c>
      <c r="V45" s="27" t="e">
        <f t="shared" si="23"/>
        <v>#VALUE!</v>
      </c>
    </row>
    <row r="46" spans="1:26" x14ac:dyDescent="0.25">
      <c r="A46" s="8">
        <v>43</v>
      </c>
      <c r="B46" s="9"/>
      <c r="C46" s="9"/>
      <c r="D46" s="9"/>
      <c r="E46" s="9"/>
      <c r="F46" s="9"/>
      <c r="G46" s="9"/>
      <c r="H46" s="9"/>
      <c r="I46" s="9"/>
      <c r="J46" s="9"/>
      <c r="K46" s="8" t="str">
        <f t="shared" si="18"/>
        <v/>
      </c>
      <c r="L46" s="8" t="e">
        <f t="shared" si="17"/>
        <v>#VALUE!</v>
      </c>
      <c r="M46" s="10" t="e">
        <f>IF(I46=$Y$11,SQRT(L46*10000),SQRT(Parcellaire!L46*10000)/$AC$12)</f>
        <v>#VALUE!</v>
      </c>
      <c r="N46" s="10">
        <f t="shared" si="19"/>
        <v>6</v>
      </c>
      <c r="O46" s="24"/>
      <c r="P46" s="26"/>
      <c r="Q46" s="155">
        <f t="shared" si="15"/>
        <v>0</v>
      </c>
      <c r="R46" s="10">
        <f t="shared" si="20"/>
        <v>0</v>
      </c>
      <c r="S46" s="10">
        <f t="shared" si="21"/>
        <v>0</v>
      </c>
      <c r="T46" s="10" t="e">
        <f t="shared" si="4"/>
        <v>#VALUE!</v>
      </c>
      <c r="U46" s="10">
        <f t="shared" si="22"/>
        <v>0</v>
      </c>
      <c r="V46" s="27" t="e">
        <f t="shared" si="23"/>
        <v>#VALUE!</v>
      </c>
    </row>
    <row r="47" spans="1:26" x14ac:dyDescent="0.25">
      <c r="A47" s="8">
        <v>44</v>
      </c>
      <c r="B47" s="9"/>
      <c r="C47" s="9"/>
      <c r="D47" s="9"/>
      <c r="E47" s="9"/>
      <c r="F47" s="9"/>
      <c r="G47" s="9"/>
      <c r="H47" s="9"/>
      <c r="I47" s="9"/>
      <c r="J47" s="9"/>
      <c r="K47" s="8" t="str">
        <f t="shared" si="18"/>
        <v/>
      </c>
      <c r="L47" s="8" t="e">
        <f t="shared" si="17"/>
        <v>#VALUE!</v>
      </c>
      <c r="M47" s="10" t="e">
        <f>IF(I47=$Y$11,SQRT(L47*10000),SQRT(Parcellaire!L47*10000)/$AC$12)</f>
        <v>#VALUE!</v>
      </c>
      <c r="N47" s="10">
        <f t="shared" si="19"/>
        <v>6</v>
      </c>
      <c r="O47" s="24"/>
      <c r="P47" s="26"/>
      <c r="Q47" s="155">
        <f t="shared" si="15"/>
        <v>0</v>
      </c>
      <c r="R47" s="10">
        <f t="shared" si="20"/>
        <v>0</v>
      </c>
      <c r="S47" s="10">
        <f t="shared" si="21"/>
        <v>0</v>
      </c>
      <c r="T47" s="10" t="e">
        <f t="shared" si="4"/>
        <v>#VALUE!</v>
      </c>
      <c r="U47" s="10">
        <f t="shared" si="22"/>
        <v>0</v>
      </c>
      <c r="V47" s="27" t="e">
        <f t="shared" si="23"/>
        <v>#VALUE!</v>
      </c>
    </row>
    <row r="48" spans="1:26" x14ac:dyDescent="0.25">
      <c r="A48" s="8">
        <v>45</v>
      </c>
      <c r="B48" s="9"/>
      <c r="C48" s="9"/>
      <c r="D48" s="9"/>
      <c r="E48" s="9"/>
      <c r="F48" s="9"/>
      <c r="G48" s="9"/>
      <c r="H48" s="9"/>
      <c r="I48" s="9"/>
      <c r="J48" s="9"/>
      <c r="K48" s="8" t="str">
        <f t="shared" si="18"/>
        <v/>
      </c>
      <c r="L48" s="8" t="e">
        <f t="shared" si="17"/>
        <v>#VALUE!</v>
      </c>
      <c r="M48" s="10" t="e">
        <f>IF(I48=$Y$11,SQRT(L48*10000),SQRT(Parcellaire!L48*10000)/$AC$12)</f>
        <v>#VALUE!</v>
      </c>
      <c r="N48" s="10">
        <f t="shared" si="19"/>
        <v>6</v>
      </c>
      <c r="O48" s="24"/>
      <c r="P48" s="26"/>
      <c r="Q48" s="155">
        <f t="shared" si="15"/>
        <v>0</v>
      </c>
      <c r="R48" s="10">
        <f t="shared" si="20"/>
        <v>0</v>
      </c>
      <c r="S48" s="10">
        <f t="shared" si="21"/>
        <v>0</v>
      </c>
      <c r="T48" s="10" t="e">
        <f t="shared" si="4"/>
        <v>#VALUE!</v>
      </c>
      <c r="U48" s="10">
        <f t="shared" si="22"/>
        <v>0</v>
      </c>
      <c r="V48" s="27" t="e">
        <f t="shared" si="23"/>
        <v>#VALUE!</v>
      </c>
    </row>
    <row r="49" spans="1:29" x14ac:dyDescent="0.25">
      <c r="A49" s="8">
        <v>46</v>
      </c>
      <c r="B49" s="9"/>
      <c r="C49" s="9"/>
      <c r="D49" s="9"/>
      <c r="E49" s="9"/>
      <c r="F49" s="9"/>
      <c r="G49" s="9"/>
      <c r="H49" s="9"/>
      <c r="I49" s="9"/>
      <c r="J49" s="9"/>
      <c r="K49" s="8" t="str">
        <f t="shared" si="18"/>
        <v/>
      </c>
      <c r="L49" s="8" t="e">
        <f t="shared" si="17"/>
        <v>#VALUE!</v>
      </c>
      <c r="M49" s="10" t="e">
        <f>IF(I49=$Y$11,SQRT(L49*10000),SQRT(Parcellaire!L49*10000)/$AC$12)</f>
        <v>#VALUE!</v>
      </c>
      <c r="N49" s="10">
        <f t="shared" si="19"/>
        <v>6</v>
      </c>
      <c r="O49" s="24"/>
      <c r="P49" s="26"/>
      <c r="Q49" s="155">
        <f t="shared" si="15"/>
        <v>0</v>
      </c>
      <c r="R49" s="10">
        <f t="shared" si="20"/>
        <v>0</v>
      </c>
      <c r="S49" s="10">
        <f t="shared" si="21"/>
        <v>0</v>
      </c>
      <c r="T49" s="10" t="e">
        <f t="shared" si="4"/>
        <v>#VALUE!</v>
      </c>
      <c r="U49" s="10">
        <f t="shared" si="22"/>
        <v>0</v>
      </c>
      <c r="V49" s="27" t="e">
        <f t="shared" si="23"/>
        <v>#VALUE!</v>
      </c>
    </row>
    <row r="50" spans="1:29" x14ac:dyDescent="0.25">
      <c r="A50" s="8">
        <v>47</v>
      </c>
      <c r="B50" s="9"/>
      <c r="C50" s="9"/>
      <c r="D50" s="9"/>
      <c r="E50" s="9"/>
      <c r="F50" s="9"/>
      <c r="G50" s="9"/>
      <c r="H50" s="9"/>
      <c r="I50" s="9"/>
      <c r="J50" s="9"/>
      <c r="K50" s="8" t="str">
        <f t="shared" si="18"/>
        <v/>
      </c>
      <c r="L50" s="8" t="e">
        <f t="shared" si="17"/>
        <v>#VALUE!</v>
      </c>
      <c r="M50" s="10" t="e">
        <f>IF(I50=$Y$11,SQRT(L50*10000),SQRT(Parcellaire!L50*10000)/$AC$12)</f>
        <v>#VALUE!</v>
      </c>
      <c r="N50" s="10">
        <f t="shared" si="19"/>
        <v>6</v>
      </c>
      <c r="O50" s="24"/>
      <c r="P50" s="26"/>
      <c r="Q50" s="155">
        <f t="shared" si="15"/>
        <v>0</v>
      </c>
      <c r="R50" s="10">
        <f t="shared" si="20"/>
        <v>0</v>
      </c>
      <c r="S50" s="10">
        <f t="shared" si="21"/>
        <v>0</v>
      </c>
      <c r="T50" s="10" t="e">
        <f t="shared" si="4"/>
        <v>#VALUE!</v>
      </c>
      <c r="U50" s="10">
        <f t="shared" si="22"/>
        <v>0</v>
      </c>
      <c r="V50" s="27" t="e">
        <f t="shared" si="23"/>
        <v>#VALUE!</v>
      </c>
    </row>
    <row r="51" spans="1:29" x14ac:dyDescent="0.25">
      <c r="A51" s="8">
        <v>48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si="18"/>
        <v/>
      </c>
      <c r="L51" s="8" t="e">
        <f t="shared" si="17"/>
        <v>#VALUE!</v>
      </c>
      <c r="M51" s="10" t="e">
        <f>IF(I51=$Y$11,SQRT(L51*10000),SQRT(Parcellaire!L51*10000)/$AC$12)</f>
        <v>#VALUE!</v>
      </c>
      <c r="N51" s="10">
        <f t="shared" si="19"/>
        <v>6</v>
      </c>
      <c r="O51" s="24"/>
      <c r="P51" s="26"/>
      <c r="Q51" s="155">
        <f t="shared" si="15"/>
        <v>0</v>
      </c>
      <c r="R51" s="10">
        <f t="shared" si="20"/>
        <v>0</v>
      </c>
      <c r="S51" s="10">
        <f t="shared" si="21"/>
        <v>0</v>
      </c>
      <c r="T51" s="10" t="e">
        <f t="shared" si="4"/>
        <v>#VALUE!</v>
      </c>
      <c r="U51" s="10">
        <f t="shared" si="22"/>
        <v>0</v>
      </c>
      <c r="V51" s="27" t="e">
        <f t="shared" si="23"/>
        <v>#VALUE!</v>
      </c>
    </row>
    <row r="52" spans="1:29" x14ac:dyDescent="0.25">
      <c r="A52" s="8">
        <v>49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18"/>
        <v/>
      </c>
      <c r="L52" s="8" t="e">
        <f t="shared" si="17"/>
        <v>#VALUE!</v>
      </c>
      <c r="M52" s="10" t="e">
        <f>IF(I52=$Y$11,SQRT(L52*10000),SQRT(Parcellaire!L52*10000)/$AC$12)</f>
        <v>#VALUE!</v>
      </c>
      <c r="N52" s="10">
        <f t="shared" si="19"/>
        <v>6</v>
      </c>
      <c r="O52" s="24"/>
      <c r="P52" s="26"/>
      <c r="Q52" s="155">
        <f t="shared" si="15"/>
        <v>0</v>
      </c>
      <c r="R52" s="10">
        <f t="shared" si="20"/>
        <v>0</v>
      </c>
      <c r="S52" s="10">
        <f t="shared" si="21"/>
        <v>0</v>
      </c>
      <c r="T52" s="10" t="e">
        <f t="shared" si="4"/>
        <v>#VALUE!</v>
      </c>
      <c r="U52" s="10">
        <f t="shared" si="22"/>
        <v>0</v>
      </c>
      <c r="V52" s="27" t="e">
        <f t="shared" si="23"/>
        <v>#VALUE!</v>
      </c>
    </row>
    <row r="53" spans="1:29" x14ac:dyDescent="0.25">
      <c r="A53" s="8">
        <v>50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18"/>
        <v/>
      </c>
      <c r="L53" s="8" t="e">
        <f t="shared" si="17"/>
        <v>#VALUE!</v>
      </c>
      <c r="M53" s="10" t="e">
        <f>IF(I53=$Y$11,SQRT(L53*10000),SQRT(Parcellaire!L53*10000)/$AC$12)</f>
        <v>#VALUE!</v>
      </c>
      <c r="N53" s="10">
        <f t="shared" si="19"/>
        <v>6</v>
      </c>
      <c r="O53" s="24"/>
      <c r="P53" s="26"/>
      <c r="Q53" s="155">
        <f t="shared" si="15"/>
        <v>0</v>
      </c>
      <c r="R53" s="10">
        <f t="shared" si="20"/>
        <v>0</v>
      </c>
      <c r="S53" s="10">
        <f t="shared" si="21"/>
        <v>0</v>
      </c>
      <c r="T53" s="10" t="e">
        <f t="shared" si="4"/>
        <v>#VALUE!</v>
      </c>
      <c r="U53" s="10">
        <f t="shared" si="22"/>
        <v>0</v>
      </c>
      <c r="V53" s="27" t="e">
        <f t="shared" si="23"/>
        <v>#VALUE!</v>
      </c>
    </row>
    <row r="54" spans="1:29" x14ac:dyDescent="0.25">
      <c r="A54" s="8">
        <v>51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18"/>
        <v/>
      </c>
      <c r="L54" s="8" t="e">
        <f t="shared" si="17"/>
        <v>#VALUE!</v>
      </c>
      <c r="M54" s="10" t="e">
        <f>IF(I54=$Y$11,SQRT(L54*10000),SQRT(Parcellaire!L54*10000)/$AC$12)</f>
        <v>#VALUE!</v>
      </c>
      <c r="N54" s="10">
        <f t="shared" si="19"/>
        <v>6</v>
      </c>
      <c r="O54" s="24"/>
      <c r="P54" s="26"/>
      <c r="Q54" s="155">
        <f t="shared" si="15"/>
        <v>0</v>
      </c>
      <c r="R54" s="10">
        <f t="shared" si="20"/>
        <v>0</v>
      </c>
      <c r="S54" s="10">
        <f t="shared" si="21"/>
        <v>0</v>
      </c>
      <c r="T54" s="10" t="e">
        <f t="shared" si="4"/>
        <v>#VALUE!</v>
      </c>
      <c r="U54" s="10">
        <f t="shared" si="22"/>
        <v>0</v>
      </c>
      <c r="V54" s="27" t="e">
        <f t="shared" si="23"/>
        <v>#VALUE!</v>
      </c>
    </row>
    <row r="55" spans="1:29" x14ac:dyDescent="0.25">
      <c r="A55" s="8">
        <v>52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18"/>
        <v/>
      </c>
      <c r="L55" s="8" t="e">
        <f t="shared" si="17"/>
        <v>#VALUE!</v>
      </c>
      <c r="M55" s="10" t="e">
        <f>IF(I55=$Y$11,SQRT(L55*10000),SQRT(Parcellaire!L55*10000)/$AC$12)</f>
        <v>#VALUE!</v>
      </c>
      <c r="N55" s="10">
        <f t="shared" si="19"/>
        <v>6</v>
      </c>
      <c r="O55" s="24"/>
      <c r="P55" s="26"/>
      <c r="Q55" s="155">
        <f t="shared" si="15"/>
        <v>0</v>
      </c>
      <c r="R55" s="10">
        <f t="shared" si="20"/>
        <v>0</v>
      </c>
      <c r="S55" s="10">
        <f t="shared" si="21"/>
        <v>0</v>
      </c>
      <c r="T55" s="10" t="e">
        <f t="shared" si="4"/>
        <v>#VALUE!</v>
      </c>
      <c r="U55" s="10">
        <f t="shared" si="22"/>
        <v>0</v>
      </c>
      <c r="V55" s="27" t="e">
        <f t="shared" si="23"/>
        <v>#VALUE!</v>
      </c>
    </row>
    <row r="56" spans="1:29" x14ac:dyDescent="0.25">
      <c r="A56" s="8">
        <v>53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18"/>
        <v/>
      </c>
      <c r="L56" s="8" t="e">
        <f t="shared" si="17"/>
        <v>#VALUE!</v>
      </c>
      <c r="M56" s="10" t="e">
        <f>IF(I56=$Y$11,SQRT(L56*10000),SQRT(Parcellaire!L56*10000)/$AC$12)</f>
        <v>#VALUE!</v>
      </c>
      <c r="N56" s="10">
        <f t="shared" si="19"/>
        <v>6</v>
      </c>
      <c r="O56" s="24"/>
      <c r="P56" s="26"/>
      <c r="Q56" s="155">
        <f t="shared" si="15"/>
        <v>0</v>
      </c>
      <c r="R56" s="10">
        <f t="shared" si="20"/>
        <v>0</v>
      </c>
      <c r="S56" s="10">
        <f t="shared" si="21"/>
        <v>0</v>
      </c>
      <c r="T56" s="10" t="e">
        <f t="shared" si="4"/>
        <v>#VALUE!</v>
      </c>
      <c r="U56" s="10">
        <f t="shared" si="22"/>
        <v>0</v>
      </c>
      <c r="V56" s="27" t="e">
        <f t="shared" si="23"/>
        <v>#VALUE!</v>
      </c>
    </row>
    <row r="57" spans="1:29" x14ac:dyDescent="0.25">
      <c r="A57" s="8">
        <v>54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18"/>
        <v/>
      </c>
      <c r="L57" s="8" t="e">
        <f t="shared" si="17"/>
        <v>#VALUE!</v>
      </c>
      <c r="M57" s="10" t="e">
        <f>IF(I57=$Y$11,SQRT(L57*10000),SQRT(Parcellaire!L57*10000)/$AC$12)</f>
        <v>#VALUE!</v>
      </c>
      <c r="N57" s="10">
        <f t="shared" si="19"/>
        <v>6</v>
      </c>
      <c r="O57" s="24"/>
      <c r="P57" s="26"/>
      <c r="Q57" s="155">
        <f t="shared" si="15"/>
        <v>0</v>
      </c>
      <c r="R57" s="10">
        <f t="shared" si="20"/>
        <v>0</v>
      </c>
      <c r="S57" s="10">
        <f t="shared" si="21"/>
        <v>0</v>
      </c>
      <c r="T57" s="10" t="e">
        <f t="shared" si="4"/>
        <v>#VALUE!</v>
      </c>
      <c r="U57" s="10">
        <f t="shared" si="22"/>
        <v>0</v>
      </c>
      <c r="V57" s="27" t="e">
        <f t="shared" si="23"/>
        <v>#VALUE!</v>
      </c>
    </row>
    <row r="58" spans="1:29" x14ac:dyDescent="0.25">
      <c r="A58" s="8">
        <v>55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si="18"/>
        <v/>
      </c>
      <c r="L58" s="8" t="e">
        <f t="shared" si="17"/>
        <v>#VALUE!</v>
      </c>
      <c r="M58" s="10" t="e">
        <f>IF(I58=$Y$11,SQRT(L58*10000),SQRT(Parcellaire!L58*10000)/$AC$12)</f>
        <v>#VALUE!</v>
      </c>
      <c r="N58" s="10">
        <f t="shared" si="19"/>
        <v>6</v>
      </c>
      <c r="O58" s="24"/>
      <c r="P58" s="26"/>
      <c r="Q58" s="155">
        <f t="shared" si="15"/>
        <v>0</v>
      </c>
      <c r="R58" s="10">
        <f t="shared" si="20"/>
        <v>0</v>
      </c>
      <c r="S58" s="10">
        <f t="shared" si="21"/>
        <v>0</v>
      </c>
      <c r="T58" s="10" t="e">
        <f t="shared" si="4"/>
        <v>#VALUE!</v>
      </c>
      <c r="U58" s="10">
        <f t="shared" si="22"/>
        <v>0</v>
      </c>
      <c r="V58" s="27" t="e">
        <f t="shared" si="23"/>
        <v>#VALUE!</v>
      </c>
    </row>
    <row r="59" spans="1:29" x14ac:dyDescent="0.25">
      <c r="A59" s="8">
        <v>56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18"/>
        <v/>
      </c>
      <c r="L59" s="8" t="e">
        <f t="shared" si="17"/>
        <v>#VALUE!</v>
      </c>
      <c r="M59" s="10" t="e">
        <f>IF(I59=$Y$11,SQRT(L59*10000),SQRT(Parcellaire!L59*10000)/$AC$12)</f>
        <v>#VALUE!</v>
      </c>
      <c r="N59" s="10">
        <f t="shared" si="19"/>
        <v>6</v>
      </c>
      <c r="O59" s="24"/>
      <c r="P59" s="26"/>
      <c r="Q59" s="155">
        <f t="shared" si="15"/>
        <v>0</v>
      </c>
      <c r="R59" s="10">
        <f t="shared" si="20"/>
        <v>0</v>
      </c>
      <c r="S59" s="10">
        <f t="shared" si="21"/>
        <v>0</v>
      </c>
      <c r="T59" s="10" t="e">
        <f t="shared" si="4"/>
        <v>#VALUE!</v>
      </c>
      <c r="U59" s="10">
        <f t="shared" si="22"/>
        <v>0</v>
      </c>
      <c r="V59" s="27" t="e">
        <f t="shared" si="23"/>
        <v>#VALUE!</v>
      </c>
    </row>
    <row r="60" spans="1:29" x14ac:dyDescent="0.25">
      <c r="A60" s="8">
        <v>57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18"/>
        <v/>
      </c>
      <c r="L60" s="8" t="e">
        <f t="shared" si="17"/>
        <v>#VALUE!</v>
      </c>
      <c r="M60" s="10" t="e">
        <f>IF(I60=$Y$11,SQRT(L60*10000),SQRT(Parcellaire!L60*10000)/$AC$12)</f>
        <v>#VALUE!</v>
      </c>
      <c r="N60" s="10">
        <f t="shared" ref="N60:N65" si="24">IF(I60=1,4,6)</f>
        <v>6</v>
      </c>
      <c r="O60" s="24"/>
      <c r="P60" s="26"/>
      <c r="Q60" s="155">
        <f t="shared" si="15"/>
        <v>0</v>
      </c>
      <c r="R60" s="10">
        <f t="shared" ref="R60:R65" si="25">IF(C60=1,O60*M60,0)</f>
        <v>0</v>
      </c>
      <c r="S60" s="10">
        <f t="shared" ref="S60:S65" si="26">IF(C60=1,P60*M60,0)</f>
        <v>0</v>
      </c>
      <c r="T60" s="10" t="e">
        <f t="shared" si="4"/>
        <v>#VALUE!</v>
      </c>
      <c r="U60" s="10">
        <f t="shared" ref="U60:U65" si="27">IF(C60=2,Q60*M60,0)</f>
        <v>0</v>
      </c>
      <c r="V60" s="27" t="e">
        <f t="shared" ref="V60:V65" si="28">O60*M60</f>
        <v>#VALUE!</v>
      </c>
    </row>
    <row r="61" spans="1:29" x14ac:dyDescent="0.25">
      <c r="A61" s="8">
        <v>58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18"/>
        <v/>
      </c>
      <c r="L61" s="8" t="e">
        <f t="shared" si="17"/>
        <v>#VALUE!</v>
      </c>
      <c r="M61" s="10" t="e">
        <f>IF(I61=$Y$11,SQRT(L61*10000),SQRT(Parcellaire!L61*10000)/$AC$12)</f>
        <v>#VALUE!</v>
      </c>
      <c r="N61" s="10">
        <f t="shared" si="24"/>
        <v>6</v>
      </c>
      <c r="O61" s="24"/>
      <c r="P61" s="26"/>
      <c r="Q61" s="155">
        <f t="shared" si="15"/>
        <v>0</v>
      </c>
      <c r="R61" s="10">
        <f t="shared" si="25"/>
        <v>0</v>
      </c>
      <c r="S61" s="10">
        <f t="shared" si="26"/>
        <v>0</v>
      </c>
      <c r="T61" s="10" t="e">
        <f t="shared" si="4"/>
        <v>#VALUE!</v>
      </c>
      <c r="U61" s="10">
        <f t="shared" si="27"/>
        <v>0</v>
      </c>
      <c r="V61" s="27" t="e">
        <f t="shared" si="28"/>
        <v>#VALUE!</v>
      </c>
    </row>
    <row r="62" spans="1:29" x14ac:dyDescent="0.25">
      <c r="A62" s="8">
        <v>59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18"/>
        <v/>
      </c>
      <c r="L62" s="8" t="e">
        <f t="shared" si="17"/>
        <v>#VALUE!</v>
      </c>
      <c r="M62" s="10" t="e">
        <f>IF(I62=$Y$11,SQRT(L62*10000),SQRT(Parcellaire!L62*10000)/$AC$12)</f>
        <v>#VALUE!</v>
      </c>
      <c r="N62" s="10">
        <f t="shared" si="24"/>
        <v>6</v>
      </c>
      <c r="O62" s="24"/>
      <c r="P62" s="26"/>
      <c r="Q62" s="155">
        <f t="shared" si="15"/>
        <v>0</v>
      </c>
      <c r="R62" s="10">
        <f t="shared" si="25"/>
        <v>0</v>
      </c>
      <c r="S62" s="10">
        <f t="shared" si="26"/>
        <v>0</v>
      </c>
      <c r="T62" s="10" t="e">
        <f t="shared" si="4"/>
        <v>#VALUE!</v>
      </c>
      <c r="U62" s="10">
        <f t="shared" si="27"/>
        <v>0</v>
      </c>
      <c r="V62" s="27" t="e">
        <f t="shared" si="28"/>
        <v>#VALUE!</v>
      </c>
    </row>
    <row r="63" spans="1:29" x14ac:dyDescent="0.25">
      <c r="A63" s="8">
        <v>60</v>
      </c>
      <c r="B63" s="9"/>
      <c r="C63" s="9"/>
      <c r="D63" s="9"/>
      <c r="E63" s="9"/>
      <c r="F63" s="9"/>
      <c r="G63" s="9"/>
      <c r="H63" s="9"/>
      <c r="I63" s="9"/>
      <c r="J63" s="9"/>
      <c r="K63" s="8" t="str">
        <f t="shared" si="18"/>
        <v/>
      </c>
      <c r="L63" s="8" t="e">
        <f t="shared" si="17"/>
        <v>#VALUE!</v>
      </c>
      <c r="M63" s="10" t="e">
        <f>IF(I63=$Y$11,SQRT(L63*10000),SQRT(Parcellaire!L63*10000)/$AC$12)</f>
        <v>#VALUE!</v>
      </c>
      <c r="N63" s="10">
        <f t="shared" si="24"/>
        <v>6</v>
      </c>
      <c r="O63" s="24"/>
      <c r="P63" s="26"/>
      <c r="Q63" s="155">
        <f t="shared" si="15"/>
        <v>0</v>
      </c>
      <c r="R63" s="10">
        <f t="shared" si="25"/>
        <v>0</v>
      </c>
      <c r="S63" s="10">
        <f t="shared" si="26"/>
        <v>0</v>
      </c>
      <c r="T63" s="10" t="e">
        <f t="shared" si="4"/>
        <v>#VALUE!</v>
      </c>
      <c r="U63" s="10">
        <f t="shared" si="27"/>
        <v>0</v>
      </c>
      <c r="V63" s="27" t="e">
        <f t="shared" si="28"/>
        <v>#VALUE!</v>
      </c>
    </row>
    <row r="64" spans="1:29" x14ac:dyDescent="0.25">
      <c r="A64" s="8">
        <v>61</v>
      </c>
      <c r="B64" s="9"/>
      <c r="C64" s="9"/>
      <c r="D64" s="9"/>
      <c r="E64" s="9"/>
      <c r="F64" s="9"/>
      <c r="G64" s="9"/>
      <c r="H64" s="9"/>
      <c r="I64" s="9"/>
      <c r="J64" s="9"/>
      <c r="K64" s="8" t="str">
        <f t="shared" si="18"/>
        <v/>
      </c>
      <c r="L64" s="8" t="e">
        <f t="shared" si="17"/>
        <v>#VALUE!</v>
      </c>
      <c r="M64" s="10" t="e">
        <f>IF(I64=$Y$11,SQRT(L64*10000),SQRT(Parcellaire!L64*10000)/$AC$12)</f>
        <v>#VALUE!</v>
      </c>
      <c r="N64" s="10">
        <f t="shared" si="24"/>
        <v>6</v>
      </c>
      <c r="O64" s="24"/>
      <c r="P64" s="26"/>
      <c r="Q64" s="155">
        <f t="shared" si="15"/>
        <v>0</v>
      </c>
      <c r="R64" s="10">
        <f t="shared" si="25"/>
        <v>0</v>
      </c>
      <c r="S64" s="10">
        <f t="shared" si="26"/>
        <v>0</v>
      </c>
      <c r="T64" s="10" t="e">
        <f t="shared" si="4"/>
        <v>#VALUE!</v>
      </c>
      <c r="U64" s="10">
        <f t="shared" si="27"/>
        <v>0</v>
      </c>
      <c r="V64" s="27" t="e">
        <f t="shared" si="28"/>
        <v>#VALUE!</v>
      </c>
      <c r="Y64" s="82"/>
      <c r="Z64" s="82"/>
      <c r="AA64" s="82"/>
      <c r="AB64" s="82"/>
      <c r="AC64" s="82"/>
    </row>
    <row r="65" spans="1:29" x14ac:dyDescent="0.25">
      <c r="A65" s="8">
        <v>62</v>
      </c>
      <c r="B65" s="9"/>
      <c r="C65" s="9"/>
      <c r="D65" s="9"/>
      <c r="E65" s="9"/>
      <c r="F65" s="9"/>
      <c r="G65" s="9"/>
      <c r="H65" s="9"/>
      <c r="I65" s="9"/>
      <c r="J65" s="9"/>
      <c r="K65" s="8" t="str">
        <f t="shared" si="18"/>
        <v/>
      </c>
      <c r="L65" s="8" t="e">
        <f t="shared" si="17"/>
        <v>#VALUE!</v>
      </c>
      <c r="M65" s="10" t="e">
        <f>IF(I65=$Y$11,SQRT(L65*10000),SQRT(Parcellaire!L65*10000)/$AC$12)</f>
        <v>#VALUE!</v>
      </c>
      <c r="N65" s="10">
        <f t="shared" si="24"/>
        <v>6</v>
      </c>
      <c r="O65" s="24"/>
      <c r="P65" s="26"/>
      <c r="Q65" s="155">
        <f t="shared" si="15"/>
        <v>0</v>
      </c>
      <c r="R65" s="10">
        <f t="shared" si="25"/>
        <v>0</v>
      </c>
      <c r="S65" s="10">
        <f t="shared" si="26"/>
        <v>0</v>
      </c>
      <c r="T65" s="10" t="e">
        <f t="shared" si="4"/>
        <v>#VALUE!</v>
      </c>
      <c r="U65" s="10">
        <f t="shared" si="27"/>
        <v>0</v>
      </c>
      <c r="V65" s="27" t="e">
        <f t="shared" si="28"/>
        <v>#VALUE!</v>
      </c>
    </row>
    <row r="66" spans="1:29" s="82" customFormat="1" x14ac:dyDescent="0.25">
      <c r="A66" s="135" t="s">
        <v>13</v>
      </c>
      <c r="B66" s="135"/>
      <c r="C66" s="135"/>
      <c r="D66" s="135"/>
      <c r="E66" s="135"/>
      <c r="F66" s="135"/>
      <c r="G66" s="170">
        <f>SUMIF(Parcellaire!$B$2:$B$65,1,Parcellaire!G2:G65)</f>
        <v>39.1</v>
      </c>
      <c r="H66" s="170"/>
      <c r="I66" s="170">
        <f>SUMIF(Parcellaire!$B$2:$B$65,1,Parcellaire!I2:I65)</f>
        <v>54</v>
      </c>
      <c r="J66" s="170">
        <f>SUMIF(Parcellaire!$B$2:$B$65,1,Parcellaire!J2:J65)</f>
        <v>11.5</v>
      </c>
      <c r="K66" s="170">
        <f>SUMIF(Parcellaire!$B$2:$B$65,1,Parcellaire!K2:K65)</f>
        <v>42.160000000000011</v>
      </c>
      <c r="L66" s="170">
        <f>SUMIF(Parcellaire!$B$2:$B$65,1,Parcellaire!L2:L65)</f>
        <v>47.297000000000011</v>
      </c>
      <c r="M66" s="170">
        <f>SUMIF(Parcellaire!$B$2:$B$65,1,Parcellaire!M2:M65)</f>
        <v>1954.3672382179097</v>
      </c>
      <c r="N66" s="170">
        <f>SUMIF(Parcellaire!$B$2:$B$65,1,Parcellaire!N2:N65)</f>
        <v>120</v>
      </c>
      <c r="O66" s="170">
        <f>SUMIF(Parcellaire!$B$2:$B$65,1,Parcellaire!O2:O65)</f>
        <v>114</v>
      </c>
      <c r="P66" s="170">
        <f>SUMIF(Parcellaire!$B$2:$B$65,1,Parcellaire!P2:P65)</f>
        <v>0</v>
      </c>
      <c r="Q66" s="170">
        <f>SUMIF(Parcellaire!$B$2:$B$65,1,Parcellaire!Q2:Q65)</f>
        <v>51</v>
      </c>
      <c r="R66" s="170">
        <f>SUMIF(Parcellaire!$B$2:$B$65,1,Parcellaire!R2:R65)</f>
        <v>0</v>
      </c>
      <c r="S66" s="170">
        <f>SUMIF(Parcellaire!$B$2:$B$65,1,Parcellaire!S2:S65)</f>
        <v>0</v>
      </c>
      <c r="T66" s="170">
        <f>SUMIF(Parcellaire!$B$2:$B$65,1,Parcellaire!T2:T65)</f>
        <v>9365.1215451202352</v>
      </c>
      <c r="U66" s="170">
        <f>SUMIF(Parcellaire!$B$2:$B$65,1,Parcellaire!U2:U65)</f>
        <v>4722.1637683744448</v>
      </c>
      <c r="V66" s="170">
        <f>SUMIF(Parcellaire!$B$2:$B$65,1,Parcellaire!V2:V65)</f>
        <v>11726.203429307458</v>
      </c>
      <c r="Y66"/>
      <c r="Z66"/>
      <c r="AA66"/>
      <c r="AB66"/>
      <c r="AC66"/>
    </row>
  </sheetData>
  <dataValidations count="2">
    <dataValidation type="list" allowBlank="1" showInputMessage="1" showErrorMessage="1" sqref="B2:B3 B5:B65">
      <formula1>$Y$24:$Y$28</formula1>
    </dataValidation>
    <dataValidation type="list" allowBlank="1" showInputMessage="1" showErrorMessage="1" sqref="B4">
      <formula1>$Y$23:$Y$27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63:BA140"/>
  <sheetViews>
    <sheetView topLeftCell="B65" zoomScale="80" workbookViewId="0">
      <selection activeCell="R134" sqref="R134:X134"/>
    </sheetView>
  </sheetViews>
  <sheetFormatPr baseColWidth="10" defaultRowHeight="15" x14ac:dyDescent="0.25"/>
  <cols>
    <col min="1" max="1" width="27.140625" customWidth="1"/>
    <col min="2" max="25" width="4.7109375" customWidth="1"/>
    <col min="29" max="29" width="26" customWidth="1"/>
    <col min="30" max="53" width="4.7109375" customWidth="1"/>
  </cols>
  <sheetData>
    <row r="63" spans="1:25" x14ac:dyDescent="0.25">
      <c r="A63" t="s">
        <v>474</v>
      </c>
    </row>
    <row r="64" spans="1:25" x14ac:dyDescent="0.25">
      <c r="A64" t="s">
        <v>428</v>
      </c>
      <c r="B64" s="296" t="s">
        <v>2</v>
      </c>
      <c r="C64" s="296"/>
      <c r="D64" s="296" t="s">
        <v>0</v>
      </c>
      <c r="E64" s="296"/>
      <c r="F64" s="296" t="s">
        <v>1</v>
      </c>
      <c r="G64" s="296"/>
      <c r="H64" s="296" t="s">
        <v>3</v>
      </c>
      <c r="I64" s="296"/>
      <c r="J64" s="296" t="s">
        <v>4</v>
      </c>
      <c r="K64" s="296"/>
      <c r="L64" s="296" t="s">
        <v>5</v>
      </c>
      <c r="M64" s="296"/>
      <c r="N64" s="296" t="s">
        <v>6</v>
      </c>
      <c r="O64" s="296"/>
      <c r="P64" s="296" t="s">
        <v>7</v>
      </c>
      <c r="Q64" s="296"/>
      <c r="R64" s="296" t="s">
        <v>8</v>
      </c>
      <c r="S64" s="296"/>
      <c r="T64" s="296" t="s">
        <v>9</v>
      </c>
      <c r="U64" s="296"/>
      <c r="V64" s="296" t="s">
        <v>10</v>
      </c>
      <c r="W64" s="296"/>
      <c r="X64" s="296" t="s">
        <v>11</v>
      </c>
      <c r="Y64" s="296"/>
    </row>
    <row r="65" spans="1:25" x14ac:dyDescent="0.25">
      <c r="B65" s="159">
        <v>1</v>
      </c>
      <c r="C65" s="159">
        <v>2</v>
      </c>
      <c r="D65" s="159">
        <v>3</v>
      </c>
      <c r="E65" s="159">
        <v>4</v>
      </c>
      <c r="F65" s="159">
        <v>5</v>
      </c>
      <c r="G65" s="159">
        <v>6</v>
      </c>
      <c r="H65" s="159">
        <v>7</v>
      </c>
      <c r="I65" s="159">
        <v>8</v>
      </c>
      <c r="J65" s="159">
        <v>9</v>
      </c>
      <c r="K65" s="159">
        <v>10</v>
      </c>
      <c r="L65" s="159">
        <v>11</v>
      </c>
      <c r="M65" s="159">
        <v>12</v>
      </c>
      <c r="N65" s="159">
        <v>13</v>
      </c>
      <c r="O65" s="159">
        <v>14</v>
      </c>
      <c r="P65" s="159">
        <v>15</v>
      </c>
      <c r="Q65" s="159">
        <v>16</v>
      </c>
      <c r="R65" s="159">
        <v>17</v>
      </c>
      <c r="S65" s="159">
        <v>18</v>
      </c>
      <c r="T65" s="159">
        <v>19</v>
      </c>
      <c r="U65" s="159">
        <v>20</v>
      </c>
      <c r="V65" s="159">
        <v>21</v>
      </c>
      <c r="W65" s="159">
        <v>22</v>
      </c>
      <c r="X65" s="159">
        <v>23</v>
      </c>
      <c r="Y65" s="159">
        <v>24</v>
      </c>
    </row>
    <row r="66" spans="1:25" x14ac:dyDescent="0.25">
      <c r="A66" t="s">
        <v>175</v>
      </c>
      <c r="B66" s="159">
        <v>15.5</v>
      </c>
      <c r="C66" s="159">
        <v>15.5</v>
      </c>
      <c r="D66" s="159">
        <v>14</v>
      </c>
      <c r="E66" s="159">
        <v>14</v>
      </c>
      <c r="F66" s="159">
        <v>15.5</v>
      </c>
      <c r="G66" s="159">
        <v>15.5</v>
      </c>
      <c r="H66" s="159">
        <v>15</v>
      </c>
      <c r="I66" s="159">
        <v>15</v>
      </c>
      <c r="J66" s="159">
        <v>15.5</v>
      </c>
      <c r="K66" s="159">
        <v>15.5</v>
      </c>
      <c r="L66" s="159">
        <v>15</v>
      </c>
      <c r="M66" s="159">
        <v>15</v>
      </c>
      <c r="N66" s="159">
        <v>15.5</v>
      </c>
      <c r="O66" s="159">
        <v>15.5</v>
      </c>
      <c r="P66" s="159">
        <v>15.5</v>
      </c>
      <c r="Q66" s="159">
        <v>15.5</v>
      </c>
      <c r="R66" s="159">
        <v>15</v>
      </c>
      <c r="S66" s="159">
        <v>15</v>
      </c>
      <c r="T66" s="159">
        <v>15.5</v>
      </c>
      <c r="U66" s="159">
        <v>15.5</v>
      </c>
      <c r="V66" s="159">
        <v>15</v>
      </c>
      <c r="W66" s="159">
        <v>15</v>
      </c>
      <c r="X66" s="159">
        <v>15.5</v>
      </c>
      <c r="Y66" s="159">
        <v>15.5</v>
      </c>
    </row>
    <row r="67" spans="1:25" x14ac:dyDescent="0.25">
      <c r="A67" s="2" t="s">
        <v>327</v>
      </c>
      <c r="B67" s="159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  <c r="Y67" s="159"/>
    </row>
    <row r="68" spans="1:25" x14ac:dyDescent="0.25">
      <c r="A68" s="51" t="s">
        <v>328</v>
      </c>
      <c r="B68" s="60"/>
      <c r="C68" s="60"/>
      <c r="D68" s="60"/>
      <c r="E68" s="60"/>
      <c r="F68" s="60"/>
      <c r="G68" s="60"/>
      <c r="H68" s="60"/>
      <c r="I68" s="60"/>
      <c r="J68" s="60"/>
      <c r="K68" s="60">
        <v>1</v>
      </c>
      <c r="L68" s="60">
        <v>1</v>
      </c>
      <c r="M68" s="60">
        <v>1</v>
      </c>
      <c r="N68" s="60">
        <v>1</v>
      </c>
      <c r="O68" s="60">
        <v>1</v>
      </c>
      <c r="P68" s="60">
        <v>1</v>
      </c>
      <c r="Q68" s="60">
        <v>1</v>
      </c>
      <c r="R68" s="60">
        <v>1</v>
      </c>
      <c r="S68" s="60">
        <v>1</v>
      </c>
      <c r="T68" s="60">
        <v>1</v>
      </c>
      <c r="U68" s="60"/>
      <c r="V68" s="60"/>
      <c r="W68" s="60"/>
      <c r="X68" s="60"/>
      <c r="Y68" s="60"/>
    </row>
    <row r="69" spans="1:25" x14ac:dyDescent="0.25">
      <c r="A69" s="51" t="s">
        <v>329</v>
      </c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</row>
    <row r="70" spans="1:25" x14ac:dyDescent="0.25">
      <c r="A70" s="137" t="s">
        <v>331</v>
      </c>
      <c r="B70" s="60">
        <v>1</v>
      </c>
      <c r="C70" s="60">
        <v>1</v>
      </c>
      <c r="D70" s="60">
        <v>1</v>
      </c>
      <c r="E70" s="60">
        <v>1</v>
      </c>
      <c r="F70" s="60">
        <v>1</v>
      </c>
      <c r="G70" s="60">
        <v>1</v>
      </c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>
        <v>1</v>
      </c>
      <c r="V70" s="60">
        <v>1</v>
      </c>
      <c r="W70" s="60">
        <v>1</v>
      </c>
      <c r="X70" s="60">
        <v>1</v>
      </c>
      <c r="Y70" s="60">
        <v>1</v>
      </c>
    </row>
    <row r="71" spans="1:25" x14ac:dyDescent="0.25">
      <c r="A71" s="51" t="s">
        <v>330</v>
      </c>
      <c r="B71" s="60">
        <v>1</v>
      </c>
      <c r="C71" s="60">
        <v>1</v>
      </c>
      <c r="D71" s="60">
        <v>1</v>
      </c>
      <c r="E71" s="60">
        <v>1</v>
      </c>
      <c r="F71" s="60">
        <v>1</v>
      </c>
      <c r="G71" s="60">
        <v>1</v>
      </c>
      <c r="H71" s="60">
        <v>1</v>
      </c>
      <c r="I71" s="60">
        <v>1</v>
      </c>
      <c r="J71" s="60">
        <v>1</v>
      </c>
      <c r="K71" s="60">
        <v>1</v>
      </c>
      <c r="L71" s="60">
        <v>1</v>
      </c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>
        <v>1</v>
      </c>
      <c r="X71" s="60">
        <v>1</v>
      </c>
      <c r="Y71" s="60">
        <v>1</v>
      </c>
    </row>
    <row r="72" spans="1:25" x14ac:dyDescent="0.25">
      <c r="A72" s="51" t="s">
        <v>437</v>
      </c>
      <c r="B72" s="60"/>
      <c r="C72" s="60"/>
      <c r="D72" s="60"/>
      <c r="E72" s="60"/>
      <c r="F72" s="60"/>
      <c r="G72" s="60"/>
      <c r="H72" s="60"/>
      <c r="I72" s="60"/>
      <c r="J72" s="60">
        <v>1</v>
      </c>
      <c r="K72" s="60">
        <v>1</v>
      </c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X72" s="60"/>
      <c r="Y72" s="60"/>
    </row>
    <row r="73" spans="1:25" x14ac:dyDescent="0.25">
      <c r="A73" s="51" t="s">
        <v>165</v>
      </c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</row>
    <row r="74" spans="1:25" x14ac:dyDescent="0.25">
      <c r="A74" s="51" t="s">
        <v>166</v>
      </c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60"/>
    </row>
    <row r="75" spans="1:25" x14ac:dyDescent="0.25">
      <c r="A75" s="51" t="s">
        <v>167</v>
      </c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  <c r="Y75" s="60"/>
    </row>
    <row r="76" spans="1:25" x14ac:dyDescent="0.25">
      <c r="A76" s="2" t="s">
        <v>12</v>
      </c>
      <c r="B76" s="65" t="s">
        <v>173</v>
      </c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  <c r="Y76" s="159"/>
    </row>
    <row r="77" spans="1:25" x14ac:dyDescent="0.25">
      <c r="A77" s="44" t="s">
        <v>172</v>
      </c>
      <c r="B77" s="159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  <c r="Y77" s="159"/>
    </row>
    <row r="78" spans="1:25" x14ac:dyDescent="0.25">
      <c r="A78" s="50" t="s">
        <v>438</v>
      </c>
      <c r="B78" s="60">
        <v>200</v>
      </c>
      <c r="C78" s="60">
        <v>198</v>
      </c>
      <c r="D78" s="60">
        <v>196</v>
      </c>
      <c r="E78" s="60">
        <v>195</v>
      </c>
      <c r="F78" s="60">
        <v>194</v>
      </c>
      <c r="G78" s="60">
        <v>193</v>
      </c>
      <c r="H78" s="60">
        <v>192</v>
      </c>
      <c r="I78" s="60">
        <v>191</v>
      </c>
      <c r="J78" s="60">
        <v>189</v>
      </c>
      <c r="K78" s="60">
        <v>193</v>
      </c>
      <c r="L78" s="60">
        <v>193</v>
      </c>
      <c r="M78" s="60">
        <v>193</v>
      </c>
      <c r="N78" s="60">
        <v>193</v>
      </c>
      <c r="O78" s="60">
        <v>193</v>
      </c>
      <c r="P78" s="60">
        <v>193</v>
      </c>
      <c r="Q78" s="60">
        <v>193</v>
      </c>
      <c r="R78" s="60">
        <v>193</v>
      </c>
      <c r="S78" s="60">
        <v>193</v>
      </c>
      <c r="T78" s="60">
        <v>193</v>
      </c>
      <c r="U78" s="60">
        <f>193-9-9-6+42</f>
        <v>211</v>
      </c>
      <c r="V78" s="60">
        <v>211</v>
      </c>
      <c r="W78" s="60">
        <f>211-11</f>
        <v>200</v>
      </c>
      <c r="X78" s="60">
        <f t="shared" ref="X78:Y78" si="0">211-11</f>
        <v>200</v>
      </c>
      <c r="Y78" s="60">
        <f t="shared" si="0"/>
        <v>200</v>
      </c>
    </row>
    <row r="79" spans="1:25" x14ac:dyDescent="0.25">
      <c r="A79" s="50" t="s">
        <v>439</v>
      </c>
      <c r="B79" s="60">
        <v>19</v>
      </c>
      <c r="C79" s="60">
        <v>19</v>
      </c>
      <c r="D79" s="60">
        <v>19</v>
      </c>
      <c r="E79" s="60">
        <v>19</v>
      </c>
      <c r="F79" s="60">
        <v>19</v>
      </c>
      <c r="G79" s="60">
        <v>19</v>
      </c>
      <c r="H79" s="60">
        <v>19</v>
      </c>
      <c r="I79" s="60">
        <v>19</v>
      </c>
      <c r="J79" s="60">
        <v>19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0">
        <v>0</v>
      </c>
      <c r="T79" s="60">
        <v>0</v>
      </c>
      <c r="U79" s="60">
        <f>9+10</f>
        <v>19</v>
      </c>
      <c r="V79" s="60">
        <f>9+10</f>
        <v>19</v>
      </c>
      <c r="W79" s="60">
        <v>19</v>
      </c>
      <c r="X79" s="60">
        <v>19</v>
      </c>
      <c r="Y79" s="60">
        <v>19</v>
      </c>
    </row>
    <row r="80" spans="1:25" x14ac:dyDescent="0.25">
      <c r="A80" s="50" t="s">
        <v>440</v>
      </c>
      <c r="B80" s="60">
        <v>52</v>
      </c>
      <c r="C80" s="60">
        <v>52</v>
      </c>
      <c r="D80" s="60">
        <v>52</v>
      </c>
      <c r="E80" s="60">
        <v>52</v>
      </c>
      <c r="F80" s="60">
        <v>52</v>
      </c>
      <c r="G80" s="60">
        <v>52</v>
      </c>
      <c r="H80" s="60">
        <v>52</v>
      </c>
      <c r="I80" s="60">
        <v>52</v>
      </c>
      <c r="J80" s="60">
        <v>52</v>
      </c>
      <c r="K80" s="60">
        <v>52</v>
      </c>
      <c r="L80" s="60">
        <v>52</v>
      </c>
      <c r="M80" s="60">
        <v>52</v>
      </c>
      <c r="N80" s="60">
        <v>52</v>
      </c>
      <c r="O80" s="60">
        <v>52</v>
      </c>
      <c r="P80" s="60">
        <v>52</v>
      </c>
      <c r="Q80" s="60">
        <v>52</v>
      </c>
      <c r="R80" s="60">
        <v>52</v>
      </c>
      <c r="S80" s="60">
        <v>52</v>
      </c>
      <c r="T80" s="60">
        <v>52</v>
      </c>
      <c r="U80" s="60">
        <v>0</v>
      </c>
      <c r="V80" s="60">
        <v>0</v>
      </c>
      <c r="W80" s="60">
        <v>52</v>
      </c>
      <c r="X80" s="60">
        <v>52</v>
      </c>
      <c r="Y80" s="60">
        <v>52</v>
      </c>
    </row>
    <row r="81" spans="1:53" x14ac:dyDescent="0.25">
      <c r="A81" s="50" t="s">
        <v>441</v>
      </c>
      <c r="B81" s="60">
        <v>6</v>
      </c>
      <c r="C81" s="60">
        <v>6</v>
      </c>
      <c r="D81" s="60">
        <v>6</v>
      </c>
      <c r="E81" s="60">
        <v>6</v>
      </c>
      <c r="F81" s="60">
        <v>6</v>
      </c>
      <c r="G81" s="60">
        <v>6</v>
      </c>
      <c r="H81" s="60">
        <v>6</v>
      </c>
      <c r="I81" s="60">
        <v>6</v>
      </c>
      <c r="J81" s="60">
        <v>6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0">
        <v>0</v>
      </c>
      <c r="T81" s="60">
        <v>0</v>
      </c>
      <c r="U81" s="60">
        <v>6</v>
      </c>
      <c r="V81" s="60">
        <v>6</v>
      </c>
      <c r="W81" s="60">
        <v>6</v>
      </c>
      <c r="X81" s="60">
        <v>6</v>
      </c>
      <c r="Y81" s="60">
        <v>6</v>
      </c>
    </row>
    <row r="82" spans="1:53" x14ac:dyDescent="0.25">
      <c r="A82" s="50" t="s">
        <v>158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53" x14ac:dyDescent="0.25">
      <c r="A83" s="50" t="s">
        <v>159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53" x14ac:dyDescent="0.25">
      <c r="A84" s="50" t="s">
        <v>160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53" x14ac:dyDescent="0.25">
      <c r="A85" s="50" t="s">
        <v>161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53" x14ac:dyDescent="0.25">
      <c r="A86" s="50" t="s">
        <v>162</v>
      </c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  <c r="X86" s="60"/>
      <c r="Y86" s="60"/>
    </row>
    <row r="87" spans="1:53" x14ac:dyDescent="0.25">
      <c r="A87" s="50" t="s">
        <v>163</v>
      </c>
      <c r="B87" s="60">
        <f>SUM(B78:B86)</f>
        <v>277</v>
      </c>
      <c r="C87" s="60">
        <f t="shared" ref="C87:Y87" si="1">SUM(C78:C86)</f>
        <v>275</v>
      </c>
      <c r="D87" s="60">
        <f t="shared" si="1"/>
        <v>273</v>
      </c>
      <c r="E87" s="60">
        <f t="shared" si="1"/>
        <v>272</v>
      </c>
      <c r="F87" s="60">
        <f t="shared" si="1"/>
        <v>271</v>
      </c>
      <c r="G87" s="60">
        <f t="shared" si="1"/>
        <v>270</v>
      </c>
      <c r="H87" s="60">
        <f t="shared" si="1"/>
        <v>269</v>
      </c>
      <c r="I87" s="60">
        <f t="shared" si="1"/>
        <v>268</v>
      </c>
      <c r="J87" s="60">
        <f t="shared" si="1"/>
        <v>266</v>
      </c>
      <c r="K87" s="60">
        <f t="shared" si="1"/>
        <v>245</v>
      </c>
      <c r="L87" s="60">
        <f t="shared" si="1"/>
        <v>245</v>
      </c>
      <c r="M87" s="60">
        <f t="shared" si="1"/>
        <v>245</v>
      </c>
      <c r="N87" s="60">
        <f t="shared" si="1"/>
        <v>245</v>
      </c>
      <c r="O87" s="60">
        <f t="shared" si="1"/>
        <v>245</v>
      </c>
      <c r="P87" s="60">
        <f t="shared" si="1"/>
        <v>245</v>
      </c>
      <c r="Q87" s="60">
        <f t="shared" si="1"/>
        <v>245</v>
      </c>
      <c r="R87" s="60">
        <f t="shared" si="1"/>
        <v>245</v>
      </c>
      <c r="S87" s="60">
        <f t="shared" si="1"/>
        <v>245</v>
      </c>
      <c r="T87" s="60">
        <f t="shared" si="1"/>
        <v>245</v>
      </c>
      <c r="U87" s="60">
        <f t="shared" si="1"/>
        <v>236</v>
      </c>
      <c r="V87" s="60">
        <f t="shared" si="1"/>
        <v>236</v>
      </c>
      <c r="W87" s="60">
        <f t="shared" si="1"/>
        <v>277</v>
      </c>
      <c r="X87" s="60">
        <f t="shared" si="1"/>
        <v>277</v>
      </c>
      <c r="Y87" s="60">
        <f t="shared" si="1"/>
        <v>277</v>
      </c>
    </row>
    <row r="89" spans="1:53" x14ac:dyDescent="0.25">
      <c r="A89" s="161" t="s">
        <v>467</v>
      </c>
      <c r="AC89" t="s">
        <v>468</v>
      </c>
    </row>
    <row r="90" spans="1:53" x14ac:dyDescent="0.25">
      <c r="A90" t="s">
        <v>429</v>
      </c>
      <c r="B90" s="296" t="s">
        <v>2</v>
      </c>
      <c r="C90" s="296"/>
      <c r="D90" s="296" t="s">
        <v>0</v>
      </c>
      <c r="E90" s="296"/>
      <c r="F90" s="296" t="s">
        <v>1</v>
      </c>
      <c r="G90" s="296"/>
      <c r="H90" s="296" t="s">
        <v>3</v>
      </c>
      <c r="I90" s="296"/>
      <c r="J90" s="296" t="s">
        <v>4</v>
      </c>
      <c r="K90" s="296"/>
      <c r="L90" s="296" t="s">
        <v>5</v>
      </c>
      <c r="M90" s="296"/>
      <c r="N90" s="296" t="s">
        <v>6</v>
      </c>
      <c r="O90" s="296"/>
      <c r="P90" s="296" t="s">
        <v>7</v>
      </c>
      <c r="Q90" s="296"/>
      <c r="R90" s="296" t="s">
        <v>8</v>
      </c>
      <c r="S90" s="296"/>
      <c r="T90" s="296" t="s">
        <v>9</v>
      </c>
      <c r="U90" s="296"/>
      <c r="V90" s="296" t="s">
        <v>10</v>
      </c>
      <c r="W90" s="296"/>
      <c r="X90" s="296" t="s">
        <v>11</v>
      </c>
      <c r="Y90" s="296"/>
      <c r="AC90" t="s">
        <v>429</v>
      </c>
      <c r="AD90" s="296" t="s">
        <v>2</v>
      </c>
      <c r="AE90" s="296"/>
      <c r="AF90" s="296" t="s">
        <v>0</v>
      </c>
      <c r="AG90" s="296"/>
      <c r="AH90" s="296" t="s">
        <v>1</v>
      </c>
      <c r="AI90" s="296"/>
      <c r="AJ90" s="296" t="s">
        <v>3</v>
      </c>
      <c r="AK90" s="296"/>
      <c r="AL90" s="296" t="s">
        <v>4</v>
      </c>
      <c r="AM90" s="296"/>
      <c r="AN90" s="296" t="s">
        <v>5</v>
      </c>
      <c r="AO90" s="296"/>
      <c r="AP90" s="296" t="s">
        <v>6</v>
      </c>
      <c r="AQ90" s="296"/>
      <c r="AR90" s="296" t="s">
        <v>7</v>
      </c>
      <c r="AS90" s="296"/>
      <c r="AT90" s="296" t="s">
        <v>8</v>
      </c>
      <c r="AU90" s="296"/>
      <c r="AV90" s="296" t="s">
        <v>9</v>
      </c>
      <c r="AW90" s="296"/>
      <c r="AX90" s="296" t="s">
        <v>10</v>
      </c>
      <c r="AY90" s="296"/>
      <c r="AZ90" s="296" t="s">
        <v>11</v>
      </c>
      <c r="BA90" s="296"/>
    </row>
    <row r="91" spans="1:53" x14ac:dyDescent="0.25">
      <c r="B91" s="160">
        <v>1</v>
      </c>
      <c r="C91" s="160">
        <v>2</v>
      </c>
      <c r="D91" s="160">
        <v>3</v>
      </c>
      <c r="E91" s="160">
        <v>4</v>
      </c>
      <c r="F91" s="160">
        <v>5</v>
      </c>
      <c r="G91" s="160">
        <v>6</v>
      </c>
      <c r="H91" s="160">
        <v>7</v>
      </c>
      <c r="I91" s="160">
        <v>8</v>
      </c>
      <c r="J91" s="160">
        <v>9</v>
      </c>
      <c r="K91" s="160">
        <v>10</v>
      </c>
      <c r="L91" s="160">
        <v>11</v>
      </c>
      <c r="M91" s="160">
        <v>12</v>
      </c>
      <c r="N91" s="160">
        <v>13</v>
      </c>
      <c r="O91" s="160">
        <v>14</v>
      </c>
      <c r="P91" s="160">
        <v>15</v>
      </c>
      <c r="Q91" s="160">
        <v>16</v>
      </c>
      <c r="R91" s="160">
        <v>17</v>
      </c>
      <c r="S91" s="160">
        <v>18</v>
      </c>
      <c r="T91" s="160">
        <v>19</v>
      </c>
      <c r="U91" s="160">
        <v>20</v>
      </c>
      <c r="V91" s="160">
        <v>21</v>
      </c>
      <c r="W91" s="160">
        <v>22</v>
      </c>
      <c r="X91" s="160">
        <v>23</v>
      </c>
      <c r="Y91" s="160">
        <v>24</v>
      </c>
      <c r="AD91" s="160">
        <v>1</v>
      </c>
      <c r="AE91" s="160">
        <v>2</v>
      </c>
      <c r="AF91" s="160">
        <v>3</v>
      </c>
      <c r="AG91" s="160">
        <v>4</v>
      </c>
      <c r="AH91" s="160">
        <v>5</v>
      </c>
      <c r="AI91" s="160">
        <v>6</v>
      </c>
      <c r="AJ91" s="160">
        <v>7</v>
      </c>
      <c r="AK91" s="160">
        <v>8</v>
      </c>
      <c r="AL91" s="160">
        <v>9</v>
      </c>
      <c r="AM91" s="160">
        <v>10</v>
      </c>
      <c r="AN91" s="160">
        <v>11</v>
      </c>
      <c r="AO91" s="160">
        <v>12</v>
      </c>
      <c r="AP91" s="160">
        <v>13</v>
      </c>
      <c r="AQ91" s="160">
        <v>14</v>
      </c>
      <c r="AR91" s="160">
        <v>15</v>
      </c>
      <c r="AS91" s="160">
        <v>16</v>
      </c>
      <c r="AT91" s="160">
        <v>17</v>
      </c>
      <c r="AU91" s="160">
        <v>18</v>
      </c>
      <c r="AV91" s="160">
        <v>19</v>
      </c>
      <c r="AW91" s="160">
        <v>20</v>
      </c>
      <c r="AX91" s="160">
        <v>21</v>
      </c>
      <c r="AY91" s="160">
        <v>22</v>
      </c>
      <c r="AZ91" s="160">
        <v>23</v>
      </c>
      <c r="BA91" s="160">
        <v>24</v>
      </c>
    </row>
    <row r="92" spans="1:53" x14ac:dyDescent="0.25">
      <c r="A92" t="s">
        <v>175</v>
      </c>
      <c r="B92" s="160">
        <v>15.5</v>
      </c>
      <c r="C92" s="160">
        <v>15.5</v>
      </c>
      <c r="D92" s="160">
        <v>14</v>
      </c>
      <c r="E92" s="160">
        <v>14</v>
      </c>
      <c r="F92" s="160">
        <v>15.5</v>
      </c>
      <c r="G92" s="160">
        <v>15.5</v>
      </c>
      <c r="H92" s="160">
        <v>15</v>
      </c>
      <c r="I92" s="160">
        <v>15</v>
      </c>
      <c r="J92" s="160">
        <v>15.5</v>
      </c>
      <c r="K92" s="160">
        <v>15.5</v>
      </c>
      <c r="L92" s="160">
        <v>15</v>
      </c>
      <c r="M92" s="160">
        <v>15</v>
      </c>
      <c r="N92" s="160">
        <v>15.5</v>
      </c>
      <c r="O92" s="160">
        <v>15.5</v>
      </c>
      <c r="P92" s="160">
        <v>15.5</v>
      </c>
      <c r="Q92" s="160">
        <v>15.5</v>
      </c>
      <c r="R92" s="160">
        <v>15</v>
      </c>
      <c r="S92" s="160">
        <v>15</v>
      </c>
      <c r="T92" s="160">
        <v>15.5</v>
      </c>
      <c r="U92" s="160">
        <v>15.5</v>
      </c>
      <c r="V92" s="160">
        <v>15</v>
      </c>
      <c r="W92" s="160">
        <v>15</v>
      </c>
      <c r="X92" s="160">
        <v>15.5</v>
      </c>
      <c r="Y92" s="160">
        <v>15.5</v>
      </c>
      <c r="AC92" t="s">
        <v>175</v>
      </c>
      <c r="AD92" s="160">
        <v>15.5</v>
      </c>
      <c r="AE92" s="160">
        <v>15.5</v>
      </c>
      <c r="AF92" s="160">
        <v>14</v>
      </c>
      <c r="AG92" s="160">
        <v>14</v>
      </c>
      <c r="AH92" s="160">
        <v>15.5</v>
      </c>
      <c r="AI92" s="160">
        <v>15.5</v>
      </c>
      <c r="AJ92" s="160">
        <v>15</v>
      </c>
      <c r="AK92" s="160">
        <v>15</v>
      </c>
      <c r="AL92" s="160">
        <v>15.5</v>
      </c>
      <c r="AM92" s="160">
        <v>15.5</v>
      </c>
      <c r="AN92" s="160">
        <v>15</v>
      </c>
      <c r="AO92" s="160">
        <v>15</v>
      </c>
      <c r="AP92" s="160">
        <v>15.5</v>
      </c>
      <c r="AQ92" s="160">
        <v>15.5</v>
      </c>
      <c r="AR92" s="160">
        <v>15.5</v>
      </c>
      <c r="AS92" s="160">
        <v>15.5</v>
      </c>
      <c r="AT92" s="160">
        <v>15</v>
      </c>
      <c r="AU92" s="160">
        <v>15</v>
      </c>
      <c r="AV92" s="160">
        <v>15.5</v>
      </c>
      <c r="AW92" s="160">
        <v>15.5</v>
      </c>
      <c r="AX92" s="160">
        <v>15</v>
      </c>
      <c r="AY92" s="160">
        <v>15</v>
      </c>
      <c r="AZ92" s="160">
        <v>15.5</v>
      </c>
      <c r="BA92" s="160">
        <v>15.5</v>
      </c>
    </row>
    <row r="93" spans="1:53" x14ac:dyDescent="0.25">
      <c r="A93" s="2" t="s">
        <v>327</v>
      </c>
      <c r="B93" s="160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  <c r="Y93" s="160"/>
      <c r="AC93" s="2" t="s">
        <v>327</v>
      </c>
      <c r="AD93" s="160"/>
      <c r="AE93" s="160"/>
      <c r="AF93" s="160"/>
      <c r="AG93" s="160"/>
      <c r="AH93" s="160"/>
      <c r="AI93" s="160"/>
      <c r="AJ93" s="160"/>
      <c r="AK93" s="160"/>
      <c r="AL93" s="160"/>
      <c r="AM93" s="160"/>
      <c r="AN93" s="160"/>
      <c r="AO93" s="160"/>
      <c r="AP93" s="160"/>
      <c r="AQ93" s="160"/>
      <c r="AR93" s="160"/>
      <c r="AS93" s="160"/>
      <c r="AT93" s="160"/>
      <c r="AU93" s="160"/>
      <c r="AV93" s="160"/>
      <c r="AW93" s="160"/>
      <c r="AX93" s="160"/>
      <c r="AY93" s="160"/>
      <c r="AZ93" s="160"/>
      <c r="BA93" s="160"/>
    </row>
    <row r="94" spans="1:53" x14ac:dyDescent="0.25">
      <c r="A94" s="51" t="s">
        <v>328</v>
      </c>
      <c r="B94" s="60">
        <v>1</v>
      </c>
      <c r="C94" s="60">
        <v>1</v>
      </c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>
        <v>1</v>
      </c>
      <c r="Y94" s="60">
        <v>1</v>
      </c>
      <c r="AC94" s="51" t="s">
        <v>328</v>
      </c>
      <c r="AD94" s="60">
        <v>1</v>
      </c>
      <c r="AE94" s="60">
        <v>1</v>
      </c>
      <c r="AF94" s="60"/>
      <c r="AG94" s="60"/>
      <c r="AH94" s="60"/>
      <c r="AI94" s="60"/>
      <c r="AJ94" s="60"/>
      <c r="AK94" s="60"/>
      <c r="AL94" s="60"/>
      <c r="AM94" s="60"/>
      <c r="AN94" s="60"/>
      <c r="AO94" s="60"/>
      <c r="AP94" s="60"/>
      <c r="AQ94" s="60"/>
      <c r="AR94" s="60"/>
      <c r="AS94" s="60"/>
      <c r="AT94" s="60"/>
      <c r="AU94" s="60"/>
      <c r="AV94" s="60"/>
      <c r="AW94" s="60"/>
      <c r="AX94" s="60"/>
      <c r="AY94" s="60"/>
      <c r="AZ94" s="60">
        <v>1</v>
      </c>
      <c r="BA94" s="60">
        <v>1</v>
      </c>
    </row>
    <row r="95" spans="1:53" x14ac:dyDescent="0.25">
      <c r="A95" s="51" t="s">
        <v>329</v>
      </c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0"/>
      <c r="Q95" s="60"/>
      <c r="R95" s="60"/>
      <c r="S95" s="60"/>
      <c r="T95" s="60"/>
      <c r="U95" s="60"/>
      <c r="V95" s="60"/>
      <c r="W95" s="60"/>
      <c r="X95" s="60"/>
      <c r="Y95" s="60"/>
      <c r="AC95" s="51" t="s">
        <v>329</v>
      </c>
      <c r="AD95" s="60"/>
      <c r="AE95" s="60"/>
      <c r="AF95" s="60"/>
      <c r="AG95" s="60"/>
      <c r="AH95" s="60"/>
      <c r="AI95" s="60"/>
      <c r="AJ95" s="60"/>
      <c r="AK95" s="60"/>
      <c r="AL95" s="60"/>
      <c r="AM95" s="60"/>
      <c r="AN95" s="60"/>
      <c r="AO95" s="60"/>
      <c r="AP95" s="60"/>
      <c r="AQ95" s="60"/>
      <c r="AR95" s="60"/>
      <c r="AS95" s="60"/>
      <c r="AT95" s="60"/>
      <c r="AU95" s="60"/>
      <c r="AV95" s="60"/>
      <c r="AW95" s="60"/>
      <c r="AX95" s="60"/>
      <c r="AY95" s="60"/>
      <c r="AZ95" s="60"/>
      <c r="BA95" s="60"/>
    </row>
    <row r="96" spans="1:53" x14ac:dyDescent="0.25">
      <c r="A96" s="137" t="s">
        <v>331</v>
      </c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0"/>
      <c r="Q96" s="60"/>
      <c r="R96" s="60"/>
      <c r="S96" s="60"/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  <c r="AC96" s="137" t="s">
        <v>331</v>
      </c>
      <c r="AD96" s="60"/>
      <c r="AE96" s="60"/>
      <c r="AF96" s="60"/>
      <c r="AG96" s="60"/>
      <c r="AH96" s="60"/>
      <c r="AI96" s="60"/>
      <c r="AJ96" s="60"/>
      <c r="AK96" s="60"/>
      <c r="AL96" s="60"/>
      <c r="AM96" s="60"/>
      <c r="AN96" s="60"/>
      <c r="AO96" s="60"/>
      <c r="AP96" s="60"/>
      <c r="AQ96" s="60"/>
      <c r="AR96" s="60"/>
      <c r="AS96" s="60"/>
      <c r="AT96" s="60"/>
      <c r="AU96" s="60"/>
      <c r="AV96" s="60">
        <v>1</v>
      </c>
      <c r="AW96" s="60">
        <v>1</v>
      </c>
      <c r="AX96" s="60">
        <v>1</v>
      </c>
      <c r="AY96" s="60">
        <v>1</v>
      </c>
      <c r="AZ96" s="60">
        <v>1</v>
      </c>
      <c r="BA96" s="60">
        <v>1</v>
      </c>
    </row>
    <row r="97" spans="1:53" x14ac:dyDescent="0.25">
      <c r="A97" s="51" t="s">
        <v>330</v>
      </c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0"/>
      <c r="P97" s="60"/>
      <c r="Q97" s="60"/>
      <c r="R97" s="60"/>
      <c r="S97" s="60"/>
      <c r="T97" s="60"/>
      <c r="U97" s="60"/>
      <c r="V97" s="60"/>
      <c r="W97" s="60"/>
      <c r="X97" s="60"/>
      <c r="Y97" s="60"/>
      <c r="AC97" s="51" t="s">
        <v>330</v>
      </c>
      <c r="AD97" s="60"/>
      <c r="AE97" s="60"/>
      <c r="AF97" s="60"/>
      <c r="AG97" s="60"/>
      <c r="AH97" s="60"/>
      <c r="AI97" s="60"/>
      <c r="AJ97" s="60"/>
      <c r="AK97" s="60"/>
      <c r="AL97" s="60"/>
      <c r="AM97" s="60"/>
      <c r="AN97" s="60"/>
      <c r="AO97" s="60"/>
      <c r="AP97" s="60"/>
      <c r="AQ97" s="60"/>
      <c r="AR97" s="60"/>
      <c r="AS97" s="60"/>
      <c r="AT97" s="60"/>
      <c r="AU97" s="60"/>
      <c r="AV97" s="60"/>
      <c r="AW97" s="60"/>
      <c r="AX97" s="60"/>
      <c r="AY97" s="60"/>
      <c r="AZ97" s="60"/>
      <c r="BA97" s="60"/>
    </row>
    <row r="98" spans="1:53" x14ac:dyDescent="0.25">
      <c r="A98" s="51" t="s">
        <v>442</v>
      </c>
      <c r="B98" s="60">
        <v>1</v>
      </c>
      <c r="C98" s="60">
        <v>1</v>
      </c>
      <c r="D98" s="60">
        <v>1</v>
      </c>
      <c r="E98" s="60">
        <v>1</v>
      </c>
      <c r="F98" s="60">
        <v>1</v>
      </c>
      <c r="G98" s="60">
        <v>1</v>
      </c>
      <c r="H98" s="60">
        <v>1</v>
      </c>
      <c r="I98" s="60">
        <v>1</v>
      </c>
      <c r="J98" s="60">
        <v>1</v>
      </c>
      <c r="K98" s="60">
        <v>1</v>
      </c>
      <c r="L98" s="60">
        <v>1</v>
      </c>
      <c r="M98" s="60">
        <v>1</v>
      </c>
      <c r="N98" s="60">
        <v>1</v>
      </c>
      <c r="O98" s="60">
        <v>1</v>
      </c>
      <c r="P98" s="60">
        <v>1</v>
      </c>
      <c r="Q98" s="60">
        <v>1</v>
      </c>
      <c r="R98" s="60">
        <v>1</v>
      </c>
      <c r="S98" s="60">
        <v>1</v>
      </c>
      <c r="T98" s="60">
        <v>1</v>
      </c>
      <c r="U98" s="60">
        <v>1</v>
      </c>
      <c r="V98" s="60">
        <v>1</v>
      </c>
      <c r="W98" s="60">
        <v>1</v>
      </c>
      <c r="X98" s="60">
        <v>1</v>
      </c>
      <c r="Y98" s="60">
        <v>1</v>
      </c>
      <c r="AC98" s="51" t="s">
        <v>442</v>
      </c>
      <c r="AD98" s="60">
        <v>1</v>
      </c>
      <c r="AE98" s="60">
        <v>1</v>
      </c>
      <c r="AF98" s="60">
        <v>1</v>
      </c>
      <c r="AG98" s="60">
        <v>1</v>
      </c>
      <c r="AH98" s="60">
        <v>1</v>
      </c>
      <c r="AI98" s="60">
        <v>1</v>
      </c>
      <c r="AJ98" s="60">
        <v>1</v>
      </c>
      <c r="AK98" s="60">
        <v>1</v>
      </c>
      <c r="AL98" s="60">
        <v>1</v>
      </c>
      <c r="AM98" s="60">
        <v>1</v>
      </c>
      <c r="AN98" s="60">
        <v>1</v>
      </c>
      <c r="AO98" s="60">
        <v>1</v>
      </c>
      <c r="AP98" s="60">
        <v>1</v>
      </c>
      <c r="AQ98" s="60">
        <v>1</v>
      </c>
      <c r="AR98" s="60">
        <v>1</v>
      </c>
      <c r="AS98" s="60">
        <v>1</v>
      </c>
      <c r="AT98" s="60">
        <v>1</v>
      </c>
      <c r="AU98" s="60">
        <v>1</v>
      </c>
      <c r="AV98" s="60">
        <v>1</v>
      </c>
      <c r="AW98" s="60">
        <v>1</v>
      </c>
      <c r="AX98" s="60">
        <v>1</v>
      </c>
      <c r="AY98" s="60">
        <v>1</v>
      </c>
      <c r="AZ98" s="60">
        <v>1</v>
      </c>
      <c r="BA98" s="60">
        <v>1</v>
      </c>
    </row>
    <row r="99" spans="1:53" x14ac:dyDescent="0.25">
      <c r="A99" s="51" t="s">
        <v>443</v>
      </c>
      <c r="B99" s="60"/>
      <c r="C99" s="60"/>
      <c r="D99" s="60"/>
      <c r="E99" s="60"/>
      <c r="F99" s="60"/>
      <c r="G99" s="60">
        <v>1</v>
      </c>
      <c r="H99" s="60">
        <v>1</v>
      </c>
      <c r="I99" s="60">
        <v>1</v>
      </c>
      <c r="J99" s="60">
        <v>1</v>
      </c>
      <c r="K99" s="60"/>
      <c r="L99" s="60"/>
      <c r="M99" s="60"/>
      <c r="N99" s="60"/>
      <c r="O99" s="60"/>
      <c r="P99" s="60"/>
      <c r="Q99" s="60"/>
      <c r="R99" s="60"/>
      <c r="S99" s="60"/>
      <c r="T99" s="60"/>
      <c r="U99" s="60"/>
      <c r="V99" s="60"/>
      <c r="W99" s="60"/>
      <c r="X99" s="60"/>
      <c r="Y99" s="60"/>
      <c r="AC99" s="51" t="s">
        <v>443</v>
      </c>
      <c r="AD99" s="60"/>
      <c r="AE99" s="60"/>
      <c r="AF99" s="60"/>
      <c r="AG99" s="60"/>
      <c r="AH99" s="60"/>
      <c r="AI99" s="60">
        <v>1</v>
      </c>
      <c r="AJ99" s="60">
        <v>1</v>
      </c>
      <c r="AK99" s="60">
        <v>1</v>
      </c>
      <c r="AL99" s="60">
        <v>1</v>
      </c>
      <c r="AM99" s="60"/>
      <c r="AN99" s="60"/>
      <c r="AO99" s="60"/>
      <c r="AP99" s="60"/>
      <c r="AQ99" s="60"/>
      <c r="AR99" s="60"/>
      <c r="AS99" s="60"/>
      <c r="AT99" s="60"/>
      <c r="AU99" s="60"/>
      <c r="AV99" s="60"/>
      <c r="AW99" s="60"/>
      <c r="AX99" s="60"/>
      <c r="AY99" s="60"/>
      <c r="AZ99" s="60"/>
      <c r="BA99" s="60"/>
    </row>
    <row r="100" spans="1:53" x14ac:dyDescent="0.25">
      <c r="A100" s="51" t="s">
        <v>166</v>
      </c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  <c r="R100" s="60"/>
      <c r="S100" s="60"/>
      <c r="T100" s="60"/>
      <c r="U100" s="60"/>
      <c r="V100" s="60"/>
      <c r="W100" s="60"/>
      <c r="X100" s="60"/>
      <c r="Y100" s="60"/>
      <c r="AC100" s="51" t="s">
        <v>166</v>
      </c>
      <c r="AD100" s="60"/>
      <c r="AE100" s="60"/>
      <c r="AF100" s="60"/>
      <c r="AG100" s="60"/>
      <c r="AH100" s="60"/>
      <c r="AI100" s="60"/>
      <c r="AJ100" s="60"/>
      <c r="AK100" s="60"/>
      <c r="AL100" s="60"/>
      <c r="AM100" s="60"/>
      <c r="AN100" s="60"/>
      <c r="AO100" s="60"/>
      <c r="AP100" s="60"/>
      <c r="AQ100" s="60"/>
      <c r="AR100" s="60"/>
      <c r="AS100" s="60"/>
      <c r="AT100" s="60"/>
      <c r="AU100" s="60"/>
      <c r="AV100" s="60"/>
      <c r="AW100" s="60"/>
      <c r="AX100" s="60"/>
      <c r="AY100" s="60"/>
      <c r="AZ100" s="60"/>
      <c r="BA100" s="60"/>
    </row>
    <row r="101" spans="1:53" x14ac:dyDescent="0.25">
      <c r="A101" s="51" t="s">
        <v>167</v>
      </c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0"/>
      <c r="P101" s="60"/>
      <c r="Q101" s="60"/>
      <c r="R101" s="60"/>
      <c r="S101" s="60"/>
      <c r="T101" s="60"/>
      <c r="U101" s="60"/>
      <c r="V101" s="60"/>
      <c r="W101" s="60"/>
      <c r="X101" s="60"/>
      <c r="Y101" s="60"/>
      <c r="AC101" s="51" t="s">
        <v>167</v>
      </c>
      <c r="AD101" s="60"/>
      <c r="AE101" s="60"/>
      <c r="AF101" s="60"/>
      <c r="AG101" s="60"/>
      <c r="AH101" s="60"/>
      <c r="AI101" s="60"/>
      <c r="AJ101" s="60"/>
      <c r="AK101" s="60"/>
      <c r="AL101" s="60"/>
      <c r="AM101" s="60"/>
      <c r="AN101" s="60"/>
      <c r="AO101" s="60"/>
      <c r="AP101" s="60"/>
      <c r="AQ101" s="60"/>
      <c r="AR101" s="60"/>
      <c r="AS101" s="60"/>
      <c r="AT101" s="60"/>
      <c r="AU101" s="60"/>
      <c r="AV101" s="60"/>
      <c r="AW101" s="60"/>
      <c r="AX101" s="60"/>
      <c r="AY101" s="60"/>
      <c r="AZ101" s="60"/>
      <c r="BA101" s="60"/>
    </row>
    <row r="102" spans="1:53" x14ac:dyDescent="0.25">
      <c r="A102" s="2" t="s">
        <v>12</v>
      </c>
      <c r="B102" s="65" t="s">
        <v>173</v>
      </c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  <c r="Y102" s="160"/>
      <c r="AC102" s="2" t="s">
        <v>12</v>
      </c>
      <c r="AD102" s="65" t="s">
        <v>173</v>
      </c>
      <c r="AE102" s="160"/>
      <c r="AF102" s="160"/>
      <c r="AG102" s="160"/>
      <c r="AH102" s="160"/>
      <c r="AI102" s="160"/>
      <c r="AJ102" s="160"/>
      <c r="AK102" s="160"/>
      <c r="AL102" s="160"/>
      <c r="AM102" s="160"/>
      <c r="AN102" s="160"/>
      <c r="AO102" s="160"/>
      <c r="AP102" s="160"/>
      <c r="AQ102" s="160"/>
      <c r="AR102" s="160"/>
      <c r="AS102" s="160"/>
      <c r="AT102" s="160"/>
      <c r="AU102" s="160"/>
      <c r="AV102" s="160"/>
      <c r="AW102" s="160"/>
      <c r="AX102" s="160"/>
      <c r="AY102" s="160"/>
      <c r="AZ102" s="160"/>
      <c r="BA102" s="160"/>
    </row>
    <row r="103" spans="1:53" x14ac:dyDescent="0.25">
      <c r="A103" s="44" t="s">
        <v>172</v>
      </c>
      <c r="B103" s="160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  <c r="Y103" s="160"/>
      <c r="AC103" s="44" t="s">
        <v>172</v>
      </c>
      <c r="AD103" s="160"/>
      <c r="AE103" s="160"/>
      <c r="AF103" s="160"/>
      <c r="AG103" s="160"/>
      <c r="AH103" s="160"/>
      <c r="AI103" s="160"/>
      <c r="AJ103" s="160"/>
      <c r="AK103" s="160"/>
      <c r="AL103" s="160"/>
      <c r="AM103" s="160"/>
      <c r="AN103" s="160"/>
      <c r="AO103" s="160"/>
      <c r="AP103" s="160"/>
      <c r="AQ103" s="160"/>
      <c r="AR103" s="160"/>
      <c r="AS103" s="160"/>
      <c r="AT103" s="160"/>
      <c r="AU103" s="160"/>
      <c r="AV103" s="160"/>
      <c r="AW103" s="160"/>
      <c r="AX103" s="160"/>
      <c r="AY103" s="160"/>
      <c r="AZ103" s="160"/>
      <c r="BA103" s="160"/>
    </row>
    <row r="104" spans="1:53" x14ac:dyDescent="0.25">
      <c r="A104" s="50" t="s">
        <v>444</v>
      </c>
      <c r="B104" s="162">
        <v>19</v>
      </c>
      <c r="C104" s="162">
        <v>19</v>
      </c>
      <c r="D104" s="162">
        <v>19</v>
      </c>
      <c r="E104" s="162">
        <v>19</v>
      </c>
      <c r="F104" s="162">
        <v>19</v>
      </c>
      <c r="G104" s="162">
        <v>19</v>
      </c>
      <c r="H104" s="162">
        <v>19</v>
      </c>
      <c r="I104" s="162">
        <v>19</v>
      </c>
      <c r="J104" s="162">
        <v>19</v>
      </c>
      <c r="K104" s="162">
        <v>19</v>
      </c>
      <c r="L104" s="162">
        <v>19</v>
      </c>
      <c r="M104" s="162">
        <v>19</v>
      </c>
      <c r="N104" s="162">
        <v>19</v>
      </c>
      <c r="O104" s="162">
        <v>19</v>
      </c>
      <c r="P104" s="162">
        <v>19</v>
      </c>
      <c r="Q104" s="162">
        <v>19</v>
      </c>
      <c r="R104" s="162">
        <v>18</v>
      </c>
      <c r="S104" s="162">
        <v>18</v>
      </c>
      <c r="T104" s="162">
        <v>18</v>
      </c>
      <c r="U104" s="162">
        <v>18</v>
      </c>
      <c r="V104" s="162">
        <v>19</v>
      </c>
      <c r="W104" s="162">
        <v>19</v>
      </c>
      <c r="X104" s="162">
        <v>19</v>
      </c>
      <c r="Y104" s="162">
        <v>19</v>
      </c>
      <c r="AC104" s="50" t="s">
        <v>444</v>
      </c>
      <c r="AD104" s="60">
        <v>25</v>
      </c>
      <c r="AE104" s="60">
        <v>25</v>
      </c>
      <c r="AF104" s="60">
        <v>25</v>
      </c>
      <c r="AG104" s="60">
        <v>25</v>
      </c>
      <c r="AH104" s="60">
        <v>25</v>
      </c>
      <c r="AI104" s="60">
        <v>25</v>
      </c>
      <c r="AJ104" s="60">
        <v>25</v>
      </c>
      <c r="AK104" s="60">
        <v>25</v>
      </c>
      <c r="AL104" s="60">
        <v>25</v>
      </c>
      <c r="AM104" s="60">
        <v>19</v>
      </c>
      <c r="AN104" s="60">
        <v>19</v>
      </c>
      <c r="AO104" s="60">
        <v>19</v>
      </c>
      <c r="AP104" s="60">
        <v>19</v>
      </c>
      <c r="AQ104" s="60">
        <v>19</v>
      </c>
      <c r="AR104" s="60">
        <v>19</v>
      </c>
      <c r="AS104" s="60">
        <v>19</v>
      </c>
      <c r="AT104" s="60">
        <v>19</v>
      </c>
      <c r="AU104" s="60">
        <v>19</v>
      </c>
      <c r="AV104" s="60">
        <v>25</v>
      </c>
      <c r="AW104" s="60">
        <v>25</v>
      </c>
      <c r="AX104" s="60">
        <v>25</v>
      </c>
      <c r="AY104" s="60">
        <v>25</v>
      </c>
      <c r="AZ104" s="60">
        <v>25</v>
      </c>
      <c r="BA104" s="60">
        <v>25</v>
      </c>
    </row>
    <row r="105" spans="1:53" x14ac:dyDescent="0.25">
      <c r="A105" s="50" t="s">
        <v>445</v>
      </c>
      <c r="B105" s="162">
        <v>0</v>
      </c>
      <c r="C105" s="162">
        <v>0</v>
      </c>
      <c r="D105" s="162">
        <v>0</v>
      </c>
      <c r="E105" s="162">
        <v>0</v>
      </c>
      <c r="F105" s="162">
        <v>0</v>
      </c>
      <c r="G105" s="162">
        <v>2</v>
      </c>
      <c r="H105" s="162">
        <v>4</v>
      </c>
      <c r="I105" s="162">
        <v>6</v>
      </c>
      <c r="J105" s="162">
        <v>6</v>
      </c>
      <c r="K105" s="162">
        <v>6</v>
      </c>
      <c r="L105" s="162">
        <v>6</v>
      </c>
      <c r="M105" s="162">
        <v>6</v>
      </c>
      <c r="N105" s="162">
        <v>6</v>
      </c>
      <c r="O105" s="162">
        <v>6</v>
      </c>
      <c r="P105" s="162">
        <v>6</v>
      </c>
      <c r="Q105" s="162">
        <v>6</v>
      </c>
      <c r="R105" s="162">
        <v>6</v>
      </c>
      <c r="S105" s="162">
        <v>6</v>
      </c>
      <c r="T105" s="162">
        <v>5</v>
      </c>
      <c r="U105" s="162">
        <v>5</v>
      </c>
      <c r="V105" s="162">
        <v>2</v>
      </c>
      <c r="W105" s="162">
        <v>1</v>
      </c>
      <c r="X105" s="162">
        <v>0</v>
      </c>
      <c r="Y105" s="162">
        <v>0</v>
      </c>
      <c r="AC105" s="50" t="s">
        <v>445</v>
      </c>
      <c r="AD105" s="60">
        <v>0</v>
      </c>
      <c r="AE105" s="60">
        <v>0</v>
      </c>
      <c r="AF105" s="60">
        <v>0</v>
      </c>
      <c r="AG105" s="60">
        <v>0</v>
      </c>
      <c r="AH105" s="60">
        <v>0</v>
      </c>
      <c r="AI105" s="60">
        <v>6</v>
      </c>
      <c r="AJ105" s="60">
        <v>6</v>
      </c>
      <c r="AK105" s="60">
        <v>6</v>
      </c>
      <c r="AL105" s="60">
        <v>6</v>
      </c>
      <c r="AM105" s="60">
        <v>6</v>
      </c>
      <c r="AN105" s="60">
        <v>6</v>
      </c>
      <c r="AO105" s="60">
        <v>6</v>
      </c>
      <c r="AP105" s="60">
        <v>6</v>
      </c>
      <c r="AQ105" s="60">
        <v>6</v>
      </c>
      <c r="AR105" s="60">
        <v>6</v>
      </c>
      <c r="AS105" s="60">
        <v>6</v>
      </c>
      <c r="AT105" s="60">
        <v>6</v>
      </c>
      <c r="AU105" s="60">
        <v>6</v>
      </c>
      <c r="AV105" s="60">
        <v>0</v>
      </c>
      <c r="AW105" s="60">
        <v>0</v>
      </c>
      <c r="AX105" s="60">
        <v>0</v>
      </c>
      <c r="AY105" s="60">
        <v>0</v>
      </c>
      <c r="AZ105" s="60">
        <v>0</v>
      </c>
      <c r="BA105" s="60">
        <v>0</v>
      </c>
    </row>
    <row r="106" spans="1:53" x14ac:dyDescent="0.25">
      <c r="A106" s="50" t="s">
        <v>446</v>
      </c>
      <c r="B106" s="162">
        <v>6</v>
      </c>
      <c r="C106" s="162">
        <v>6</v>
      </c>
      <c r="D106" s="162">
        <v>6</v>
      </c>
      <c r="E106" s="162">
        <v>6</v>
      </c>
      <c r="F106" s="162">
        <v>6</v>
      </c>
      <c r="G106" s="162">
        <v>6</v>
      </c>
      <c r="H106" s="162">
        <v>6</v>
      </c>
      <c r="I106" s="162">
        <v>6</v>
      </c>
      <c r="J106" s="162">
        <v>6</v>
      </c>
      <c r="K106" s="162">
        <v>6</v>
      </c>
      <c r="L106" s="162">
        <v>6</v>
      </c>
      <c r="M106" s="162">
        <v>6</v>
      </c>
      <c r="N106" s="162">
        <v>6</v>
      </c>
      <c r="O106" s="162">
        <v>6</v>
      </c>
      <c r="P106" s="162">
        <v>6</v>
      </c>
      <c r="Q106" s="162">
        <v>6</v>
      </c>
      <c r="R106" s="162">
        <v>6</v>
      </c>
      <c r="S106" s="162">
        <v>6</v>
      </c>
      <c r="T106" s="162">
        <v>6</v>
      </c>
      <c r="U106" s="162">
        <v>6</v>
      </c>
      <c r="V106" s="162">
        <v>6</v>
      </c>
      <c r="W106" s="162">
        <v>6</v>
      </c>
      <c r="X106" s="162">
        <v>6</v>
      </c>
      <c r="Y106" s="162">
        <v>6</v>
      </c>
      <c r="AC106" s="50" t="s">
        <v>446</v>
      </c>
      <c r="AD106" s="60">
        <v>12</v>
      </c>
      <c r="AE106" s="60">
        <v>12</v>
      </c>
      <c r="AF106" s="60">
        <v>12</v>
      </c>
      <c r="AG106" s="60">
        <v>12</v>
      </c>
      <c r="AH106" s="60">
        <v>12</v>
      </c>
      <c r="AI106" s="60">
        <v>12</v>
      </c>
      <c r="AJ106" s="60">
        <v>12</v>
      </c>
      <c r="AK106" s="60">
        <v>12</v>
      </c>
      <c r="AL106" s="60">
        <v>12</v>
      </c>
      <c r="AM106" s="60">
        <v>12</v>
      </c>
      <c r="AN106" s="60">
        <v>12</v>
      </c>
      <c r="AO106" s="60">
        <v>12</v>
      </c>
      <c r="AP106" s="60">
        <v>12</v>
      </c>
      <c r="AQ106" s="60">
        <v>12</v>
      </c>
      <c r="AR106" s="60">
        <v>12</v>
      </c>
      <c r="AS106" s="60">
        <v>12</v>
      </c>
      <c r="AT106" s="60">
        <v>12</v>
      </c>
      <c r="AU106" s="60">
        <v>12</v>
      </c>
      <c r="AV106" s="60">
        <v>12</v>
      </c>
      <c r="AW106" s="60">
        <v>12</v>
      </c>
      <c r="AX106" s="60">
        <v>12</v>
      </c>
      <c r="AY106" s="60">
        <v>12</v>
      </c>
      <c r="AZ106" s="60">
        <v>12</v>
      </c>
      <c r="BA106" s="60">
        <v>12</v>
      </c>
    </row>
    <row r="107" spans="1:53" x14ac:dyDescent="0.25">
      <c r="A107" s="50" t="s">
        <v>470</v>
      </c>
      <c r="B107" s="162">
        <v>6</v>
      </c>
      <c r="C107" s="162">
        <v>6</v>
      </c>
      <c r="D107" s="162">
        <v>6</v>
      </c>
      <c r="E107" s="162">
        <v>6</v>
      </c>
      <c r="F107" s="162">
        <v>6</v>
      </c>
      <c r="G107" s="162">
        <v>6</v>
      </c>
      <c r="H107" s="162">
        <v>6</v>
      </c>
      <c r="I107" s="162">
        <v>6</v>
      </c>
      <c r="J107" s="162">
        <v>6</v>
      </c>
      <c r="K107" s="162">
        <v>6</v>
      </c>
      <c r="L107" s="162">
        <v>6</v>
      </c>
      <c r="M107" s="162">
        <v>6</v>
      </c>
      <c r="N107" s="162">
        <v>6</v>
      </c>
      <c r="O107" s="162">
        <v>6</v>
      </c>
      <c r="P107" s="162">
        <v>6</v>
      </c>
      <c r="Q107" s="162">
        <v>6</v>
      </c>
      <c r="R107" s="162">
        <v>6</v>
      </c>
      <c r="S107" s="162">
        <v>6</v>
      </c>
      <c r="T107" s="162">
        <v>6</v>
      </c>
      <c r="U107" s="162">
        <v>6</v>
      </c>
      <c r="V107" s="162">
        <v>6</v>
      </c>
      <c r="W107" s="162">
        <v>6</v>
      </c>
      <c r="X107" s="162">
        <v>6</v>
      </c>
      <c r="Y107" s="162">
        <v>6</v>
      </c>
      <c r="AC107" s="50" t="s">
        <v>157</v>
      </c>
      <c r="AD107" s="60"/>
      <c r="AE107" s="60"/>
      <c r="AF107" s="60"/>
      <c r="AG107" s="60"/>
      <c r="AH107" s="60"/>
      <c r="AI107" s="60"/>
      <c r="AJ107" s="60"/>
      <c r="AK107" s="60"/>
      <c r="AL107" s="60"/>
      <c r="AM107" s="60"/>
      <c r="AN107" s="60"/>
      <c r="AO107" s="60"/>
      <c r="AP107" s="60"/>
      <c r="AQ107" s="60"/>
      <c r="AR107" s="60"/>
      <c r="AS107" s="60"/>
      <c r="AT107" s="60"/>
      <c r="AU107" s="60"/>
      <c r="AV107" s="60"/>
      <c r="AW107" s="60"/>
      <c r="AX107" s="60"/>
      <c r="AY107" s="60"/>
      <c r="AZ107" s="60"/>
      <c r="BA107" s="60"/>
    </row>
    <row r="108" spans="1:53" x14ac:dyDescent="0.25">
      <c r="A108" s="50" t="s">
        <v>158</v>
      </c>
      <c r="B108" s="162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  <c r="S108" s="162"/>
      <c r="T108" s="162"/>
      <c r="U108" s="162"/>
      <c r="V108" s="162"/>
      <c r="W108" s="162"/>
      <c r="X108" s="162"/>
      <c r="Y108" s="162"/>
      <c r="AC108" s="50" t="s">
        <v>158</v>
      </c>
      <c r="AD108" s="60"/>
      <c r="AE108" s="60"/>
      <c r="AF108" s="60"/>
      <c r="AG108" s="60"/>
      <c r="AH108" s="60"/>
      <c r="AI108" s="60"/>
      <c r="AJ108" s="60"/>
      <c r="AK108" s="60"/>
      <c r="AL108" s="60"/>
      <c r="AM108" s="60"/>
      <c r="AN108" s="60"/>
      <c r="AO108" s="60"/>
      <c r="AP108" s="60"/>
      <c r="AQ108" s="60"/>
      <c r="AR108" s="60"/>
      <c r="AS108" s="60"/>
      <c r="AT108" s="60"/>
      <c r="AU108" s="60"/>
      <c r="AV108" s="60"/>
      <c r="AW108" s="60"/>
      <c r="AX108" s="60"/>
      <c r="AY108" s="60"/>
      <c r="AZ108" s="60"/>
      <c r="BA108" s="60"/>
    </row>
    <row r="109" spans="1:53" x14ac:dyDescent="0.25">
      <c r="A109" s="50" t="s">
        <v>159</v>
      </c>
      <c r="B109" s="162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  <c r="S109" s="162"/>
      <c r="T109" s="162"/>
      <c r="U109" s="162"/>
      <c r="V109" s="162"/>
      <c r="W109" s="162"/>
      <c r="X109" s="162"/>
      <c r="Y109" s="162"/>
      <c r="AC109" s="50" t="s">
        <v>159</v>
      </c>
      <c r="AD109" s="60"/>
      <c r="AE109" s="60"/>
      <c r="AF109" s="60"/>
      <c r="AG109" s="60"/>
      <c r="AH109" s="60"/>
      <c r="AI109" s="60"/>
      <c r="AJ109" s="60"/>
      <c r="AK109" s="60"/>
      <c r="AL109" s="60"/>
      <c r="AM109" s="60"/>
      <c r="AN109" s="60"/>
      <c r="AO109" s="60"/>
      <c r="AP109" s="60"/>
      <c r="AQ109" s="60"/>
      <c r="AR109" s="60"/>
      <c r="AS109" s="60"/>
      <c r="AT109" s="60"/>
      <c r="AU109" s="60"/>
      <c r="AV109" s="60"/>
      <c r="AW109" s="60"/>
      <c r="AX109" s="60"/>
      <c r="AY109" s="60"/>
      <c r="AZ109" s="60"/>
      <c r="BA109" s="60"/>
    </row>
    <row r="110" spans="1:53" x14ac:dyDescent="0.25">
      <c r="A110" s="50" t="s">
        <v>160</v>
      </c>
      <c r="B110" s="162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  <c r="S110" s="162"/>
      <c r="T110" s="162"/>
      <c r="U110" s="162"/>
      <c r="V110" s="162"/>
      <c r="W110" s="162"/>
      <c r="X110" s="162"/>
      <c r="Y110" s="162"/>
      <c r="AC110" s="50" t="s">
        <v>160</v>
      </c>
      <c r="AD110" s="60"/>
      <c r="AE110" s="60"/>
      <c r="AF110" s="60"/>
      <c r="AG110" s="60"/>
      <c r="AH110" s="60"/>
      <c r="AI110" s="60"/>
      <c r="AJ110" s="60"/>
      <c r="AK110" s="60"/>
      <c r="AL110" s="60"/>
      <c r="AM110" s="60"/>
      <c r="AN110" s="60"/>
      <c r="AO110" s="60"/>
      <c r="AP110" s="60"/>
      <c r="AQ110" s="60"/>
      <c r="AR110" s="60"/>
      <c r="AS110" s="60"/>
      <c r="AT110" s="60"/>
      <c r="AU110" s="60"/>
      <c r="AV110" s="60"/>
      <c r="AW110" s="60"/>
      <c r="AX110" s="60"/>
      <c r="AY110" s="60"/>
      <c r="AZ110" s="60"/>
      <c r="BA110" s="60"/>
    </row>
    <row r="111" spans="1:53" x14ac:dyDescent="0.25">
      <c r="A111" s="50" t="s">
        <v>161</v>
      </c>
      <c r="B111" s="162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  <c r="S111" s="162"/>
      <c r="T111" s="162"/>
      <c r="U111" s="162"/>
      <c r="V111" s="162"/>
      <c r="W111" s="162"/>
      <c r="X111" s="162"/>
      <c r="Y111" s="162"/>
      <c r="AC111" s="50" t="s">
        <v>161</v>
      </c>
      <c r="AD111" s="60"/>
      <c r="AE111" s="60"/>
      <c r="AF111" s="60"/>
      <c r="AG111" s="60"/>
      <c r="AH111" s="60"/>
      <c r="AI111" s="60"/>
      <c r="AJ111" s="60"/>
      <c r="AK111" s="60"/>
      <c r="AL111" s="60"/>
      <c r="AM111" s="60"/>
      <c r="AN111" s="60"/>
      <c r="AO111" s="60"/>
      <c r="AP111" s="60"/>
      <c r="AQ111" s="60"/>
      <c r="AR111" s="60"/>
      <c r="AS111" s="60"/>
      <c r="AT111" s="60"/>
      <c r="AU111" s="60"/>
      <c r="AV111" s="60"/>
      <c r="AW111" s="60"/>
      <c r="AX111" s="60"/>
      <c r="AY111" s="60"/>
      <c r="AZ111" s="60"/>
      <c r="BA111" s="60"/>
    </row>
    <row r="112" spans="1:53" x14ac:dyDescent="0.25">
      <c r="A112" s="50" t="s">
        <v>162</v>
      </c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  <c r="R112" s="60"/>
      <c r="S112" s="60"/>
      <c r="T112" s="60"/>
      <c r="U112" s="60"/>
      <c r="V112" s="60"/>
      <c r="W112" s="60"/>
      <c r="X112" s="60"/>
      <c r="Y112" s="60"/>
      <c r="AC112" s="50" t="s">
        <v>162</v>
      </c>
      <c r="AD112" s="60"/>
      <c r="AE112" s="60"/>
      <c r="AF112" s="60"/>
      <c r="AG112" s="60"/>
      <c r="AH112" s="60"/>
      <c r="AI112" s="60"/>
      <c r="AJ112" s="60"/>
      <c r="AK112" s="60"/>
      <c r="AL112" s="60"/>
      <c r="AM112" s="60"/>
      <c r="AN112" s="60"/>
      <c r="AO112" s="60"/>
      <c r="AP112" s="60"/>
      <c r="AQ112" s="60"/>
      <c r="AR112" s="60"/>
      <c r="AS112" s="60"/>
      <c r="AT112" s="60"/>
      <c r="AU112" s="60"/>
      <c r="AV112" s="60"/>
      <c r="AW112" s="60"/>
      <c r="AX112" s="60"/>
      <c r="AY112" s="60"/>
      <c r="AZ112" s="60"/>
      <c r="BA112" s="60"/>
    </row>
    <row r="113" spans="1:53" x14ac:dyDescent="0.25">
      <c r="A113" s="50" t="s">
        <v>163</v>
      </c>
      <c r="B113" s="60">
        <f>SUM(B104:B112)</f>
        <v>31</v>
      </c>
      <c r="C113" s="60">
        <f t="shared" ref="C113:Y113" si="2">SUM(C104:C112)</f>
        <v>31</v>
      </c>
      <c r="D113" s="60">
        <f t="shared" si="2"/>
        <v>31</v>
      </c>
      <c r="E113" s="60">
        <f t="shared" si="2"/>
        <v>31</v>
      </c>
      <c r="F113" s="60">
        <f t="shared" si="2"/>
        <v>31</v>
      </c>
      <c r="G113" s="60">
        <f t="shared" si="2"/>
        <v>33</v>
      </c>
      <c r="H113" s="60">
        <f t="shared" si="2"/>
        <v>35</v>
      </c>
      <c r="I113" s="60">
        <f t="shared" si="2"/>
        <v>37</v>
      </c>
      <c r="J113" s="60">
        <f t="shared" si="2"/>
        <v>37</v>
      </c>
      <c r="K113" s="60">
        <f t="shared" si="2"/>
        <v>37</v>
      </c>
      <c r="L113" s="60">
        <f t="shared" si="2"/>
        <v>37</v>
      </c>
      <c r="M113" s="60">
        <f t="shared" si="2"/>
        <v>37</v>
      </c>
      <c r="N113" s="60">
        <f t="shared" si="2"/>
        <v>37</v>
      </c>
      <c r="O113" s="60">
        <f t="shared" si="2"/>
        <v>37</v>
      </c>
      <c r="P113" s="60">
        <f t="shared" si="2"/>
        <v>37</v>
      </c>
      <c r="Q113" s="60">
        <f t="shared" si="2"/>
        <v>37</v>
      </c>
      <c r="R113" s="60">
        <f t="shared" si="2"/>
        <v>36</v>
      </c>
      <c r="S113" s="60">
        <f t="shared" si="2"/>
        <v>36</v>
      </c>
      <c r="T113" s="60">
        <f t="shared" si="2"/>
        <v>35</v>
      </c>
      <c r="U113" s="60">
        <f t="shared" si="2"/>
        <v>35</v>
      </c>
      <c r="V113" s="60">
        <f t="shared" si="2"/>
        <v>33</v>
      </c>
      <c r="W113" s="60">
        <f t="shared" si="2"/>
        <v>32</v>
      </c>
      <c r="X113" s="60">
        <f t="shared" si="2"/>
        <v>31</v>
      </c>
      <c r="Y113" s="60">
        <f t="shared" si="2"/>
        <v>31</v>
      </c>
      <c r="AC113" s="50" t="s">
        <v>163</v>
      </c>
      <c r="AD113" s="60">
        <f>SUM(AD104:AD112)</f>
        <v>37</v>
      </c>
      <c r="AE113" s="60">
        <f t="shared" ref="AE113" si="3">SUM(AE104:AE112)</f>
        <v>37</v>
      </c>
      <c r="AF113" s="60">
        <f t="shared" ref="AF113" si="4">SUM(AF104:AF112)</f>
        <v>37</v>
      </c>
      <c r="AG113" s="60">
        <f t="shared" ref="AG113" si="5">SUM(AG104:AG112)</f>
        <v>37</v>
      </c>
      <c r="AH113" s="60">
        <f t="shared" ref="AH113" si="6">SUM(AH104:AH112)</f>
        <v>37</v>
      </c>
      <c r="AI113" s="60">
        <f t="shared" ref="AI113" si="7">SUM(AI104:AI112)</f>
        <v>43</v>
      </c>
      <c r="AJ113" s="60">
        <f t="shared" ref="AJ113" si="8">SUM(AJ104:AJ112)</f>
        <v>43</v>
      </c>
      <c r="AK113" s="60">
        <f t="shared" ref="AK113" si="9">SUM(AK104:AK112)</f>
        <v>43</v>
      </c>
      <c r="AL113" s="60">
        <f t="shared" ref="AL113" si="10">SUM(AL104:AL112)</f>
        <v>43</v>
      </c>
      <c r="AM113" s="60">
        <f t="shared" ref="AM113" si="11">SUM(AM104:AM112)</f>
        <v>37</v>
      </c>
      <c r="AN113" s="60">
        <f t="shared" ref="AN113" si="12">SUM(AN104:AN112)</f>
        <v>37</v>
      </c>
      <c r="AO113" s="60">
        <f t="shared" ref="AO113" si="13">SUM(AO104:AO112)</f>
        <v>37</v>
      </c>
      <c r="AP113" s="60">
        <f t="shared" ref="AP113" si="14">SUM(AP104:AP112)</f>
        <v>37</v>
      </c>
      <c r="AQ113" s="60">
        <f t="shared" ref="AQ113" si="15">SUM(AQ104:AQ112)</f>
        <v>37</v>
      </c>
      <c r="AR113" s="60">
        <f t="shared" ref="AR113" si="16">SUM(AR104:AR112)</f>
        <v>37</v>
      </c>
      <c r="AS113" s="60">
        <f t="shared" ref="AS113" si="17">SUM(AS104:AS112)</f>
        <v>37</v>
      </c>
      <c r="AT113" s="60">
        <f t="shared" ref="AT113" si="18">SUM(AT104:AT112)</f>
        <v>37</v>
      </c>
      <c r="AU113" s="60">
        <f t="shared" ref="AU113" si="19">SUM(AU104:AU112)</f>
        <v>37</v>
      </c>
      <c r="AV113" s="60">
        <f t="shared" ref="AV113" si="20">SUM(AV104:AV112)</f>
        <v>37</v>
      </c>
      <c r="AW113" s="60">
        <f t="shared" ref="AW113" si="21">SUM(AW104:AW112)</f>
        <v>37</v>
      </c>
      <c r="AX113" s="60">
        <f t="shared" ref="AX113" si="22">SUM(AX104:AX112)</f>
        <v>37</v>
      </c>
      <c r="AY113" s="60">
        <f t="shared" ref="AY113" si="23">SUM(AY104:AY112)</f>
        <v>37</v>
      </c>
      <c r="AZ113" s="60">
        <f t="shared" ref="AZ113" si="24">SUM(AZ104:AZ112)</f>
        <v>37</v>
      </c>
      <c r="BA113" s="60">
        <f t="shared" ref="BA113" si="25">SUM(BA104:BA112)</f>
        <v>37</v>
      </c>
    </row>
    <row r="116" spans="1:53" x14ac:dyDescent="0.25">
      <c r="A116" s="161" t="s">
        <v>469</v>
      </c>
      <c r="C116">
        <v>45</v>
      </c>
      <c r="E116">
        <v>25</v>
      </c>
      <c r="AC116" s="161" t="s">
        <v>466</v>
      </c>
    </row>
    <row r="117" spans="1:53" x14ac:dyDescent="0.25">
      <c r="B117" s="296" t="s">
        <v>2</v>
      </c>
      <c r="C117" s="296"/>
      <c r="D117" s="296" t="s">
        <v>0</v>
      </c>
      <c r="E117" s="296"/>
      <c r="F117" s="296" t="s">
        <v>1</v>
      </c>
      <c r="G117" s="296"/>
      <c r="H117" s="296" t="s">
        <v>3</v>
      </c>
      <c r="I117" s="296"/>
      <c r="J117" s="296" t="s">
        <v>4</v>
      </c>
      <c r="K117" s="296"/>
      <c r="L117" s="296" t="s">
        <v>5</v>
      </c>
      <c r="M117" s="296"/>
      <c r="N117" s="296" t="s">
        <v>6</v>
      </c>
      <c r="O117" s="296"/>
      <c r="P117" s="296" t="s">
        <v>7</v>
      </c>
      <c r="Q117" s="296"/>
      <c r="R117" s="296" t="s">
        <v>8</v>
      </c>
      <c r="S117" s="296"/>
      <c r="T117" s="296" t="s">
        <v>9</v>
      </c>
      <c r="U117" s="296"/>
      <c r="V117" s="296" t="s">
        <v>10</v>
      </c>
      <c r="W117" s="296"/>
      <c r="X117" s="296" t="s">
        <v>11</v>
      </c>
      <c r="Y117" s="296"/>
      <c r="AD117" s="296" t="s">
        <v>2</v>
      </c>
      <c r="AE117" s="296"/>
      <c r="AF117" s="296" t="s">
        <v>0</v>
      </c>
      <c r="AG117" s="296"/>
      <c r="AH117" s="296" t="s">
        <v>1</v>
      </c>
      <c r="AI117" s="296"/>
      <c r="AJ117" s="296" t="s">
        <v>3</v>
      </c>
      <c r="AK117" s="296"/>
      <c r="AL117" s="296" t="s">
        <v>4</v>
      </c>
      <c r="AM117" s="296"/>
      <c r="AN117" s="296" t="s">
        <v>5</v>
      </c>
      <c r="AO117" s="296"/>
      <c r="AP117" s="296" t="s">
        <v>6</v>
      </c>
      <c r="AQ117" s="296"/>
      <c r="AR117" s="296" t="s">
        <v>7</v>
      </c>
      <c r="AS117" s="296"/>
      <c r="AT117" s="296" t="s">
        <v>8</v>
      </c>
      <c r="AU117" s="296"/>
      <c r="AV117" s="296" t="s">
        <v>9</v>
      </c>
      <c r="AW117" s="296"/>
      <c r="AX117" s="296" t="s">
        <v>10</v>
      </c>
      <c r="AY117" s="296"/>
      <c r="AZ117" s="296" t="s">
        <v>11</v>
      </c>
      <c r="BA117" s="296"/>
    </row>
    <row r="118" spans="1:53" x14ac:dyDescent="0.25">
      <c r="B118" s="160">
        <v>1</v>
      </c>
      <c r="C118" s="160">
        <v>2</v>
      </c>
      <c r="D118" s="160">
        <v>3</v>
      </c>
      <c r="E118" s="160">
        <v>4</v>
      </c>
      <c r="F118" s="160">
        <v>5</v>
      </c>
      <c r="G118" s="160">
        <v>6</v>
      </c>
      <c r="H118" s="160">
        <v>7</v>
      </c>
      <c r="I118" s="160">
        <v>8</v>
      </c>
      <c r="J118" s="160">
        <v>9</v>
      </c>
      <c r="K118" s="160">
        <v>10</v>
      </c>
      <c r="L118" s="160">
        <v>11</v>
      </c>
      <c r="M118" s="160">
        <v>12</v>
      </c>
      <c r="N118" s="160">
        <v>13</v>
      </c>
      <c r="O118" s="160">
        <v>14</v>
      </c>
      <c r="P118" s="160">
        <v>15</v>
      </c>
      <c r="Q118" s="160">
        <v>16</v>
      </c>
      <c r="R118" s="160">
        <v>17</v>
      </c>
      <c r="S118" s="160">
        <v>18</v>
      </c>
      <c r="T118" s="160">
        <v>19</v>
      </c>
      <c r="U118" s="160">
        <v>20</v>
      </c>
      <c r="V118" s="160">
        <v>21</v>
      </c>
      <c r="W118" s="160">
        <v>22</v>
      </c>
      <c r="X118" s="160">
        <v>23</v>
      </c>
      <c r="Y118" s="160">
        <v>24</v>
      </c>
      <c r="AD118" s="160">
        <v>1</v>
      </c>
      <c r="AE118" s="160">
        <v>2</v>
      </c>
      <c r="AF118" s="160">
        <v>3</v>
      </c>
      <c r="AG118" s="160">
        <v>4</v>
      </c>
      <c r="AH118" s="160">
        <v>5</v>
      </c>
      <c r="AI118" s="160">
        <v>6</v>
      </c>
      <c r="AJ118" s="160">
        <v>7</v>
      </c>
      <c r="AK118" s="160">
        <v>8</v>
      </c>
      <c r="AL118" s="160">
        <v>9</v>
      </c>
      <c r="AM118" s="160">
        <v>10</v>
      </c>
      <c r="AN118" s="160">
        <v>11</v>
      </c>
      <c r="AO118" s="160">
        <v>12</v>
      </c>
      <c r="AP118" s="160">
        <v>13</v>
      </c>
      <c r="AQ118" s="160">
        <v>14</v>
      </c>
      <c r="AR118" s="160">
        <v>15</v>
      </c>
      <c r="AS118" s="160">
        <v>16</v>
      </c>
      <c r="AT118" s="160">
        <v>17</v>
      </c>
      <c r="AU118" s="160">
        <v>18</v>
      </c>
      <c r="AV118" s="160">
        <v>19</v>
      </c>
      <c r="AW118" s="160">
        <v>20</v>
      </c>
      <c r="AX118" s="160">
        <v>21</v>
      </c>
      <c r="AY118" s="160">
        <v>22</v>
      </c>
      <c r="AZ118" s="160">
        <v>23</v>
      </c>
      <c r="BA118" s="160">
        <v>24</v>
      </c>
    </row>
    <row r="119" spans="1:53" x14ac:dyDescent="0.25">
      <c r="A119" t="s">
        <v>175</v>
      </c>
      <c r="B119" s="160">
        <v>15.5</v>
      </c>
      <c r="C119" s="160">
        <v>15.5</v>
      </c>
      <c r="D119" s="160">
        <v>14</v>
      </c>
      <c r="E119" s="160">
        <v>14</v>
      </c>
      <c r="F119" s="160">
        <v>15.5</v>
      </c>
      <c r="G119" s="160">
        <v>15.5</v>
      </c>
      <c r="H119" s="160">
        <v>15</v>
      </c>
      <c r="I119" s="160">
        <v>15</v>
      </c>
      <c r="J119" s="160">
        <v>15.5</v>
      </c>
      <c r="K119" s="160">
        <v>15.5</v>
      </c>
      <c r="L119" s="160">
        <v>15</v>
      </c>
      <c r="M119" s="160">
        <v>15</v>
      </c>
      <c r="N119" s="160">
        <v>15.5</v>
      </c>
      <c r="O119" s="160">
        <v>15.5</v>
      </c>
      <c r="P119" s="160">
        <v>15.5</v>
      </c>
      <c r="Q119" s="160">
        <v>15.5</v>
      </c>
      <c r="R119" s="160">
        <v>15</v>
      </c>
      <c r="S119" s="160">
        <v>15</v>
      </c>
      <c r="T119" s="160">
        <v>15.5</v>
      </c>
      <c r="U119" s="160">
        <v>15.5</v>
      </c>
      <c r="V119" s="160">
        <v>15</v>
      </c>
      <c r="W119" s="160">
        <v>15</v>
      </c>
      <c r="X119" s="160">
        <v>15.5</v>
      </c>
      <c r="Y119" s="160">
        <v>15.5</v>
      </c>
      <c r="AC119" t="s">
        <v>175</v>
      </c>
      <c r="AD119" s="160">
        <v>15.5</v>
      </c>
      <c r="AE119" s="160">
        <v>15.5</v>
      </c>
      <c r="AF119" s="160">
        <v>14</v>
      </c>
      <c r="AG119" s="160">
        <v>14</v>
      </c>
      <c r="AH119" s="160">
        <v>15.5</v>
      </c>
      <c r="AI119" s="160">
        <v>15.5</v>
      </c>
      <c r="AJ119" s="160">
        <v>15</v>
      </c>
      <c r="AK119" s="160">
        <v>15</v>
      </c>
      <c r="AL119" s="160">
        <v>15.5</v>
      </c>
      <c r="AM119" s="160">
        <v>15.5</v>
      </c>
      <c r="AN119" s="160">
        <v>15</v>
      </c>
      <c r="AO119" s="160">
        <v>15</v>
      </c>
      <c r="AP119" s="160">
        <v>15.5</v>
      </c>
      <c r="AQ119" s="160">
        <v>15.5</v>
      </c>
      <c r="AR119" s="160">
        <v>15.5</v>
      </c>
      <c r="AS119" s="160">
        <v>15.5</v>
      </c>
      <c r="AT119" s="160">
        <v>15</v>
      </c>
      <c r="AU119" s="160">
        <v>15</v>
      </c>
      <c r="AV119" s="160">
        <v>15.5</v>
      </c>
      <c r="AW119" s="160">
        <v>15.5</v>
      </c>
      <c r="AX119" s="160">
        <v>15</v>
      </c>
      <c r="AY119" s="160">
        <v>15</v>
      </c>
      <c r="AZ119" s="160">
        <v>15.5</v>
      </c>
      <c r="BA119" s="160">
        <v>15.5</v>
      </c>
    </row>
    <row r="120" spans="1:53" x14ac:dyDescent="0.25">
      <c r="A120" s="2" t="s">
        <v>327</v>
      </c>
      <c r="B120" s="160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  <c r="S120" s="160"/>
      <c r="T120" s="160"/>
      <c r="U120" s="160"/>
      <c r="V120" s="160"/>
      <c r="W120" s="160"/>
      <c r="X120" s="160"/>
      <c r="Y120" s="160"/>
      <c r="AC120" s="2" t="s">
        <v>327</v>
      </c>
      <c r="AD120" s="160"/>
      <c r="AE120" s="160"/>
      <c r="AF120" s="160"/>
      <c r="AG120" s="160"/>
      <c r="AH120" s="160"/>
      <c r="AI120" s="160"/>
      <c r="AJ120" s="160"/>
      <c r="AK120" s="160"/>
      <c r="AL120" s="160"/>
      <c r="AM120" s="160"/>
      <c r="AN120" s="160"/>
      <c r="AO120" s="160"/>
      <c r="AP120" s="160"/>
      <c r="AQ120" s="160"/>
      <c r="AR120" s="160"/>
      <c r="AS120" s="160"/>
      <c r="AT120" s="160"/>
      <c r="AU120" s="160"/>
      <c r="AV120" s="160"/>
      <c r="AW120" s="160"/>
      <c r="AX120" s="160"/>
      <c r="AY120" s="160"/>
      <c r="AZ120" s="160"/>
      <c r="BA120" s="160"/>
    </row>
    <row r="121" spans="1:53" x14ac:dyDescent="0.25">
      <c r="A121" s="51" t="s">
        <v>328</v>
      </c>
      <c r="B121" s="60">
        <v>1</v>
      </c>
      <c r="C121" s="60">
        <v>1</v>
      </c>
      <c r="D121" s="60">
        <v>1</v>
      </c>
      <c r="E121" s="60">
        <v>1</v>
      </c>
      <c r="F121" s="60">
        <v>1</v>
      </c>
      <c r="G121" s="60">
        <v>1</v>
      </c>
      <c r="H121" s="60">
        <v>1</v>
      </c>
      <c r="I121" s="60">
        <v>1</v>
      </c>
      <c r="J121" s="60">
        <v>1</v>
      </c>
      <c r="K121" s="60">
        <v>1</v>
      </c>
      <c r="L121" s="60"/>
      <c r="M121" s="60"/>
      <c r="N121" s="60"/>
      <c r="O121" s="60"/>
      <c r="P121" s="60"/>
      <c r="Q121" s="60"/>
      <c r="R121" s="60"/>
      <c r="S121" s="60"/>
      <c r="T121" s="60"/>
      <c r="U121" s="60"/>
      <c r="V121" s="60"/>
      <c r="W121" s="60"/>
      <c r="X121" s="60">
        <v>1</v>
      </c>
      <c r="Y121" s="60">
        <v>1</v>
      </c>
      <c r="AC121" s="51" t="s">
        <v>328</v>
      </c>
      <c r="AD121" s="60">
        <v>1</v>
      </c>
      <c r="AE121" s="60">
        <v>1</v>
      </c>
      <c r="AF121" s="60">
        <v>1</v>
      </c>
      <c r="AG121" s="60">
        <v>1</v>
      </c>
      <c r="AH121" s="60">
        <v>1</v>
      </c>
      <c r="AI121" s="60">
        <v>1</v>
      </c>
      <c r="AJ121" s="60">
        <v>1</v>
      </c>
      <c r="AK121" s="60">
        <v>1</v>
      </c>
      <c r="AL121" s="60">
        <v>1</v>
      </c>
      <c r="AM121" s="60">
        <v>1</v>
      </c>
      <c r="AN121" s="60"/>
      <c r="AO121" s="60"/>
      <c r="AP121" s="60"/>
      <c r="AQ121" s="60"/>
      <c r="AR121" s="60"/>
      <c r="AS121" s="60"/>
      <c r="AT121" s="60"/>
      <c r="AU121" s="60"/>
      <c r="AV121" s="60"/>
      <c r="AW121" s="60"/>
      <c r="AX121" s="60"/>
      <c r="AY121" s="60"/>
      <c r="AZ121" s="60">
        <v>1</v>
      </c>
      <c r="BA121" s="60">
        <v>1</v>
      </c>
    </row>
    <row r="122" spans="1:53" x14ac:dyDescent="0.25">
      <c r="A122" s="51" t="s">
        <v>329</v>
      </c>
      <c r="B122" s="60">
        <v>1</v>
      </c>
      <c r="C122" s="60">
        <v>1</v>
      </c>
      <c r="D122" s="60">
        <v>1</v>
      </c>
      <c r="E122" s="60">
        <v>1</v>
      </c>
      <c r="F122" s="60">
        <v>1</v>
      </c>
      <c r="G122" s="60">
        <v>1</v>
      </c>
      <c r="H122" s="60"/>
      <c r="I122" s="60"/>
      <c r="J122" s="60"/>
      <c r="K122" s="60"/>
      <c r="L122" s="60"/>
      <c r="M122" s="60"/>
      <c r="N122" s="60"/>
      <c r="O122" s="60"/>
      <c r="P122" s="60"/>
      <c r="Q122" s="60"/>
      <c r="R122" s="60"/>
      <c r="S122" s="60"/>
      <c r="T122" s="60"/>
      <c r="U122" s="60"/>
      <c r="V122" s="60"/>
      <c r="W122" s="60"/>
      <c r="X122" s="60">
        <v>1</v>
      </c>
      <c r="Y122" s="60">
        <v>1</v>
      </c>
      <c r="AC122" s="51" t="s">
        <v>329</v>
      </c>
      <c r="AD122" s="60">
        <v>1</v>
      </c>
      <c r="AE122" s="60">
        <v>1</v>
      </c>
      <c r="AF122" s="60">
        <v>1</v>
      </c>
      <c r="AG122" s="60">
        <v>1</v>
      </c>
      <c r="AH122" s="60">
        <v>1</v>
      </c>
      <c r="AI122" s="60">
        <v>1</v>
      </c>
      <c r="AJ122" s="60"/>
      <c r="AK122" s="60"/>
      <c r="AL122" s="60"/>
      <c r="AM122" s="60"/>
      <c r="AN122" s="60"/>
      <c r="AO122" s="60"/>
      <c r="AP122" s="60"/>
      <c r="AQ122" s="60"/>
      <c r="AR122" s="60"/>
      <c r="AS122" s="60"/>
      <c r="AT122" s="60"/>
      <c r="AU122" s="60"/>
      <c r="AV122" s="60"/>
      <c r="AW122" s="60"/>
      <c r="AX122" s="60"/>
      <c r="AY122" s="60"/>
      <c r="AZ122" s="60">
        <v>1</v>
      </c>
      <c r="BA122" s="60">
        <v>1</v>
      </c>
    </row>
    <row r="123" spans="1:53" x14ac:dyDescent="0.25">
      <c r="A123" s="137" t="s">
        <v>331</v>
      </c>
      <c r="B123" s="60">
        <v>1</v>
      </c>
      <c r="C123" s="60">
        <v>1</v>
      </c>
      <c r="D123" s="60">
        <v>1</v>
      </c>
      <c r="E123" s="60">
        <v>1</v>
      </c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>
        <v>1</v>
      </c>
      <c r="S123" s="60">
        <v>1</v>
      </c>
      <c r="T123" s="60">
        <v>1</v>
      </c>
      <c r="U123" s="60">
        <v>1</v>
      </c>
      <c r="V123" s="60">
        <v>1</v>
      </c>
      <c r="W123" s="60">
        <v>1</v>
      </c>
      <c r="X123" s="60">
        <v>1</v>
      </c>
      <c r="Y123" s="60">
        <v>1</v>
      </c>
      <c r="AC123" s="137" t="s">
        <v>331</v>
      </c>
      <c r="AD123" s="60">
        <v>1</v>
      </c>
      <c r="AE123" s="60">
        <v>1</v>
      </c>
      <c r="AF123" s="60">
        <v>1</v>
      </c>
      <c r="AG123" s="60">
        <v>1</v>
      </c>
      <c r="AH123" s="60"/>
      <c r="AI123" s="60"/>
      <c r="AJ123" s="60"/>
      <c r="AK123" s="60"/>
      <c r="AL123" s="60"/>
      <c r="AM123" s="60"/>
      <c r="AN123" s="60"/>
      <c r="AO123" s="60"/>
      <c r="AP123" s="60"/>
      <c r="AQ123" s="60"/>
      <c r="AR123" s="60"/>
      <c r="AS123" s="60"/>
      <c r="AT123" s="60">
        <v>1</v>
      </c>
      <c r="AU123" s="60">
        <v>1</v>
      </c>
      <c r="AV123" s="60">
        <v>1</v>
      </c>
      <c r="AW123" s="60">
        <v>1</v>
      </c>
      <c r="AX123" s="60">
        <v>1</v>
      </c>
      <c r="AY123" s="60">
        <v>1</v>
      </c>
      <c r="AZ123" s="60">
        <v>1</v>
      </c>
      <c r="BA123" s="60">
        <v>1</v>
      </c>
    </row>
    <row r="124" spans="1:53" x14ac:dyDescent="0.25">
      <c r="A124" s="51" t="s">
        <v>330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  <c r="AC124" s="51" t="s">
        <v>330</v>
      </c>
      <c r="AD124" s="60"/>
      <c r="AE124" s="60"/>
      <c r="AF124" s="60"/>
      <c r="AG124" s="60"/>
      <c r="AH124" s="60"/>
      <c r="AI124" s="60"/>
      <c r="AJ124" s="60"/>
      <c r="AK124" s="60"/>
      <c r="AL124" s="60"/>
      <c r="AM124" s="60"/>
      <c r="AN124" s="60"/>
      <c r="AO124" s="60"/>
      <c r="AP124" s="60"/>
      <c r="AQ124" s="60"/>
      <c r="AR124" s="60"/>
      <c r="AS124" s="60"/>
      <c r="AT124" s="60"/>
      <c r="AU124" s="60"/>
      <c r="AV124" s="60"/>
      <c r="AW124" s="60"/>
      <c r="AX124" s="60"/>
      <c r="AY124" s="60"/>
      <c r="AZ124" s="60"/>
      <c r="BA124" s="60"/>
    </row>
    <row r="125" spans="1:53" x14ac:dyDescent="0.25">
      <c r="A125" s="51" t="s">
        <v>458</v>
      </c>
      <c r="B125" s="60"/>
      <c r="C125" s="60"/>
      <c r="D125" s="60">
        <v>1</v>
      </c>
      <c r="E125" s="60"/>
      <c r="F125" s="60">
        <v>1</v>
      </c>
      <c r="G125" s="60"/>
      <c r="H125" s="60"/>
      <c r="I125" s="60"/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/>
      <c r="Q125" s="60"/>
      <c r="R125" s="60"/>
      <c r="S125" s="60"/>
      <c r="T125" s="60"/>
      <c r="U125" s="60"/>
      <c r="V125" s="60"/>
      <c r="W125" s="60"/>
      <c r="X125" s="60"/>
      <c r="Y125" s="60"/>
      <c r="AC125" s="51" t="s">
        <v>458</v>
      </c>
      <c r="AD125" s="60"/>
      <c r="AE125" s="60"/>
      <c r="AF125" s="60">
        <v>1</v>
      </c>
      <c r="AG125" s="60"/>
      <c r="AH125" s="60">
        <v>1</v>
      </c>
      <c r="AI125" s="60"/>
      <c r="AJ125" s="60"/>
      <c r="AK125" s="60"/>
      <c r="AL125" s="60">
        <v>1</v>
      </c>
      <c r="AM125" s="60">
        <v>1</v>
      </c>
      <c r="AN125" s="60">
        <v>1</v>
      </c>
      <c r="AO125" s="60">
        <v>1</v>
      </c>
      <c r="AP125" s="60">
        <v>1</v>
      </c>
      <c r="AQ125" s="60">
        <v>1</v>
      </c>
      <c r="AR125" s="60"/>
      <c r="AS125" s="60"/>
      <c r="AT125" s="60"/>
      <c r="AU125" s="60"/>
      <c r="AV125" s="60"/>
      <c r="AW125" s="60"/>
      <c r="AX125" s="60"/>
      <c r="AY125" s="60"/>
      <c r="AZ125" s="60"/>
      <c r="BA125" s="60"/>
    </row>
    <row r="126" spans="1:53" x14ac:dyDescent="0.25">
      <c r="A126" s="51" t="s">
        <v>459</v>
      </c>
      <c r="B126" s="60"/>
      <c r="C126" s="60"/>
      <c r="D126" s="60">
        <v>1</v>
      </c>
      <c r="E126" s="60">
        <v>1</v>
      </c>
      <c r="F126" s="60">
        <v>1</v>
      </c>
      <c r="G126" s="60">
        <v>1</v>
      </c>
      <c r="H126" s="60">
        <v>1</v>
      </c>
      <c r="I126" s="60">
        <v>1</v>
      </c>
      <c r="J126" s="60">
        <v>1</v>
      </c>
      <c r="K126" s="60">
        <v>1</v>
      </c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  <c r="AC126" s="51" t="s">
        <v>459</v>
      </c>
      <c r="AD126" s="60"/>
      <c r="AE126" s="60"/>
      <c r="AF126" s="60">
        <v>1</v>
      </c>
      <c r="AG126" s="60">
        <v>1</v>
      </c>
      <c r="AH126" s="60">
        <v>1</v>
      </c>
      <c r="AI126" s="60">
        <v>1</v>
      </c>
      <c r="AJ126" s="60">
        <v>1</v>
      </c>
      <c r="AK126" s="60">
        <v>1</v>
      </c>
      <c r="AL126" s="60">
        <v>1</v>
      </c>
      <c r="AM126" s="60">
        <v>1</v>
      </c>
      <c r="AN126" s="60"/>
      <c r="AO126" s="60"/>
      <c r="AP126" s="60"/>
      <c r="AQ126" s="60"/>
      <c r="AR126" s="60"/>
      <c r="AS126" s="60"/>
      <c r="AT126" s="60"/>
      <c r="AU126" s="60"/>
      <c r="AV126" s="60"/>
      <c r="AW126" s="60"/>
      <c r="AX126" s="60"/>
      <c r="AY126" s="60"/>
      <c r="AZ126" s="60"/>
      <c r="BA126" s="60"/>
    </row>
    <row r="127" spans="1:53" x14ac:dyDescent="0.25">
      <c r="A127" s="51" t="s">
        <v>460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>
        <v>1</v>
      </c>
      <c r="U127" s="60"/>
      <c r="V127" s="60">
        <v>1</v>
      </c>
      <c r="W127" s="60"/>
      <c r="X127" s="60"/>
      <c r="Y127" s="60"/>
      <c r="AC127" s="51" t="s">
        <v>460</v>
      </c>
      <c r="AD127" s="60"/>
      <c r="AE127" s="60"/>
      <c r="AF127" s="60"/>
      <c r="AG127" s="60"/>
      <c r="AH127" s="60"/>
      <c r="AI127" s="60"/>
      <c r="AJ127" s="60"/>
      <c r="AK127" s="60"/>
      <c r="AL127" s="60"/>
      <c r="AM127" s="60"/>
      <c r="AN127" s="60"/>
      <c r="AO127" s="60"/>
      <c r="AP127" s="60"/>
      <c r="AQ127" s="60"/>
      <c r="AR127" s="60"/>
      <c r="AS127" s="60"/>
      <c r="AT127" s="60"/>
      <c r="AU127" s="60"/>
      <c r="AV127" s="60">
        <v>1</v>
      </c>
      <c r="AW127" s="60"/>
      <c r="AX127" s="60">
        <v>1</v>
      </c>
      <c r="AY127" s="60"/>
      <c r="AZ127" s="60"/>
      <c r="BA127" s="60"/>
    </row>
    <row r="128" spans="1:53" x14ac:dyDescent="0.25">
      <c r="A128" s="51" t="s">
        <v>461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>
        <v>1</v>
      </c>
      <c r="Q128" s="60">
        <v>1</v>
      </c>
      <c r="R128" s="60">
        <v>1</v>
      </c>
      <c r="S128" s="60"/>
      <c r="T128" s="60">
        <v>1</v>
      </c>
      <c r="U128" s="60">
        <v>1</v>
      </c>
      <c r="V128" s="60">
        <v>1</v>
      </c>
      <c r="W128" s="60">
        <v>1</v>
      </c>
      <c r="X128" s="60">
        <v>1</v>
      </c>
      <c r="Y128" s="60">
        <v>1</v>
      </c>
      <c r="AC128" s="51" t="s">
        <v>461</v>
      </c>
      <c r="AD128" s="60"/>
      <c r="AE128" s="60"/>
      <c r="AF128" s="60"/>
      <c r="AG128" s="60"/>
      <c r="AH128" s="60"/>
      <c r="AI128" s="60"/>
      <c r="AJ128" s="60"/>
      <c r="AK128" s="60"/>
      <c r="AL128" s="60"/>
      <c r="AM128" s="60"/>
      <c r="AN128" s="60"/>
      <c r="AO128" s="60"/>
      <c r="AP128" s="60"/>
      <c r="AQ128" s="60"/>
      <c r="AR128" s="60">
        <v>1</v>
      </c>
      <c r="AS128" s="60">
        <v>1</v>
      </c>
      <c r="AT128" s="60">
        <v>1</v>
      </c>
      <c r="AU128" s="60"/>
      <c r="AV128" s="60">
        <v>1</v>
      </c>
      <c r="AW128" s="60">
        <v>1</v>
      </c>
      <c r="AX128" s="60">
        <v>1</v>
      </c>
      <c r="AY128" s="60">
        <v>1</v>
      </c>
      <c r="AZ128" s="60">
        <v>1</v>
      </c>
      <c r="BA128" s="60">
        <v>1</v>
      </c>
    </row>
    <row r="129" spans="1:53" x14ac:dyDescent="0.25">
      <c r="A129" s="2" t="s">
        <v>12</v>
      </c>
      <c r="B129" s="65" t="s">
        <v>173</v>
      </c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AC129" s="2" t="s">
        <v>12</v>
      </c>
      <c r="AD129" s="65" t="s">
        <v>173</v>
      </c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  <c r="AU129" s="160"/>
      <c r="AV129" s="160"/>
      <c r="AW129" s="160"/>
      <c r="AX129" s="160"/>
      <c r="AY129" s="160"/>
      <c r="AZ129" s="160"/>
      <c r="BA129" s="160"/>
    </row>
    <row r="130" spans="1:53" x14ac:dyDescent="0.25">
      <c r="A130" s="44" t="s">
        <v>172</v>
      </c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AC130" s="44" t="s">
        <v>172</v>
      </c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  <c r="AU130" s="160"/>
      <c r="AV130" s="160"/>
      <c r="AW130" s="160"/>
      <c r="AX130" s="160"/>
      <c r="AY130" s="160"/>
      <c r="AZ130" s="160"/>
      <c r="BA130" s="160"/>
    </row>
    <row r="131" spans="1:53" x14ac:dyDescent="0.25">
      <c r="A131" s="50" t="s">
        <v>462</v>
      </c>
      <c r="B131" s="60">
        <v>34</v>
      </c>
      <c r="C131" s="60">
        <v>34</v>
      </c>
      <c r="D131" s="60">
        <v>34</v>
      </c>
      <c r="E131" s="60">
        <v>34</v>
      </c>
      <c r="F131" s="60">
        <v>34</v>
      </c>
      <c r="G131" s="60">
        <v>34</v>
      </c>
      <c r="H131" s="60">
        <v>34</v>
      </c>
      <c r="I131" s="60">
        <v>34</v>
      </c>
      <c r="J131" s="60">
        <v>34</v>
      </c>
      <c r="K131" s="60">
        <v>34</v>
      </c>
      <c r="L131" s="60">
        <v>34</v>
      </c>
      <c r="M131" s="60">
        <v>34</v>
      </c>
      <c r="N131" s="60">
        <v>34</v>
      </c>
      <c r="O131" s="60">
        <v>34</v>
      </c>
      <c r="P131" s="60">
        <v>33</v>
      </c>
      <c r="Q131" s="60">
        <v>32</v>
      </c>
      <c r="R131" s="60">
        <v>32</v>
      </c>
      <c r="S131" s="60">
        <v>32</v>
      </c>
      <c r="T131" s="60">
        <v>32</v>
      </c>
      <c r="U131" s="60">
        <v>33</v>
      </c>
      <c r="V131" s="60">
        <v>34</v>
      </c>
      <c r="W131" s="60">
        <v>35</v>
      </c>
      <c r="X131" s="60">
        <v>35</v>
      </c>
      <c r="Y131" s="60">
        <v>34</v>
      </c>
      <c r="AC131" s="50" t="s">
        <v>462</v>
      </c>
      <c r="AD131" s="60">
        <v>34</v>
      </c>
      <c r="AE131" s="60">
        <v>34</v>
      </c>
      <c r="AF131" s="60">
        <v>34</v>
      </c>
      <c r="AG131" s="60">
        <v>34</v>
      </c>
      <c r="AH131" s="60">
        <v>34</v>
      </c>
      <c r="AI131" s="60">
        <v>34</v>
      </c>
      <c r="AJ131" s="60">
        <v>34</v>
      </c>
      <c r="AK131" s="60">
        <v>34</v>
      </c>
      <c r="AL131" s="60">
        <v>34</v>
      </c>
      <c r="AM131" s="60">
        <v>34</v>
      </c>
      <c r="AN131" s="60">
        <v>34</v>
      </c>
      <c r="AO131" s="60">
        <v>34</v>
      </c>
      <c r="AP131" s="60">
        <v>34</v>
      </c>
      <c r="AQ131" s="60">
        <v>34</v>
      </c>
      <c r="AR131" s="60">
        <v>33</v>
      </c>
      <c r="AS131" s="60">
        <v>32</v>
      </c>
      <c r="AT131" s="60">
        <v>32</v>
      </c>
      <c r="AU131" s="60">
        <v>32</v>
      </c>
      <c r="AV131" s="60">
        <v>32</v>
      </c>
      <c r="AW131" s="60">
        <v>33</v>
      </c>
      <c r="AX131" s="60">
        <v>34</v>
      </c>
      <c r="AY131" s="60">
        <v>35</v>
      </c>
      <c r="AZ131" s="60">
        <v>35</v>
      </c>
      <c r="BA131" s="60">
        <v>34</v>
      </c>
    </row>
    <row r="132" spans="1:53" x14ac:dyDescent="0.25">
      <c r="A132" s="50" t="s">
        <v>463</v>
      </c>
      <c r="B132" s="60">
        <v>2</v>
      </c>
      <c r="C132" s="60">
        <v>4</v>
      </c>
      <c r="D132" s="60">
        <v>7</v>
      </c>
      <c r="E132" s="60">
        <v>11</v>
      </c>
      <c r="F132" s="156">
        <v>11</v>
      </c>
      <c r="G132" s="156">
        <v>11</v>
      </c>
      <c r="H132" s="156">
        <v>11</v>
      </c>
      <c r="I132" s="156">
        <v>11</v>
      </c>
      <c r="J132" s="156">
        <v>11</v>
      </c>
      <c r="K132" s="156">
        <v>11</v>
      </c>
      <c r="L132" s="156">
        <v>11</v>
      </c>
      <c r="M132" s="156">
        <v>11</v>
      </c>
      <c r="N132" s="156">
        <v>11</v>
      </c>
      <c r="O132" s="60">
        <v>11</v>
      </c>
      <c r="P132" s="60">
        <v>11</v>
      </c>
      <c r="Q132" s="60">
        <v>11</v>
      </c>
      <c r="R132" s="60">
        <v>10</v>
      </c>
      <c r="S132" s="60">
        <v>10</v>
      </c>
      <c r="T132" s="60">
        <v>8</v>
      </c>
      <c r="U132" s="60">
        <v>6</v>
      </c>
      <c r="V132" s="60">
        <v>3</v>
      </c>
      <c r="W132" s="60">
        <v>1</v>
      </c>
      <c r="X132" s="60">
        <v>0</v>
      </c>
      <c r="Y132" s="60">
        <v>0</v>
      </c>
      <c r="AC132" s="50" t="s">
        <v>463</v>
      </c>
      <c r="AD132" s="60">
        <v>2</v>
      </c>
      <c r="AE132" s="60">
        <v>4</v>
      </c>
      <c r="AF132" s="60">
        <v>7</v>
      </c>
      <c r="AG132" s="60">
        <v>11</v>
      </c>
      <c r="AH132" s="156">
        <v>11</v>
      </c>
      <c r="AI132" s="156">
        <v>11</v>
      </c>
      <c r="AJ132" s="156">
        <v>11</v>
      </c>
      <c r="AK132" s="156">
        <v>11</v>
      </c>
      <c r="AL132" s="156">
        <v>11</v>
      </c>
      <c r="AM132" s="156">
        <v>11</v>
      </c>
      <c r="AN132" s="156">
        <v>11</v>
      </c>
      <c r="AO132" s="156">
        <v>11</v>
      </c>
      <c r="AP132" s="156">
        <v>11</v>
      </c>
      <c r="AQ132" s="60">
        <v>11</v>
      </c>
      <c r="AR132" s="60">
        <v>11</v>
      </c>
      <c r="AS132" s="60">
        <v>11</v>
      </c>
      <c r="AT132" s="60">
        <v>10</v>
      </c>
      <c r="AU132" s="60">
        <v>10</v>
      </c>
      <c r="AV132" s="60">
        <v>8</v>
      </c>
      <c r="AW132" s="60">
        <v>6</v>
      </c>
      <c r="AX132" s="60">
        <v>3</v>
      </c>
      <c r="AY132" s="60">
        <v>1</v>
      </c>
      <c r="AZ132" s="60">
        <v>0</v>
      </c>
      <c r="BA132" s="60">
        <v>0</v>
      </c>
    </row>
    <row r="133" spans="1:53" x14ac:dyDescent="0.25">
      <c r="A133" s="50" t="s">
        <v>464</v>
      </c>
      <c r="B133" s="60">
        <v>11</v>
      </c>
      <c r="C133" s="60">
        <v>11</v>
      </c>
      <c r="D133" s="60">
        <v>11</v>
      </c>
      <c r="E133" s="60">
        <v>11</v>
      </c>
      <c r="F133" s="60">
        <v>11</v>
      </c>
      <c r="G133" s="60">
        <v>11</v>
      </c>
      <c r="H133" s="60">
        <v>11</v>
      </c>
      <c r="I133" s="60">
        <v>11</v>
      </c>
      <c r="J133" s="60">
        <v>11</v>
      </c>
      <c r="K133" s="60">
        <v>11</v>
      </c>
      <c r="L133" s="60">
        <v>11</v>
      </c>
      <c r="M133" s="60">
        <v>11</v>
      </c>
      <c r="N133" s="60">
        <v>11</v>
      </c>
      <c r="O133" s="60">
        <v>11</v>
      </c>
      <c r="P133" s="60">
        <v>11</v>
      </c>
      <c r="Q133" s="60">
        <v>11</v>
      </c>
      <c r="R133" s="60">
        <v>11</v>
      </c>
      <c r="S133" s="60">
        <v>11</v>
      </c>
      <c r="T133" s="60">
        <v>11</v>
      </c>
      <c r="U133" s="60">
        <v>11</v>
      </c>
      <c r="V133" s="60">
        <v>11</v>
      </c>
      <c r="W133" s="60">
        <v>11</v>
      </c>
      <c r="X133" s="60">
        <v>11</v>
      </c>
      <c r="Y133" s="60">
        <v>11</v>
      </c>
      <c r="AC133" s="50" t="s">
        <v>464</v>
      </c>
      <c r="AD133" s="60">
        <v>11</v>
      </c>
      <c r="AE133" s="60">
        <v>11</v>
      </c>
      <c r="AF133" s="60">
        <v>11</v>
      </c>
      <c r="AG133" s="60">
        <v>11</v>
      </c>
      <c r="AH133" s="60">
        <v>11</v>
      </c>
      <c r="AI133" s="60">
        <v>11</v>
      </c>
      <c r="AJ133" s="60">
        <v>11</v>
      </c>
      <c r="AK133" s="60">
        <v>11</v>
      </c>
      <c r="AL133" s="60">
        <v>11</v>
      </c>
      <c r="AM133" s="60">
        <v>11</v>
      </c>
      <c r="AN133" s="60">
        <v>11</v>
      </c>
      <c r="AO133" s="60">
        <v>11</v>
      </c>
      <c r="AP133" s="60">
        <v>11</v>
      </c>
      <c r="AQ133" s="60">
        <v>11</v>
      </c>
      <c r="AR133" s="60">
        <v>11</v>
      </c>
      <c r="AS133" s="60">
        <v>11</v>
      </c>
      <c r="AT133" s="60">
        <v>11</v>
      </c>
      <c r="AU133" s="60">
        <v>11</v>
      </c>
      <c r="AV133" s="60">
        <v>11</v>
      </c>
      <c r="AW133" s="60">
        <v>11</v>
      </c>
      <c r="AX133" s="60">
        <v>11</v>
      </c>
      <c r="AY133" s="60">
        <v>11</v>
      </c>
      <c r="AZ133" s="60">
        <v>11</v>
      </c>
      <c r="BA133" s="60">
        <v>11</v>
      </c>
    </row>
    <row r="134" spans="1:53" x14ac:dyDescent="0.25">
      <c r="A134" s="50" t="s">
        <v>465</v>
      </c>
      <c r="B134" s="60">
        <v>11</v>
      </c>
      <c r="C134" s="60">
        <v>11</v>
      </c>
      <c r="D134" s="60">
        <v>11</v>
      </c>
      <c r="E134" s="60">
        <v>11</v>
      </c>
      <c r="F134" s="60">
        <v>11</v>
      </c>
      <c r="G134" s="60">
        <v>11</v>
      </c>
      <c r="H134" s="60">
        <v>11</v>
      </c>
      <c r="I134" s="60">
        <v>11</v>
      </c>
      <c r="J134" s="60">
        <v>11</v>
      </c>
      <c r="K134" s="60">
        <v>11</v>
      </c>
      <c r="L134" s="60">
        <v>11</v>
      </c>
      <c r="M134" s="60">
        <v>11</v>
      </c>
      <c r="N134" s="60">
        <v>11</v>
      </c>
      <c r="O134" s="60">
        <v>11</v>
      </c>
      <c r="P134" s="60">
        <v>11</v>
      </c>
      <c r="Q134" s="60">
        <v>11</v>
      </c>
      <c r="R134" s="60">
        <v>11</v>
      </c>
      <c r="S134" s="60">
        <v>11</v>
      </c>
      <c r="T134" s="60">
        <v>11</v>
      </c>
      <c r="U134" s="60">
        <v>11</v>
      </c>
      <c r="V134" s="60">
        <v>11</v>
      </c>
      <c r="W134" s="60">
        <v>11</v>
      </c>
      <c r="X134" s="60">
        <v>11</v>
      </c>
      <c r="Y134" s="60">
        <v>11</v>
      </c>
      <c r="AC134" s="50" t="s">
        <v>465</v>
      </c>
      <c r="AD134" s="60">
        <v>11</v>
      </c>
      <c r="AE134" s="60">
        <v>11</v>
      </c>
      <c r="AF134" s="60">
        <v>11</v>
      </c>
      <c r="AG134" s="60">
        <v>11</v>
      </c>
      <c r="AH134" s="60">
        <v>11</v>
      </c>
      <c r="AI134" s="60">
        <v>11</v>
      </c>
      <c r="AJ134" s="60">
        <v>11</v>
      </c>
      <c r="AK134" s="60">
        <v>11</v>
      </c>
      <c r="AL134" s="60">
        <v>11</v>
      </c>
      <c r="AM134" s="60">
        <v>11</v>
      </c>
      <c r="AN134" s="60">
        <v>11</v>
      </c>
      <c r="AO134" s="60">
        <v>11</v>
      </c>
      <c r="AP134" s="60">
        <v>11</v>
      </c>
      <c r="AQ134" s="60">
        <v>11</v>
      </c>
      <c r="AR134" s="60">
        <v>11</v>
      </c>
      <c r="AS134" s="60">
        <v>11</v>
      </c>
      <c r="AT134" s="60">
        <v>11</v>
      </c>
      <c r="AU134" s="60">
        <v>11</v>
      </c>
      <c r="AV134" s="60">
        <v>11</v>
      </c>
      <c r="AW134" s="60">
        <v>11</v>
      </c>
      <c r="AX134" s="60">
        <v>11</v>
      </c>
      <c r="AY134" s="60">
        <v>11</v>
      </c>
      <c r="AZ134" s="60">
        <v>11</v>
      </c>
      <c r="BA134" s="60">
        <v>11</v>
      </c>
    </row>
    <row r="135" spans="1:53" x14ac:dyDescent="0.25">
      <c r="A135" s="163" t="s">
        <v>471</v>
      </c>
      <c r="B135" s="60"/>
      <c r="C135" s="60"/>
      <c r="D135" s="60"/>
      <c r="E135" s="60"/>
      <c r="F135" s="156"/>
      <c r="G135" s="156"/>
      <c r="H135" s="156"/>
      <c r="I135" s="156"/>
      <c r="J135" s="156"/>
      <c r="K135" s="156"/>
      <c r="L135" s="156"/>
      <c r="M135" s="156"/>
      <c r="N135" s="156"/>
      <c r="O135" s="60"/>
      <c r="P135" s="60"/>
      <c r="Q135" s="60"/>
      <c r="R135" s="60"/>
      <c r="S135" s="60"/>
      <c r="T135" s="60"/>
      <c r="U135" s="60"/>
      <c r="V135" s="60"/>
      <c r="W135" s="60"/>
      <c r="X135" s="60"/>
      <c r="Y135" s="60"/>
      <c r="AC135" s="50"/>
      <c r="AD135" s="60"/>
      <c r="AE135" s="60"/>
      <c r="AF135" s="60"/>
      <c r="AG135" s="60"/>
      <c r="AH135" s="156"/>
      <c r="AI135" s="156"/>
      <c r="AJ135" s="156"/>
      <c r="AK135" s="156"/>
      <c r="AL135" s="156"/>
      <c r="AM135" s="156"/>
      <c r="AN135" s="156"/>
      <c r="AO135" s="156"/>
      <c r="AP135" s="156"/>
      <c r="AQ135" s="60"/>
      <c r="AR135" s="60"/>
      <c r="AS135" s="60"/>
      <c r="AT135" s="60"/>
      <c r="AU135" s="60"/>
      <c r="AV135" s="60"/>
      <c r="AW135" s="60"/>
      <c r="AX135" s="60"/>
      <c r="AY135" s="60"/>
      <c r="AZ135" s="60"/>
      <c r="BA135" s="60"/>
    </row>
    <row r="136" spans="1:53" x14ac:dyDescent="0.25">
      <c r="A136" s="50" t="s">
        <v>462</v>
      </c>
      <c r="B136" s="162">
        <f>ROUND((B131*$E$116)/$C$116,0)</f>
        <v>19</v>
      </c>
      <c r="C136" s="162">
        <f t="shared" ref="C136:Y136" si="26">ROUND((C131*$E$116)/$C$116,0)</f>
        <v>19</v>
      </c>
      <c r="D136" s="162">
        <f t="shared" si="26"/>
        <v>19</v>
      </c>
      <c r="E136" s="162">
        <f t="shared" si="26"/>
        <v>19</v>
      </c>
      <c r="F136" s="162">
        <f t="shared" si="26"/>
        <v>19</v>
      </c>
      <c r="G136" s="162">
        <f t="shared" si="26"/>
        <v>19</v>
      </c>
      <c r="H136" s="162">
        <f t="shared" si="26"/>
        <v>19</v>
      </c>
      <c r="I136" s="162">
        <f t="shared" si="26"/>
        <v>19</v>
      </c>
      <c r="J136" s="162">
        <f t="shared" si="26"/>
        <v>19</v>
      </c>
      <c r="K136" s="162">
        <f t="shared" si="26"/>
        <v>19</v>
      </c>
      <c r="L136" s="162">
        <f t="shared" si="26"/>
        <v>19</v>
      </c>
      <c r="M136" s="162">
        <f t="shared" si="26"/>
        <v>19</v>
      </c>
      <c r="N136" s="162">
        <f t="shared" si="26"/>
        <v>19</v>
      </c>
      <c r="O136" s="162">
        <f t="shared" si="26"/>
        <v>19</v>
      </c>
      <c r="P136" s="162">
        <f t="shared" si="26"/>
        <v>18</v>
      </c>
      <c r="Q136" s="162">
        <f t="shared" si="26"/>
        <v>18</v>
      </c>
      <c r="R136" s="162">
        <f t="shared" si="26"/>
        <v>18</v>
      </c>
      <c r="S136" s="162">
        <f t="shared" si="26"/>
        <v>18</v>
      </c>
      <c r="T136" s="162">
        <f t="shared" si="26"/>
        <v>18</v>
      </c>
      <c r="U136" s="162">
        <f t="shared" si="26"/>
        <v>18</v>
      </c>
      <c r="V136" s="162">
        <f t="shared" si="26"/>
        <v>19</v>
      </c>
      <c r="W136" s="162">
        <f t="shared" si="26"/>
        <v>19</v>
      </c>
      <c r="X136" s="162">
        <f t="shared" si="26"/>
        <v>19</v>
      </c>
      <c r="Y136" s="162">
        <f t="shared" si="26"/>
        <v>19</v>
      </c>
      <c r="AC136" s="50" t="s">
        <v>159</v>
      </c>
      <c r="AD136" s="60"/>
      <c r="AE136" s="60"/>
      <c r="AF136" s="60"/>
      <c r="AG136" s="60"/>
      <c r="AH136" s="156"/>
      <c r="AI136" s="156"/>
      <c r="AJ136" s="156"/>
      <c r="AK136" s="156"/>
      <c r="AL136" s="156"/>
      <c r="AM136" s="156"/>
      <c r="AN136" s="156"/>
      <c r="AO136" s="156"/>
      <c r="AP136" s="156"/>
      <c r="AQ136" s="60"/>
      <c r="AR136" s="60"/>
      <c r="AS136" s="60"/>
      <c r="AT136" s="60"/>
      <c r="AU136" s="60"/>
      <c r="AV136" s="60"/>
      <c r="AW136" s="60"/>
      <c r="AX136" s="60"/>
      <c r="AY136" s="60"/>
      <c r="AZ136" s="60"/>
      <c r="BA136" s="60"/>
    </row>
    <row r="137" spans="1:53" x14ac:dyDescent="0.25">
      <c r="A137" s="50" t="s">
        <v>463</v>
      </c>
      <c r="B137" s="162">
        <f t="shared" ref="B137:Y137" si="27">ROUND((B132*$E$116)/$C$116,0)</f>
        <v>1</v>
      </c>
      <c r="C137" s="162">
        <f t="shared" si="27"/>
        <v>2</v>
      </c>
      <c r="D137" s="162">
        <f t="shared" si="27"/>
        <v>4</v>
      </c>
      <c r="E137" s="162">
        <f t="shared" si="27"/>
        <v>6</v>
      </c>
      <c r="F137" s="162">
        <f t="shared" si="27"/>
        <v>6</v>
      </c>
      <c r="G137" s="162">
        <f t="shared" si="27"/>
        <v>6</v>
      </c>
      <c r="H137" s="162">
        <f t="shared" si="27"/>
        <v>6</v>
      </c>
      <c r="I137" s="162">
        <f t="shared" si="27"/>
        <v>6</v>
      </c>
      <c r="J137" s="162">
        <f t="shared" si="27"/>
        <v>6</v>
      </c>
      <c r="K137" s="162">
        <f t="shared" si="27"/>
        <v>6</v>
      </c>
      <c r="L137" s="162">
        <f t="shared" si="27"/>
        <v>6</v>
      </c>
      <c r="M137" s="162">
        <f t="shared" si="27"/>
        <v>6</v>
      </c>
      <c r="N137" s="162">
        <f t="shared" si="27"/>
        <v>6</v>
      </c>
      <c r="O137" s="162">
        <f t="shared" si="27"/>
        <v>6</v>
      </c>
      <c r="P137" s="162">
        <f t="shared" si="27"/>
        <v>6</v>
      </c>
      <c r="Q137" s="162">
        <f t="shared" si="27"/>
        <v>6</v>
      </c>
      <c r="R137" s="162">
        <v>5</v>
      </c>
      <c r="S137" s="162">
        <v>5</v>
      </c>
      <c r="T137" s="162">
        <f t="shared" si="27"/>
        <v>4</v>
      </c>
      <c r="U137" s="162">
        <v>4</v>
      </c>
      <c r="V137" s="162">
        <v>1</v>
      </c>
      <c r="W137" s="162">
        <f t="shared" si="27"/>
        <v>1</v>
      </c>
      <c r="X137" s="162">
        <f t="shared" si="27"/>
        <v>0</v>
      </c>
      <c r="Y137" s="162">
        <f t="shared" si="27"/>
        <v>0</v>
      </c>
      <c r="AA137" s="4"/>
      <c r="AC137" s="50" t="s">
        <v>160</v>
      </c>
      <c r="AD137" s="60"/>
      <c r="AE137" s="60"/>
      <c r="AF137" s="60"/>
      <c r="AG137" s="60"/>
      <c r="AH137" s="60"/>
      <c r="AI137" s="60"/>
      <c r="AJ137" s="60"/>
      <c r="AK137" s="60"/>
      <c r="AL137" s="60"/>
      <c r="AM137" s="60"/>
      <c r="AN137" s="60"/>
      <c r="AO137" s="60"/>
      <c r="AP137" s="60"/>
      <c r="AQ137" s="60"/>
      <c r="AR137" s="60"/>
      <c r="AS137" s="60"/>
      <c r="AT137" s="60"/>
      <c r="AU137" s="60"/>
      <c r="AV137" s="60"/>
      <c r="AW137" s="60"/>
      <c r="AX137" s="60"/>
      <c r="AY137" s="60"/>
      <c r="AZ137" s="60"/>
      <c r="BA137" s="60"/>
    </row>
    <row r="138" spans="1:53" x14ac:dyDescent="0.25">
      <c r="A138" s="50" t="s">
        <v>464</v>
      </c>
      <c r="B138" s="162">
        <f t="shared" ref="B138:Y138" si="28">ROUND((B133*$E$116)/$C$116,0)</f>
        <v>6</v>
      </c>
      <c r="C138" s="162">
        <f t="shared" si="28"/>
        <v>6</v>
      </c>
      <c r="D138" s="162">
        <f t="shared" si="28"/>
        <v>6</v>
      </c>
      <c r="E138" s="162">
        <f t="shared" si="28"/>
        <v>6</v>
      </c>
      <c r="F138" s="162">
        <f t="shared" si="28"/>
        <v>6</v>
      </c>
      <c r="G138" s="162">
        <f t="shared" si="28"/>
        <v>6</v>
      </c>
      <c r="H138" s="162">
        <f t="shared" si="28"/>
        <v>6</v>
      </c>
      <c r="I138" s="162">
        <f t="shared" si="28"/>
        <v>6</v>
      </c>
      <c r="J138" s="162">
        <f t="shared" si="28"/>
        <v>6</v>
      </c>
      <c r="K138" s="162">
        <f t="shared" si="28"/>
        <v>6</v>
      </c>
      <c r="L138" s="162">
        <f t="shared" si="28"/>
        <v>6</v>
      </c>
      <c r="M138" s="162">
        <f t="shared" si="28"/>
        <v>6</v>
      </c>
      <c r="N138" s="162">
        <f t="shared" si="28"/>
        <v>6</v>
      </c>
      <c r="O138" s="162">
        <f t="shared" si="28"/>
        <v>6</v>
      </c>
      <c r="P138" s="162">
        <f t="shared" si="28"/>
        <v>6</v>
      </c>
      <c r="Q138" s="162">
        <f t="shared" si="28"/>
        <v>6</v>
      </c>
      <c r="R138" s="162">
        <f t="shared" si="28"/>
        <v>6</v>
      </c>
      <c r="S138" s="162">
        <f t="shared" si="28"/>
        <v>6</v>
      </c>
      <c r="T138" s="162">
        <f t="shared" si="28"/>
        <v>6</v>
      </c>
      <c r="U138" s="162">
        <f t="shared" si="28"/>
        <v>6</v>
      </c>
      <c r="V138" s="162">
        <f t="shared" si="28"/>
        <v>6</v>
      </c>
      <c r="W138" s="162">
        <f t="shared" si="28"/>
        <v>6</v>
      </c>
      <c r="X138" s="162">
        <f t="shared" si="28"/>
        <v>6</v>
      </c>
      <c r="Y138" s="162">
        <f t="shared" si="28"/>
        <v>6</v>
      </c>
      <c r="AC138" s="50" t="s">
        <v>161</v>
      </c>
      <c r="AD138" s="60"/>
      <c r="AE138" s="60"/>
      <c r="AF138" s="60"/>
      <c r="AG138" s="60"/>
      <c r="AH138" s="60"/>
      <c r="AI138" s="60"/>
      <c r="AJ138" s="60"/>
      <c r="AK138" s="60"/>
      <c r="AL138" s="60"/>
      <c r="AM138" s="60"/>
      <c r="AN138" s="60"/>
      <c r="AO138" s="60"/>
      <c r="AP138" s="60"/>
      <c r="AQ138" s="60"/>
      <c r="AR138" s="60"/>
      <c r="AS138" s="60"/>
      <c r="AT138" s="60"/>
      <c r="AU138" s="60"/>
      <c r="AV138" s="60"/>
      <c r="AW138" s="60"/>
      <c r="AX138" s="60"/>
      <c r="AY138" s="60"/>
      <c r="AZ138" s="60"/>
      <c r="BA138" s="60"/>
    </row>
    <row r="139" spans="1:53" x14ac:dyDescent="0.25">
      <c r="A139" s="50" t="s">
        <v>465</v>
      </c>
      <c r="B139" s="162">
        <f t="shared" ref="B139:Y139" si="29">ROUND((B134*$E$116)/$C$116,0)</f>
        <v>6</v>
      </c>
      <c r="C139" s="162">
        <f t="shared" si="29"/>
        <v>6</v>
      </c>
      <c r="D139" s="162">
        <f t="shared" si="29"/>
        <v>6</v>
      </c>
      <c r="E139" s="162">
        <f t="shared" si="29"/>
        <v>6</v>
      </c>
      <c r="F139" s="162">
        <f t="shared" si="29"/>
        <v>6</v>
      </c>
      <c r="G139" s="162">
        <f t="shared" si="29"/>
        <v>6</v>
      </c>
      <c r="H139" s="162">
        <f t="shared" si="29"/>
        <v>6</v>
      </c>
      <c r="I139" s="162">
        <f t="shared" si="29"/>
        <v>6</v>
      </c>
      <c r="J139" s="162">
        <f t="shared" si="29"/>
        <v>6</v>
      </c>
      <c r="K139" s="162">
        <f t="shared" si="29"/>
        <v>6</v>
      </c>
      <c r="L139" s="162">
        <f t="shared" si="29"/>
        <v>6</v>
      </c>
      <c r="M139" s="162">
        <f t="shared" si="29"/>
        <v>6</v>
      </c>
      <c r="N139" s="162">
        <f t="shared" si="29"/>
        <v>6</v>
      </c>
      <c r="O139" s="162">
        <f t="shared" si="29"/>
        <v>6</v>
      </c>
      <c r="P139" s="162">
        <f t="shared" si="29"/>
        <v>6</v>
      </c>
      <c r="Q139" s="162">
        <f t="shared" si="29"/>
        <v>6</v>
      </c>
      <c r="R139" s="162">
        <f t="shared" si="29"/>
        <v>6</v>
      </c>
      <c r="S139" s="162">
        <f t="shared" si="29"/>
        <v>6</v>
      </c>
      <c r="T139" s="162">
        <f t="shared" si="29"/>
        <v>6</v>
      </c>
      <c r="U139" s="162">
        <f t="shared" si="29"/>
        <v>6</v>
      </c>
      <c r="V139" s="162">
        <f t="shared" si="29"/>
        <v>6</v>
      </c>
      <c r="W139" s="162">
        <f t="shared" si="29"/>
        <v>6</v>
      </c>
      <c r="X139" s="162">
        <f t="shared" si="29"/>
        <v>6</v>
      </c>
      <c r="Y139" s="162">
        <f t="shared" si="29"/>
        <v>6</v>
      </c>
      <c r="AC139" s="50" t="s">
        <v>162</v>
      </c>
      <c r="AD139" s="60"/>
      <c r="AE139" s="60"/>
      <c r="AF139" s="60"/>
      <c r="AG139" s="60"/>
      <c r="AH139" s="60"/>
      <c r="AI139" s="60"/>
      <c r="AJ139" s="60"/>
      <c r="AK139" s="60"/>
      <c r="AL139" s="60"/>
      <c r="AM139" s="60"/>
      <c r="AN139" s="60"/>
      <c r="AO139" s="60"/>
      <c r="AP139" s="60"/>
      <c r="AQ139" s="60"/>
      <c r="AR139" s="60"/>
      <c r="AS139" s="60"/>
      <c r="AT139" s="60"/>
      <c r="AU139" s="60"/>
      <c r="AV139" s="60"/>
      <c r="AW139" s="60"/>
      <c r="AX139" s="60"/>
      <c r="AY139" s="60"/>
      <c r="AZ139" s="60"/>
      <c r="BA139" s="60"/>
    </row>
    <row r="140" spans="1:53" x14ac:dyDescent="0.25">
      <c r="A140" s="50" t="s">
        <v>163</v>
      </c>
      <c r="B140" s="60"/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0"/>
      <c r="P140" s="60"/>
      <c r="Q140" s="60"/>
      <c r="R140" s="60"/>
      <c r="S140" s="60"/>
      <c r="T140" s="60"/>
      <c r="U140" s="60"/>
      <c r="V140" s="60"/>
      <c r="W140" s="60"/>
      <c r="X140" s="60"/>
      <c r="Y140" s="60"/>
      <c r="AC140" s="50" t="s">
        <v>163</v>
      </c>
      <c r="AD140" s="60"/>
      <c r="AE140" s="60"/>
      <c r="AF140" s="60"/>
      <c r="AG140" s="60"/>
      <c r="AH140" s="60"/>
      <c r="AI140" s="60"/>
      <c r="AJ140" s="60"/>
      <c r="AK140" s="60"/>
      <c r="AL140" s="60"/>
      <c r="AM140" s="60"/>
      <c r="AN140" s="60"/>
      <c r="AO140" s="60"/>
      <c r="AP140" s="60"/>
      <c r="AQ140" s="60"/>
      <c r="AR140" s="60"/>
      <c r="AS140" s="60"/>
      <c r="AT140" s="60"/>
      <c r="AU140" s="60"/>
      <c r="AV140" s="60"/>
      <c r="AW140" s="60"/>
      <c r="AX140" s="60"/>
      <c r="AY140" s="60"/>
      <c r="AZ140" s="60"/>
      <c r="BA140" s="60"/>
    </row>
  </sheetData>
  <mergeCells count="60">
    <mergeCell ref="AX117:AY117"/>
    <mergeCell ref="AZ117:BA117"/>
    <mergeCell ref="AN117:AO117"/>
    <mergeCell ref="AP117:AQ117"/>
    <mergeCell ref="AR117:AS117"/>
    <mergeCell ref="AT117:AU117"/>
    <mergeCell ref="AV117:AW117"/>
    <mergeCell ref="AD117:AE117"/>
    <mergeCell ref="AF117:AG117"/>
    <mergeCell ref="AH117:AI117"/>
    <mergeCell ref="AJ117:AK117"/>
    <mergeCell ref="AL117:AM117"/>
    <mergeCell ref="AT90:AU90"/>
    <mergeCell ref="AV90:AW90"/>
    <mergeCell ref="AX90:AY90"/>
    <mergeCell ref="AZ90:BA90"/>
    <mergeCell ref="B117:C117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AJ90:AK90"/>
    <mergeCell ref="AL90:AM90"/>
    <mergeCell ref="AN90:AO90"/>
    <mergeCell ref="AP90:AQ90"/>
    <mergeCell ref="AR90:AS90"/>
    <mergeCell ref="V90:W90"/>
    <mergeCell ref="X90:Y90"/>
    <mergeCell ref="AD90:AE90"/>
    <mergeCell ref="AF90:AG90"/>
    <mergeCell ref="AH90:AI90"/>
    <mergeCell ref="L90:M90"/>
    <mergeCell ref="N90:O90"/>
    <mergeCell ref="P90:Q90"/>
    <mergeCell ref="R90:S90"/>
    <mergeCell ref="T90:U90"/>
    <mergeCell ref="B90:C90"/>
    <mergeCell ref="D90:E90"/>
    <mergeCell ref="F90:G90"/>
    <mergeCell ref="H90:I90"/>
    <mergeCell ref="J90:K90"/>
    <mergeCell ref="X64:Y64"/>
    <mergeCell ref="B64:C64"/>
    <mergeCell ref="D64:E64"/>
    <mergeCell ref="F64:G64"/>
    <mergeCell ref="H64:I64"/>
    <mergeCell ref="J64:K64"/>
    <mergeCell ref="L64:M64"/>
    <mergeCell ref="N64:O64"/>
    <mergeCell ref="P64:Q64"/>
    <mergeCell ref="R64:S64"/>
    <mergeCell ref="T64:U64"/>
    <mergeCell ref="V64:W64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AO228"/>
  <sheetViews>
    <sheetView topLeftCell="I62" zoomScale="80" zoomScaleNormal="80" workbookViewId="0">
      <selection activeCell="K1" sqref="K1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71"/>
    <col min="12" max="12" width="44.7109375" bestFit="1" customWidth="1"/>
  </cols>
  <sheetData>
    <row r="1" spans="10:22" x14ac:dyDescent="0.25">
      <c r="J1" s="14" t="s">
        <v>488</v>
      </c>
      <c r="K1" s="80" t="s">
        <v>1463</v>
      </c>
    </row>
    <row r="2" spans="10:22" x14ac:dyDescent="0.25">
      <c r="J2" s="14" t="s">
        <v>489</v>
      </c>
      <c r="K2" s="80" t="s">
        <v>490</v>
      </c>
      <c r="P2" s="14" t="s">
        <v>490</v>
      </c>
      <c r="R2">
        <v>0</v>
      </c>
      <c r="S2" t="s">
        <v>491</v>
      </c>
    </row>
    <row r="3" spans="10:22" x14ac:dyDescent="0.25">
      <c r="J3" s="14" t="s">
        <v>492</v>
      </c>
      <c r="K3" s="80"/>
      <c r="P3" s="14" t="s">
        <v>493</v>
      </c>
      <c r="R3">
        <v>1</v>
      </c>
      <c r="S3" t="s">
        <v>494</v>
      </c>
    </row>
    <row r="4" spans="10:22" x14ac:dyDescent="0.25">
      <c r="J4" s="14" t="s">
        <v>495</v>
      </c>
      <c r="K4" s="80">
        <v>2</v>
      </c>
      <c r="P4" s="14" t="s">
        <v>496</v>
      </c>
    </row>
    <row r="5" spans="10:22" x14ac:dyDescent="0.25">
      <c r="J5" s="14" t="s">
        <v>497</v>
      </c>
      <c r="K5" s="80">
        <v>0.5</v>
      </c>
      <c r="T5" t="s">
        <v>498</v>
      </c>
      <c r="V5" t="s">
        <v>499</v>
      </c>
    </row>
    <row r="6" spans="10:22" x14ac:dyDescent="0.25">
      <c r="J6" s="14" t="s">
        <v>500</v>
      </c>
      <c r="K6" s="80">
        <v>0</v>
      </c>
      <c r="P6" s="14">
        <v>1</v>
      </c>
      <c r="Q6" t="s">
        <v>501</v>
      </c>
      <c r="T6" s="14" t="s">
        <v>473</v>
      </c>
      <c r="V6" s="14" t="s">
        <v>502</v>
      </c>
    </row>
    <row r="7" spans="10:22" x14ac:dyDescent="0.25">
      <c r="P7" s="14">
        <v>2</v>
      </c>
      <c r="Q7" t="s">
        <v>503</v>
      </c>
      <c r="T7" s="14" t="s">
        <v>504</v>
      </c>
      <c r="V7" s="14" t="s">
        <v>505</v>
      </c>
    </row>
    <row r="8" spans="10:22" x14ac:dyDescent="0.25">
      <c r="J8" s="14" t="s">
        <v>506</v>
      </c>
      <c r="K8" s="80">
        <v>1</v>
      </c>
      <c r="P8" s="14">
        <v>3</v>
      </c>
      <c r="Q8" t="s">
        <v>507</v>
      </c>
      <c r="T8" s="14" t="s">
        <v>472</v>
      </c>
      <c r="V8" s="14" t="s">
        <v>508</v>
      </c>
    </row>
    <row r="9" spans="10:22" x14ac:dyDescent="0.25">
      <c r="J9" s="14" t="s">
        <v>509</v>
      </c>
      <c r="K9" s="80" t="s">
        <v>524</v>
      </c>
      <c r="P9" s="14">
        <v>4</v>
      </c>
      <c r="Q9" t="s">
        <v>510</v>
      </c>
      <c r="T9" s="14" t="s">
        <v>511</v>
      </c>
      <c r="V9" s="14" t="s">
        <v>512</v>
      </c>
    </row>
    <row r="10" spans="10:22" x14ac:dyDescent="0.25">
      <c r="J10" s="14" t="s">
        <v>513</v>
      </c>
      <c r="K10" s="173">
        <f>IF(K9="HM",1,IF(K9="M1",1,IF(K9="M2",1,0)))</f>
        <v>1</v>
      </c>
      <c r="P10" s="14">
        <v>5</v>
      </c>
      <c r="Q10" t="s">
        <v>514</v>
      </c>
      <c r="T10" s="14" t="s">
        <v>515</v>
      </c>
      <c r="V10" s="14" t="s">
        <v>516</v>
      </c>
    </row>
    <row r="11" spans="10:22" x14ac:dyDescent="0.25">
      <c r="J11" s="14" t="s">
        <v>517</v>
      </c>
      <c r="K11" s="173">
        <f>IF(K9=0,0,1)</f>
        <v>1</v>
      </c>
      <c r="P11" s="14"/>
      <c r="T11" s="14" t="s">
        <v>518</v>
      </c>
      <c r="V11" s="14" t="s">
        <v>519</v>
      </c>
    </row>
    <row r="12" spans="10:22" x14ac:dyDescent="0.25">
      <c r="J12" s="14" t="s">
        <v>520</v>
      </c>
      <c r="K12" s="80" t="s">
        <v>511</v>
      </c>
      <c r="P12" s="14"/>
      <c r="V12" s="14" t="s">
        <v>521</v>
      </c>
    </row>
    <row r="13" spans="10:22" x14ac:dyDescent="0.25">
      <c r="J13" s="14" t="s">
        <v>499</v>
      </c>
      <c r="K13" s="80" t="s">
        <v>521</v>
      </c>
      <c r="P13" s="14" t="s">
        <v>522</v>
      </c>
      <c r="Q13" t="s">
        <v>523</v>
      </c>
    </row>
    <row r="14" spans="10:22" x14ac:dyDescent="0.25">
      <c r="P14" s="14" t="s">
        <v>524</v>
      </c>
      <c r="Q14" t="s">
        <v>525</v>
      </c>
    </row>
    <row r="15" spans="10:22" x14ac:dyDescent="0.25">
      <c r="J15" s="14" t="s">
        <v>526</v>
      </c>
      <c r="K15"/>
      <c r="P15" s="14" t="s">
        <v>527</v>
      </c>
      <c r="Q15" t="s">
        <v>528</v>
      </c>
    </row>
    <row r="16" spans="10:22" x14ac:dyDescent="0.25">
      <c r="J16" s="32" t="s">
        <v>529</v>
      </c>
      <c r="K16" s="80">
        <v>100</v>
      </c>
      <c r="P16" s="14" t="s">
        <v>530</v>
      </c>
      <c r="Q16" t="s">
        <v>531</v>
      </c>
    </row>
    <row r="17" spans="10:29" x14ac:dyDescent="0.25">
      <c r="J17" s="14" t="s">
        <v>532</v>
      </c>
      <c r="K17" s="80">
        <v>1</v>
      </c>
      <c r="P17" s="14" t="s">
        <v>533</v>
      </c>
      <c r="Q17" t="s">
        <v>534</v>
      </c>
    </row>
    <row r="18" spans="10:29" x14ac:dyDescent="0.25">
      <c r="J18" s="14" t="s">
        <v>535</v>
      </c>
      <c r="K18" s="80">
        <v>0</v>
      </c>
      <c r="P18" s="14">
        <v>0</v>
      </c>
      <c r="Q18" t="s">
        <v>536</v>
      </c>
    </row>
    <row r="19" spans="10:29" x14ac:dyDescent="0.25">
      <c r="J19" s="14" t="s">
        <v>537</v>
      </c>
      <c r="K19" s="80">
        <v>0</v>
      </c>
    </row>
    <row r="20" spans="10:29" x14ac:dyDescent="0.25">
      <c r="J20" s="14" t="s">
        <v>538</v>
      </c>
      <c r="K20" s="80"/>
    </row>
    <row r="21" spans="10:29" x14ac:dyDescent="0.25">
      <c r="J21" s="14" t="s">
        <v>539</v>
      </c>
      <c r="K21" s="80"/>
    </row>
    <row r="22" spans="10:29" x14ac:dyDescent="0.25">
      <c r="S22" s="2" t="s">
        <v>540</v>
      </c>
      <c r="T22" s="2"/>
      <c r="U22" s="2"/>
    </row>
    <row r="23" spans="10:29" x14ac:dyDescent="0.25">
      <c r="T23" s="171" t="s">
        <v>541</v>
      </c>
      <c r="U23" s="171" t="s">
        <v>52</v>
      </c>
      <c r="V23" s="171" t="s">
        <v>542</v>
      </c>
      <c r="W23" s="171" t="s">
        <v>543</v>
      </c>
      <c r="X23" s="171" t="s">
        <v>544</v>
      </c>
      <c r="Y23" s="171" t="s">
        <v>545</v>
      </c>
      <c r="Z23" s="171" t="s">
        <v>546</v>
      </c>
      <c r="AA23" s="171" t="s">
        <v>547</v>
      </c>
      <c r="AB23" s="171" t="s">
        <v>548</v>
      </c>
      <c r="AC23" s="171" t="s">
        <v>549</v>
      </c>
    </row>
    <row r="24" spans="10:29" x14ac:dyDescent="0.25">
      <c r="S24" s="173">
        <v>1</v>
      </c>
      <c r="T24" s="173">
        <f>Alim_Surf!D34</f>
        <v>6</v>
      </c>
      <c r="U24" s="173">
        <f>Alim_Surf!E34</f>
        <v>1</v>
      </c>
      <c r="V24" s="173" t="str">
        <f>IF(T24=0,0,VLOOKUP(T24,[1]Cult!$A$7:$H$76,8))</f>
        <v>ME</v>
      </c>
      <c r="W24" s="173">
        <f>IF(V24="ME",U24,0)</f>
        <v>1</v>
      </c>
      <c r="X24" s="173">
        <f>IF($V24="MG",$U24,0)</f>
        <v>0</v>
      </c>
      <c r="Y24" s="173">
        <f>IF($V24="CR",$U24,0)</f>
        <v>0</v>
      </c>
      <c r="Z24" s="173">
        <f>IF($V24="OP",$U24,0)</f>
        <v>0</v>
      </c>
      <c r="AA24" s="173">
        <f>IF($V24="SJ",$U24,0)</f>
        <v>0</v>
      </c>
      <c r="AB24" s="173">
        <f>IF($V24="FL",$U24,0)</f>
        <v>0</v>
      </c>
      <c r="AC24" s="173">
        <f>IF($V24="AU",$U24,0)</f>
        <v>0</v>
      </c>
    </row>
    <row r="25" spans="10:29" x14ac:dyDescent="0.25">
      <c r="K25"/>
      <c r="S25" s="173">
        <v>2</v>
      </c>
      <c r="T25" s="173">
        <f>Alim_Surf!D35</f>
        <v>0</v>
      </c>
      <c r="U25" s="173">
        <f>Alim_Surf!E35</f>
        <v>0</v>
      </c>
      <c r="V25" s="173">
        <f>IF(T25=0,0,VLOOKUP(T25,[1]Cult!$A$7:$H$76,8))</f>
        <v>0</v>
      </c>
      <c r="W25" s="173">
        <f t="shared" ref="W25:W33" si="0">IF(V25="ME",U25,0)</f>
        <v>0</v>
      </c>
      <c r="X25" s="173">
        <f t="shared" ref="X25:X33" si="1">IF(V25="MG",U25,0)</f>
        <v>0</v>
      </c>
      <c r="Y25" s="173">
        <f t="shared" ref="Y25:Y33" si="2">IF($V25="CR",$U25,0)</f>
        <v>0</v>
      </c>
      <c r="Z25" s="173">
        <f t="shared" ref="Z25:Z33" si="3">IF($V25="OP",$U25,0)</f>
        <v>0</v>
      </c>
      <c r="AA25" s="173">
        <f t="shared" ref="AA25:AA33" si="4">IF($V25="SJ",$U25,0)</f>
        <v>0</v>
      </c>
      <c r="AB25" s="173">
        <f t="shared" ref="AB25:AB33" si="5">IF($V25="FL",$U25,0)</f>
        <v>0</v>
      </c>
      <c r="AC25" s="173">
        <f t="shared" ref="AC25:AC33" si="6">IF($V25="AU",$U25,0)</f>
        <v>0</v>
      </c>
    </row>
    <row r="26" spans="10:29" x14ac:dyDescent="0.25">
      <c r="K26"/>
      <c r="S26" s="173">
        <v>3</v>
      </c>
      <c r="T26" s="173">
        <f>Alim_Surf!D36</f>
        <v>0</v>
      </c>
      <c r="U26" s="173">
        <f>Alim_Surf!E36</f>
        <v>0</v>
      </c>
      <c r="V26" s="173">
        <f>IF(T26=0,0,VLOOKUP(T26,[1]Cult!$A$7:$H$76,8))</f>
        <v>0</v>
      </c>
      <c r="W26" s="173">
        <f t="shared" si="0"/>
        <v>0</v>
      </c>
      <c r="X26" s="173">
        <f t="shared" si="1"/>
        <v>0</v>
      </c>
      <c r="Y26" s="173">
        <f t="shared" si="2"/>
        <v>0</v>
      </c>
      <c r="Z26" s="173">
        <f t="shared" si="3"/>
        <v>0</v>
      </c>
      <c r="AA26" s="173">
        <f t="shared" si="4"/>
        <v>0</v>
      </c>
      <c r="AB26" s="173">
        <f t="shared" si="5"/>
        <v>0</v>
      </c>
      <c r="AC26" s="173">
        <f t="shared" si="6"/>
        <v>0</v>
      </c>
    </row>
    <row r="27" spans="10:29" x14ac:dyDescent="0.25">
      <c r="K27"/>
      <c r="M27" t="s">
        <v>550</v>
      </c>
      <c r="S27" s="173">
        <v>4</v>
      </c>
      <c r="T27" s="173">
        <f>Alim_Surf!D37</f>
        <v>0</v>
      </c>
      <c r="U27" s="173">
        <f>Alim_Surf!E37</f>
        <v>0</v>
      </c>
      <c r="V27" s="173">
        <f>IF(T27=0,0,VLOOKUP(T27,[1]Cult!$A$7:$H$76,8))</f>
        <v>0</v>
      </c>
      <c r="W27" s="173">
        <f t="shared" si="0"/>
        <v>0</v>
      </c>
      <c r="X27" s="173">
        <f t="shared" si="1"/>
        <v>0</v>
      </c>
      <c r="Y27" s="173">
        <f t="shared" si="2"/>
        <v>0</v>
      </c>
      <c r="Z27" s="173">
        <f t="shared" si="3"/>
        <v>0</v>
      </c>
      <c r="AA27" s="173">
        <f t="shared" si="4"/>
        <v>0</v>
      </c>
      <c r="AB27" s="173">
        <f t="shared" si="5"/>
        <v>0</v>
      </c>
      <c r="AC27" s="173">
        <f t="shared" si="6"/>
        <v>0</v>
      </c>
    </row>
    <row r="28" spans="10:29" x14ac:dyDescent="0.25">
      <c r="J28" s="14" t="s">
        <v>551</v>
      </c>
      <c r="K28" s="80">
        <v>23.5</v>
      </c>
      <c r="L28" t="s">
        <v>52</v>
      </c>
      <c r="M28" s="30">
        <f>U228</f>
        <v>19.3</v>
      </c>
      <c r="S28" s="173">
        <v>5</v>
      </c>
      <c r="T28" s="173">
        <f>Alim_Surf!D38</f>
        <v>0</v>
      </c>
      <c r="U28" s="173">
        <f>Alim_Surf!E38</f>
        <v>0</v>
      </c>
      <c r="V28" s="173">
        <f>IF(T28=0,0,VLOOKUP(T28,[1]Cult!$A$7:$H$76,8))</f>
        <v>0</v>
      </c>
      <c r="W28" s="173">
        <f t="shared" si="0"/>
        <v>0</v>
      </c>
      <c r="X28" s="173">
        <f t="shared" si="1"/>
        <v>0</v>
      </c>
      <c r="Y28" s="173">
        <f t="shared" si="2"/>
        <v>0</v>
      </c>
      <c r="Z28" s="173">
        <f t="shared" si="3"/>
        <v>0</v>
      </c>
      <c r="AA28" s="173">
        <f t="shared" si="4"/>
        <v>0</v>
      </c>
      <c r="AB28" s="173">
        <f t="shared" si="5"/>
        <v>0</v>
      </c>
      <c r="AC28" s="173">
        <f t="shared" si="6"/>
        <v>0</v>
      </c>
    </row>
    <row r="29" spans="10:29" x14ac:dyDescent="0.25">
      <c r="J29" s="14" t="s">
        <v>552</v>
      </c>
      <c r="K29" s="80">
        <v>16</v>
      </c>
      <c r="L29" t="s">
        <v>52</v>
      </c>
      <c r="M29" s="30">
        <f>V228</f>
        <v>16</v>
      </c>
      <c r="S29" s="173">
        <v>6</v>
      </c>
      <c r="T29" s="173">
        <f>Alim_Surf!D39</f>
        <v>0</v>
      </c>
      <c r="U29" s="173">
        <f>Alim_Surf!E39</f>
        <v>0</v>
      </c>
      <c r="V29" s="173">
        <f>IF(T29=0,0,VLOOKUP(T29,[1]Cult!$A$7:$H$76,8))</f>
        <v>0</v>
      </c>
      <c r="W29" s="173">
        <f t="shared" si="0"/>
        <v>0</v>
      </c>
      <c r="X29" s="173">
        <f t="shared" si="1"/>
        <v>0</v>
      </c>
      <c r="Y29" s="173">
        <f t="shared" si="2"/>
        <v>0</v>
      </c>
      <c r="Z29" s="173">
        <f t="shared" si="3"/>
        <v>0</v>
      </c>
      <c r="AA29" s="173">
        <f t="shared" si="4"/>
        <v>0</v>
      </c>
      <c r="AB29" s="173">
        <f t="shared" si="5"/>
        <v>0</v>
      </c>
      <c r="AC29" s="173">
        <f t="shared" si="6"/>
        <v>0</v>
      </c>
    </row>
    <row r="30" spans="10:29" x14ac:dyDescent="0.25">
      <c r="J30" s="14" t="s">
        <v>553</v>
      </c>
      <c r="K30" s="80">
        <v>0</v>
      </c>
      <c r="L30" t="s">
        <v>52</v>
      </c>
      <c r="M30" s="30">
        <f>W228</f>
        <v>0</v>
      </c>
      <c r="S30" s="173">
        <v>7</v>
      </c>
      <c r="T30" s="173">
        <f>Alim_Surf!D40</f>
        <v>0</v>
      </c>
      <c r="U30" s="173">
        <f>Alim_Surf!E40</f>
        <v>0</v>
      </c>
      <c r="V30" s="173">
        <f>IF(T30=0,0,VLOOKUP(T30,[1]Cult!$A$7:$H$76,8))</f>
        <v>0</v>
      </c>
      <c r="W30" s="173">
        <f t="shared" si="0"/>
        <v>0</v>
      </c>
      <c r="X30" s="173">
        <f t="shared" si="1"/>
        <v>0</v>
      </c>
      <c r="Y30" s="173">
        <f t="shared" si="2"/>
        <v>0</v>
      </c>
      <c r="Z30" s="173">
        <f t="shared" si="3"/>
        <v>0</v>
      </c>
      <c r="AA30" s="173">
        <f t="shared" si="4"/>
        <v>0</v>
      </c>
      <c r="AB30" s="173">
        <f t="shared" si="5"/>
        <v>0</v>
      </c>
      <c r="AC30" s="173">
        <f t="shared" si="6"/>
        <v>0</v>
      </c>
    </row>
    <row r="31" spans="10:29" x14ac:dyDescent="0.25">
      <c r="J31" s="14" t="s">
        <v>554</v>
      </c>
      <c r="K31" s="80">
        <v>10</v>
      </c>
      <c r="L31" t="s">
        <v>453</v>
      </c>
      <c r="S31" s="173">
        <v>8</v>
      </c>
      <c r="T31" s="173">
        <f>Alim_Surf!D41</f>
        <v>0</v>
      </c>
      <c r="U31" s="173">
        <f>Alim_Surf!E41</f>
        <v>0</v>
      </c>
      <c r="V31" s="173">
        <f>IF(T31=0,0,VLOOKUP(T31,[1]Cult!$A$7:$H$76,8))</f>
        <v>0</v>
      </c>
      <c r="W31" s="173">
        <f t="shared" si="0"/>
        <v>0</v>
      </c>
      <c r="X31" s="173">
        <f t="shared" si="1"/>
        <v>0</v>
      </c>
      <c r="Y31" s="173">
        <f t="shared" si="2"/>
        <v>0</v>
      </c>
      <c r="Z31" s="173">
        <f t="shared" si="3"/>
        <v>0</v>
      </c>
      <c r="AA31" s="173">
        <f t="shared" si="4"/>
        <v>0</v>
      </c>
      <c r="AB31" s="173">
        <f t="shared" si="5"/>
        <v>0</v>
      </c>
      <c r="AC31" s="173">
        <f t="shared" si="6"/>
        <v>0</v>
      </c>
    </row>
    <row r="32" spans="10:29" x14ac:dyDescent="0.25">
      <c r="J32" s="14" t="s">
        <v>555</v>
      </c>
      <c r="K32" s="173">
        <f>$AB$34</f>
        <v>0</v>
      </c>
      <c r="M32" t="s">
        <v>556</v>
      </c>
      <c r="S32" s="173">
        <v>9</v>
      </c>
      <c r="T32" s="173">
        <f>Alim_Surf!D42</f>
        <v>0</v>
      </c>
      <c r="U32" s="173">
        <f>Alim_Surf!E42</f>
        <v>0</v>
      </c>
      <c r="V32" s="173">
        <f>IF(T32=0,0,VLOOKUP(T32,[1]Cult!$A$7:$H$76,8))</f>
        <v>0</v>
      </c>
      <c r="W32" s="173">
        <f t="shared" si="0"/>
        <v>0</v>
      </c>
      <c r="X32" s="173">
        <f t="shared" si="1"/>
        <v>0</v>
      </c>
      <c r="Y32" s="173">
        <f t="shared" si="2"/>
        <v>0</v>
      </c>
      <c r="Z32" s="173">
        <f t="shared" si="3"/>
        <v>0</v>
      </c>
      <c r="AA32" s="173">
        <f t="shared" si="4"/>
        <v>0</v>
      </c>
      <c r="AB32" s="173">
        <f t="shared" si="5"/>
        <v>0</v>
      </c>
      <c r="AC32" s="173">
        <f t="shared" si="6"/>
        <v>0</v>
      </c>
    </row>
    <row r="33" spans="10:29" x14ac:dyDescent="0.25">
      <c r="J33" s="14" t="s">
        <v>557</v>
      </c>
      <c r="K33" s="173">
        <f>SUM($K$34:$K$39)</f>
        <v>1</v>
      </c>
      <c r="S33" s="173">
        <v>10</v>
      </c>
      <c r="T33" s="173">
        <f>Alim_Surf!D43</f>
        <v>0</v>
      </c>
      <c r="U33" s="173">
        <f>Alim_Surf!E43</f>
        <v>0</v>
      </c>
      <c r="V33" s="173">
        <f>IF(T33=0,0,VLOOKUP(T33,[1]Cult!$A$7:$H$76,8))</f>
        <v>0</v>
      </c>
      <c r="W33" s="173">
        <f t="shared" si="0"/>
        <v>0</v>
      </c>
      <c r="X33" s="173">
        <f t="shared" si="1"/>
        <v>0</v>
      </c>
      <c r="Y33" s="173">
        <f t="shared" si="2"/>
        <v>0</v>
      </c>
      <c r="Z33" s="173">
        <f t="shared" si="3"/>
        <v>0</v>
      </c>
      <c r="AA33" s="173">
        <f t="shared" si="4"/>
        <v>0</v>
      </c>
      <c r="AB33" s="173">
        <f t="shared" si="5"/>
        <v>0</v>
      </c>
      <c r="AC33" s="173">
        <f t="shared" si="6"/>
        <v>0</v>
      </c>
    </row>
    <row r="34" spans="10:29" x14ac:dyDescent="0.25">
      <c r="J34" s="14" t="s">
        <v>306</v>
      </c>
      <c r="K34" s="173">
        <f>$W$34</f>
        <v>1</v>
      </c>
      <c r="S34" s="62" t="s">
        <v>13</v>
      </c>
      <c r="T34" s="46"/>
      <c r="U34" s="62">
        <f>SUM(U24:U33)</f>
        <v>1</v>
      </c>
      <c r="V34" s="62"/>
      <c r="W34" s="62">
        <f t="shared" ref="W34:AA34" si="7">SUM(W24:W33)</f>
        <v>1</v>
      </c>
      <c r="X34" s="62">
        <f t="shared" si="7"/>
        <v>0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0</v>
      </c>
      <c r="AC34" s="62">
        <f>SUM(AC24:AC33)</f>
        <v>0</v>
      </c>
    </row>
    <row r="35" spans="10:29" x14ac:dyDescent="0.25">
      <c r="J35" s="14" t="s">
        <v>558</v>
      </c>
      <c r="K35" s="173">
        <f>$X$34</f>
        <v>0</v>
      </c>
    </row>
    <row r="36" spans="10:29" x14ac:dyDescent="0.25">
      <c r="J36" s="14" t="s">
        <v>559</v>
      </c>
      <c r="K36" s="173">
        <f>$Y$34</f>
        <v>0</v>
      </c>
    </row>
    <row r="37" spans="10:29" x14ac:dyDescent="0.25">
      <c r="J37" s="14" t="s">
        <v>560</v>
      </c>
      <c r="K37" s="173">
        <f>$Z$34</f>
        <v>0</v>
      </c>
    </row>
    <row r="38" spans="10:29" x14ac:dyDescent="0.25">
      <c r="J38" s="14" t="s">
        <v>561</v>
      </c>
      <c r="K38" s="173">
        <f>$AA$34</f>
        <v>0</v>
      </c>
    </row>
    <row r="39" spans="10:29" x14ac:dyDescent="0.25">
      <c r="J39" s="14" t="s">
        <v>562</v>
      </c>
      <c r="K39" s="173">
        <f>$AC$34</f>
        <v>0</v>
      </c>
    </row>
    <row r="40" spans="10:29" x14ac:dyDescent="0.25">
      <c r="J40" s="14" t="s">
        <v>563</v>
      </c>
      <c r="K40" s="173">
        <f>AC228</f>
        <v>5</v>
      </c>
    </row>
    <row r="41" spans="10:29" x14ac:dyDescent="0.25">
      <c r="J41" s="14" t="s">
        <v>564</v>
      </c>
      <c r="K41" s="173">
        <f>AD228</f>
        <v>23</v>
      </c>
    </row>
    <row r="42" spans="10:29" x14ac:dyDescent="0.25">
      <c r="J42" s="14" t="s">
        <v>565</v>
      </c>
      <c r="K42" s="173">
        <f>AA228</f>
        <v>0</v>
      </c>
    </row>
    <row r="43" spans="10:29" x14ac:dyDescent="0.25">
      <c r="J43" s="14" t="s">
        <v>566</v>
      </c>
      <c r="K43" s="173">
        <f>M28*K31/100</f>
        <v>1.93</v>
      </c>
    </row>
    <row r="45" spans="10:29" x14ac:dyDescent="0.25">
      <c r="K45"/>
    </row>
    <row r="46" spans="10:29" x14ac:dyDescent="0.25">
      <c r="K46"/>
    </row>
    <row r="47" spans="10:29" x14ac:dyDescent="0.25">
      <c r="K47"/>
    </row>
    <row r="48" spans="10:29" x14ac:dyDescent="0.25">
      <c r="J48" s="14" t="s">
        <v>1389</v>
      </c>
      <c r="K48" s="173">
        <f>K33+K40+K41</f>
        <v>29</v>
      </c>
    </row>
    <row r="49" spans="10:16" x14ac:dyDescent="0.25">
      <c r="K49"/>
      <c r="M49" t="s">
        <v>1381</v>
      </c>
    </row>
    <row r="50" spans="10:16" x14ac:dyDescent="0.25">
      <c r="J50"/>
      <c r="K50"/>
      <c r="M50">
        <v>0</v>
      </c>
      <c r="N50" t="s">
        <v>491</v>
      </c>
    </row>
    <row r="51" spans="10:16" x14ac:dyDescent="0.25">
      <c r="J51" s="14" t="s">
        <v>1380</v>
      </c>
      <c r="K51" s="80">
        <v>0</v>
      </c>
      <c r="M51">
        <v>1</v>
      </c>
      <c r="N51" t="s">
        <v>494</v>
      </c>
    </row>
    <row r="52" spans="10:16" x14ac:dyDescent="0.25">
      <c r="J52" s="40" t="s">
        <v>567</v>
      </c>
      <c r="K52"/>
    </row>
    <row r="53" spans="10:16" x14ac:dyDescent="0.25">
      <c r="J53" s="14" t="s">
        <v>568</v>
      </c>
      <c r="K53" s="173" t="str">
        <f>Troupeau!B3</f>
        <v>OL</v>
      </c>
    </row>
    <row r="54" spans="10:16" x14ac:dyDescent="0.25">
      <c r="J54" s="14" t="s">
        <v>569</v>
      </c>
      <c r="K54" s="80">
        <v>3.5</v>
      </c>
    </row>
    <row r="55" spans="10:16" x14ac:dyDescent="0.25">
      <c r="J55" s="14" t="s">
        <v>570</v>
      </c>
      <c r="K55" s="80">
        <v>36</v>
      </c>
    </row>
    <row r="56" spans="10:16" x14ac:dyDescent="0.25">
      <c r="J56" s="14" t="s">
        <v>571</v>
      </c>
      <c r="K56" s="174">
        <v>5</v>
      </c>
      <c r="N56" t="s">
        <v>572</v>
      </c>
      <c r="P56" t="s">
        <v>573</v>
      </c>
    </row>
    <row r="57" spans="10:16" x14ac:dyDescent="0.25">
      <c r="J57" s="14" t="s">
        <v>574</v>
      </c>
      <c r="K57" s="288" t="s">
        <v>580</v>
      </c>
      <c r="N57" t="s">
        <v>575</v>
      </c>
      <c r="P57" t="s">
        <v>576</v>
      </c>
    </row>
    <row r="58" spans="10:16" x14ac:dyDescent="0.25">
      <c r="J58" s="14" t="s">
        <v>577</v>
      </c>
      <c r="K58" s="80">
        <v>2</v>
      </c>
      <c r="P58" t="s">
        <v>578</v>
      </c>
    </row>
    <row r="59" spans="10:16" x14ac:dyDescent="0.25">
      <c r="J59" s="14" t="s">
        <v>579</v>
      </c>
      <c r="K59" s="80">
        <v>1</v>
      </c>
      <c r="P59" t="s">
        <v>580</v>
      </c>
    </row>
    <row r="60" spans="10:16" x14ac:dyDescent="0.25">
      <c r="K60" s="173" t="str">
        <f>Troupeau!C3</f>
        <v>BV</v>
      </c>
      <c r="P60" t="s">
        <v>581</v>
      </c>
    </row>
    <row r="61" spans="10:16" x14ac:dyDescent="0.25">
      <c r="J61" s="14" t="s">
        <v>582</v>
      </c>
      <c r="K61" s="174"/>
      <c r="P61" t="s">
        <v>583</v>
      </c>
    </row>
    <row r="62" spans="10:16" x14ac:dyDescent="0.25">
      <c r="J62" s="14" t="s">
        <v>584</v>
      </c>
      <c r="K62" s="80"/>
    </row>
    <row r="63" spans="10:16" x14ac:dyDescent="0.25">
      <c r="J63"/>
      <c r="K63"/>
    </row>
    <row r="64" spans="10:16" x14ac:dyDescent="0.25">
      <c r="J64" s="14" t="s">
        <v>585</v>
      </c>
      <c r="K64" s="288" t="s">
        <v>573</v>
      </c>
      <c r="L64" t="s">
        <v>1440</v>
      </c>
    </row>
    <row r="65" spans="10:22" x14ac:dyDescent="0.25">
      <c r="K65" s="173">
        <f>Troupeau!D3</f>
        <v>0</v>
      </c>
    </row>
    <row r="66" spans="10:22" x14ac:dyDescent="0.25">
      <c r="J66" s="14" t="s">
        <v>586</v>
      </c>
      <c r="K66" s="80"/>
    </row>
    <row r="67" spans="10:22" x14ac:dyDescent="0.25">
      <c r="J67" s="14" t="s">
        <v>587</v>
      </c>
      <c r="K67" s="80"/>
    </row>
    <row r="68" spans="10:22" x14ac:dyDescent="0.25">
      <c r="J68"/>
      <c r="K68"/>
    </row>
    <row r="69" spans="10:22" x14ac:dyDescent="0.25">
      <c r="J69" s="14" t="s">
        <v>588</v>
      </c>
      <c r="K69" s="80"/>
    </row>
    <row r="70" spans="10:22" x14ac:dyDescent="0.25">
      <c r="J70" s="14" t="s">
        <v>589</v>
      </c>
      <c r="K70" s="173">
        <f>IF(K53="OL",0,K54*K55)</f>
        <v>0</v>
      </c>
    </row>
    <row r="71" spans="10:22" x14ac:dyDescent="0.25">
      <c r="J71" s="14" t="s">
        <v>590</v>
      </c>
      <c r="K71" s="173">
        <f>IF(K60="OL",0,K61*K62)</f>
        <v>0</v>
      </c>
    </row>
    <row r="72" spans="10:22" x14ac:dyDescent="0.25">
      <c r="J72" s="14" t="s">
        <v>591</v>
      </c>
      <c r="K72" s="173">
        <f>IF(K65="OL",0,K66*K67)</f>
        <v>0</v>
      </c>
    </row>
    <row r="73" spans="10:22" x14ac:dyDescent="0.25">
      <c r="J73" s="14" t="s">
        <v>592</v>
      </c>
      <c r="K73" s="173">
        <f>SUM(K70:K72)</f>
        <v>0</v>
      </c>
    </row>
    <row r="74" spans="10:22" x14ac:dyDescent="0.25">
      <c r="J74" s="40" t="s">
        <v>593</v>
      </c>
      <c r="K74"/>
    </row>
    <row r="75" spans="10:22" x14ac:dyDescent="0.25">
      <c r="J75" s="14" t="s">
        <v>568</v>
      </c>
      <c r="K75" s="173" t="str">
        <f>Troupeau!B3</f>
        <v>OL</v>
      </c>
      <c r="L75" t="s">
        <v>594</v>
      </c>
      <c r="R75">
        <v>0</v>
      </c>
      <c r="S75" t="s">
        <v>595</v>
      </c>
      <c r="V75" s="14" t="s">
        <v>596</v>
      </c>
    </row>
    <row r="76" spans="10:22" x14ac:dyDescent="0.25">
      <c r="J76" s="14" t="s">
        <v>597</v>
      </c>
      <c r="K76" s="80"/>
      <c r="R76">
        <v>1</v>
      </c>
      <c r="U76" s="295">
        <v>1</v>
      </c>
      <c r="V76" s="295" t="s">
        <v>598</v>
      </c>
    </row>
    <row r="77" spans="10:22" x14ac:dyDescent="0.25">
      <c r="J77" s="14" t="s">
        <v>599</v>
      </c>
      <c r="K77" s="80"/>
      <c r="R77">
        <v>2</v>
      </c>
      <c r="U77" s="295">
        <v>2</v>
      </c>
      <c r="V77" s="295" t="s">
        <v>600</v>
      </c>
    </row>
    <row r="78" spans="10:22" x14ac:dyDescent="0.25">
      <c r="J78" s="14" t="s">
        <v>601</v>
      </c>
      <c r="K78" s="173" t="str">
        <f>Troupeau!C3</f>
        <v>BV</v>
      </c>
      <c r="L78" t="s">
        <v>602</v>
      </c>
      <c r="R78">
        <v>3</v>
      </c>
    </row>
    <row r="79" spans="10:22" x14ac:dyDescent="0.25">
      <c r="J79" s="14" t="s">
        <v>603</v>
      </c>
      <c r="K79" s="80"/>
      <c r="R79">
        <v>4</v>
      </c>
    </row>
    <row r="80" spans="10:22" x14ac:dyDescent="0.25">
      <c r="J80" s="14" t="s">
        <v>604</v>
      </c>
      <c r="K80" s="80"/>
      <c r="R80">
        <v>5</v>
      </c>
    </row>
    <row r="81" spans="9:21" x14ac:dyDescent="0.25">
      <c r="K81" s="173">
        <f>Troupeau!D3</f>
        <v>0</v>
      </c>
    </row>
    <row r="82" spans="9:21" x14ac:dyDescent="0.25">
      <c r="J82" s="14" t="s">
        <v>605</v>
      </c>
      <c r="K82" s="80"/>
      <c r="Q82" s="43" t="s">
        <v>606</v>
      </c>
      <c r="U82" s="43" t="s">
        <v>607</v>
      </c>
    </row>
    <row r="83" spans="9:21" x14ac:dyDescent="0.25">
      <c r="J83" s="14" t="s">
        <v>608</v>
      </c>
      <c r="K83" s="80"/>
      <c r="P83">
        <v>1</v>
      </c>
      <c r="Q83" t="s">
        <v>609</v>
      </c>
      <c r="T83">
        <v>1</v>
      </c>
      <c r="U83" t="s">
        <v>610</v>
      </c>
    </row>
    <row r="84" spans="9:21" x14ac:dyDescent="0.25">
      <c r="J84" s="40" t="s">
        <v>596</v>
      </c>
      <c r="K84" s="175">
        <v>2</v>
      </c>
      <c r="L84" t="s">
        <v>611</v>
      </c>
      <c r="P84">
        <v>2</v>
      </c>
      <c r="Q84" t="s">
        <v>612</v>
      </c>
      <c r="T84">
        <v>2</v>
      </c>
      <c r="U84" t="s">
        <v>613</v>
      </c>
    </row>
    <row r="85" spans="9:21" x14ac:dyDescent="0.25">
      <c r="K85"/>
      <c r="Q85" s="43" t="s">
        <v>614</v>
      </c>
    </row>
    <row r="86" spans="9:21" x14ac:dyDescent="0.25">
      <c r="J86" s="40" t="s">
        <v>615</v>
      </c>
      <c r="P86">
        <v>1</v>
      </c>
      <c r="Q86" t="s">
        <v>616</v>
      </c>
      <c r="T86">
        <v>1</v>
      </c>
      <c r="U86" t="s">
        <v>617</v>
      </c>
    </row>
    <row r="87" spans="9:21" x14ac:dyDescent="0.25">
      <c r="J87" s="14" t="s">
        <v>618</v>
      </c>
      <c r="K87" s="80">
        <v>1</v>
      </c>
      <c r="P87">
        <v>2</v>
      </c>
      <c r="Q87" t="s">
        <v>619</v>
      </c>
      <c r="T87">
        <v>2</v>
      </c>
      <c r="U87" t="s">
        <v>620</v>
      </c>
    </row>
    <row r="88" spans="9:21" x14ac:dyDescent="0.25">
      <c r="J88" s="14" t="s">
        <v>606</v>
      </c>
      <c r="K88" s="80">
        <v>1</v>
      </c>
      <c r="L88" t="s">
        <v>1382</v>
      </c>
      <c r="P88">
        <v>3</v>
      </c>
      <c r="Q88" t="s">
        <v>621</v>
      </c>
      <c r="T88">
        <v>3</v>
      </c>
      <c r="U88" t="s">
        <v>622</v>
      </c>
    </row>
    <row r="89" spans="9:21" x14ac:dyDescent="0.25">
      <c r="J89" s="14" t="s">
        <v>1383</v>
      </c>
      <c r="K89" s="80">
        <v>1</v>
      </c>
      <c r="T89">
        <v>4</v>
      </c>
      <c r="U89" t="s">
        <v>624</v>
      </c>
    </row>
    <row r="90" spans="9:21" x14ac:dyDescent="0.25">
      <c r="J90" s="14" t="s">
        <v>623</v>
      </c>
      <c r="K90" s="80"/>
    </row>
    <row r="91" spans="9:21" x14ac:dyDescent="0.25">
      <c r="J91" s="14" t="s">
        <v>607</v>
      </c>
      <c r="K91" s="80"/>
    </row>
    <row r="92" spans="9:21" x14ac:dyDescent="0.25">
      <c r="J92" s="32"/>
      <c r="K92" s="276"/>
    </row>
    <row r="93" spans="9:21" x14ac:dyDescent="0.25">
      <c r="J93" s="14" t="s">
        <v>626</v>
      </c>
      <c r="K93" s="80"/>
    </row>
    <row r="94" spans="9:21" x14ac:dyDescent="0.25">
      <c r="J94" s="14" t="s">
        <v>627</v>
      </c>
      <c r="K94" s="80">
        <v>2</v>
      </c>
      <c r="L94" t="s">
        <v>628</v>
      </c>
    </row>
    <row r="95" spans="9:21" x14ac:dyDescent="0.25">
      <c r="J95" s="14" t="s">
        <v>629</v>
      </c>
      <c r="L95" t="s">
        <v>630</v>
      </c>
      <c r="Q95" t="s">
        <v>631</v>
      </c>
    </row>
    <row r="96" spans="9:21" x14ac:dyDescent="0.25">
      <c r="I96" t="s">
        <v>632</v>
      </c>
      <c r="J96" s="14" t="s">
        <v>226</v>
      </c>
      <c r="K96" s="80" t="s">
        <v>633</v>
      </c>
      <c r="L96" s="30" t="str">
        <f>CdTrp1!A15</f>
        <v>brebis</v>
      </c>
      <c r="Q96" t="s">
        <v>633</v>
      </c>
    </row>
    <row r="97" spans="9:17" x14ac:dyDescent="0.25">
      <c r="J97" s="14" t="s">
        <v>155</v>
      </c>
      <c r="K97" s="80" t="s">
        <v>633</v>
      </c>
      <c r="L97" s="30" t="str">
        <f>CdTrp1!A16</f>
        <v>vides</v>
      </c>
      <c r="Q97" t="s">
        <v>634</v>
      </c>
    </row>
    <row r="98" spans="9:17" x14ac:dyDescent="0.25">
      <c r="J98" s="14" t="s">
        <v>156</v>
      </c>
      <c r="K98" s="80" t="s">
        <v>633</v>
      </c>
      <c r="L98" s="30" t="str">
        <f>CdTrp1!A17</f>
        <v>agnelles</v>
      </c>
    </row>
    <row r="99" spans="9:17" x14ac:dyDescent="0.25">
      <c r="J99" s="14" t="s">
        <v>157</v>
      </c>
      <c r="K99" s="80" t="s">
        <v>633</v>
      </c>
      <c r="L99" s="30" t="str">
        <f>CdTrp1!A18</f>
        <v>beliers</v>
      </c>
    </row>
    <row r="100" spans="9:17" x14ac:dyDescent="0.25">
      <c r="J100" s="14" t="s">
        <v>158</v>
      </c>
      <c r="K100" s="80"/>
      <c r="L100" s="30" t="str">
        <f>CdTrp1!A19</f>
        <v>lot5</v>
      </c>
    </row>
    <row r="101" spans="9:17" x14ac:dyDescent="0.25">
      <c r="J101" s="14" t="s">
        <v>159</v>
      </c>
      <c r="K101" s="80"/>
      <c r="L101" s="30" t="str">
        <f>CdTrp1!A20</f>
        <v>lot6</v>
      </c>
    </row>
    <row r="102" spans="9:17" x14ac:dyDescent="0.25">
      <c r="J102" s="14" t="s">
        <v>160</v>
      </c>
      <c r="K102" s="80"/>
      <c r="L102" s="30" t="str">
        <f>CdTrp1!A21</f>
        <v>lot7</v>
      </c>
    </row>
    <row r="103" spans="9:17" x14ac:dyDescent="0.25">
      <c r="J103" s="14" t="s">
        <v>161</v>
      </c>
      <c r="K103" s="80"/>
      <c r="L103" s="30" t="str">
        <f>CdTrp1!A22</f>
        <v>lot8</v>
      </c>
    </row>
    <row r="104" spans="9:17" x14ac:dyDescent="0.25">
      <c r="J104" s="14" t="s">
        <v>162</v>
      </c>
      <c r="K104" s="80"/>
      <c r="L104" s="30" t="str">
        <f>CdTrp1!A23</f>
        <v>lot9</v>
      </c>
    </row>
    <row r="105" spans="9:17" x14ac:dyDescent="0.25">
      <c r="J105" s="14" t="s">
        <v>163</v>
      </c>
      <c r="K105" s="80"/>
      <c r="L105" s="30" t="str">
        <f>CdTrp1!A24</f>
        <v>lot10</v>
      </c>
    </row>
    <row r="106" spans="9:17" x14ac:dyDescent="0.25">
      <c r="I106" t="s">
        <v>635</v>
      </c>
      <c r="J106" s="14" t="s">
        <v>226</v>
      </c>
      <c r="K106" s="80" t="s">
        <v>633</v>
      </c>
      <c r="L106" s="30" t="str">
        <f>CdTrp2!A15</f>
        <v xml:space="preserve">vaches </v>
      </c>
    </row>
    <row r="107" spans="9:17" x14ac:dyDescent="0.25">
      <c r="J107" s="14" t="s">
        <v>155</v>
      </c>
      <c r="K107" s="80" t="s">
        <v>633</v>
      </c>
      <c r="L107" s="30" t="str">
        <f>CdTrp2!A16</f>
        <v>genisses -1an</v>
      </c>
    </row>
    <row r="108" spans="9:17" x14ac:dyDescent="0.25">
      <c r="J108" s="14" t="s">
        <v>156</v>
      </c>
      <c r="K108" s="80" t="s">
        <v>634</v>
      </c>
      <c r="L108" s="30" t="str">
        <f>CdTrp2!A17</f>
        <v>genisses +1an</v>
      </c>
    </row>
    <row r="109" spans="9:17" x14ac:dyDescent="0.25">
      <c r="J109" s="14" t="s">
        <v>157</v>
      </c>
      <c r="K109" s="80"/>
      <c r="L109" s="30" t="str">
        <f>CdTrp2!A18</f>
        <v>lot4</v>
      </c>
    </row>
    <row r="110" spans="9:17" x14ac:dyDescent="0.25">
      <c r="J110" s="14" t="s">
        <v>158</v>
      </c>
      <c r="K110" s="80"/>
      <c r="L110" s="30" t="str">
        <f>CdTrp2!A19</f>
        <v>lot5</v>
      </c>
    </row>
    <row r="111" spans="9:17" x14ac:dyDescent="0.25">
      <c r="J111" s="14" t="s">
        <v>159</v>
      </c>
      <c r="K111" s="80"/>
      <c r="L111" s="30" t="str">
        <f>CdTrp2!A20</f>
        <v>lot6</v>
      </c>
    </row>
    <row r="112" spans="9:17" x14ac:dyDescent="0.25">
      <c r="J112" s="14" t="s">
        <v>160</v>
      </c>
      <c r="K112" s="80"/>
      <c r="L112" s="30" t="str">
        <f>CdTrp2!A21</f>
        <v>lot7</v>
      </c>
    </row>
    <row r="113" spans="9:12" x14ac:dyDescent="0.25">
      <c r="J113" s="14" t="s">
        <v>161</v>
      </c>
      <c r="K113" s="80"/>
      <c r="L113" s="30" t="str">
        <f>CdTrp2!A22</f>
        <v>lot8</v>
      </c>
    </row>
    <row r="114" spans="9:12" x14ac:dyDescent="0.25">
      <c r="J114" s="14" t="s">
        <v>162</v>
      </c>
      <c r="K114" s="80"/>
      <c r="L114" s="30" t="str">
        <f>CdTrp2!A23</f>
        <v>lot9</v>
      </c>
    </row>
    <row r="115" spans="9:12" x14ac:dyDescent="0.25">
      <c r="J115" s="14" t="s">
        <v>163</v>
      </c>
      <c r="K115" s="80"/>
      <c r="L115" s="30" t="str">
        <f>CdTrp2!A24</f>
        <v>lot10</v>
      </c>
    </row>
    <row r="116" spans="9:12" x14ac:dyDescent="0.25">
      <c r="I116" t="s">
        <v>636</v>
      </c>
      <c r="J116" s="14" t="s">
        <v>226</v>
      </c>
      <c r="K116" s="80"/>
      <c r="L116" s="30" t="str">
        <f>CdTrp3!A15</f>
        <v>lot1</v>
      </c>
    </row>
    <row r="117" spans="9:12" x14ac:dyDescent="0.25">
      <c r="J117" s="14" t="s">
        <v>155</v>
      </c>
      <c r="K117" s="80"/>
      <c r="L117" s="30" t="str">
        <f>CdTrp3!A16</f>
        <v>lot2</v>
      </c>
    </row>
    <row r="118" spans="9:12" x14ac:dyDescent="0.25">
      <c r="J118" s="14" t="s">
        <v>156</v>
      </c>
      <c r="K118" s="80"/>
      <c r="L118" s="30" t="str">
        <f>CdTrp3!A17</f>
        <v>lot3</v>
      </c>
    </row>
    <row r="119" spans="9:12" x14ac:dyDescent="0.25">
      <c r="J119" s="14" t="s">
        <v>157</v>
      </c>
      <c r="K119" s="80"/>
      <c r="L119" s="30" t="str">
        <f>CdTrp3!A18</f>
        <v>lot4</v>
      </c>
    </row>
    <row r="120" spans="9:12" x14ac:dyDescent="0.25">
      <c r="J120" s="14" t="s">
        <v>158</v>
      </c>
      <c r="K120" s="80"/>
      <c r="L120" s="30" t="str">
        <f>CdTrp3!A19</f>
        <v>lot5</v>
      </c>
    </row>
    <row r="121" spans="9:12" x14ac:dyDescent="0.25">
      <c r="J121" s="14" t="s">
        <v>159</v>
      </c>
      <c r="K121" s="80"/>
      <c r="L121" s="30" t="str">
        <f>CdTrp3!A20</f>
        <v>lot6</v>
      </c>
    </row>
    <row r="122" spans="9:12" x14ac:dyDescent="0.25">
      <c r="J122" s="14" t="s">
        <v>160</v>
      </c>
      <c r="K122" s="80"/>
      <c r="L122" s="30" t="str">
        <f>CdTrp3!A21</f>
        <v>lot7</v>
      </c>
    </row>
    <row r="123" spans="9:12" x14ac:dyDescent="0.25">
      <c r="J123" s="14" t="s">
        <v>161</v>
      </c>
      <c r="K123" s="80"/>
      <c r="L123" s="30" t="str">
        <f>CdTrp3!A22</f>
        <v>lot8</v>
      </c>
    </row>
    <row r="124" spans="9:12" x14ac:dyDescent="0.25">
      <c r="J124" s="14" t="s">
        <v>162</v>
      </c>
      <c r="K124" s="80"/>
      <c r="L124" s="30" t="str">
        <f>CdTrp3!A23</f>
        <v>lot9</v>
      </c>
    </row>
    <row r="125" spans="9:12" x14ac:dyDescent="0.25">
      <c r="J125" s="14" t="s">
        <v>163</v>
      </c>
      <c r="K125" s="80"/>
      <c r="L125" s="30" t="str">
        <f>CdTrp3!A24</f>
        <v>lot10</v>
      </c>
    </row>
    <row r="127" spans="9:12" x14ac:dyDescent="0.25">
      <c r="J127" s="14" t="s">
        <v>637</v>
      </c>
      <c r="K127" s="80"/>
      <c r="L127" t="s">
        <v>1384</v>
      </c>
    </row>
    <row r="128" spans="9:12" x14ac:dyDescent="0.25">
      <c r="K128"/>
    </row>
    <row r="129" spans="10:15" x14ac:dyDescent="0.25">
      <c r="J129" s="14" t="s">
        <v>638</v>
      </c>
      <c r="K129" s="80">
        <v>1</v>
      </c>
      <c r="L129" t="s">
        <v>1385</v>
      </c>
      <c r="N129">
        <v>0</v>
      </c>
      <c r="O129" t="s">
        <v>639</v>
      </c>
    </row>
    <row r="130" spans="10:15" x14ac:dyDescent="0.25">
      <c r="J130"/>
      <c r="K130"/>
      <c r="N130">
        <v>1</v>
      </c>
      <c r="O130" t="s">
        <v>640</v>
      </c>
    </row>
    <row r="161" spans="17:41" x14ac:dyDescent="0.25">
      <c r="R161" s="2" t="s">
        <v>641</v>
      </c>
      <c r="X161" s="172"/>
      <c r="Y161" s="172"/>
      <c r="AL161" s="5"/>
    </row>
    <row r="162" spans="17:41" x14ac:dyDescent="0.25">
      <c r="R162" s="33" t="str">
        <f>Alim_Surf!Q5</f>
        <v>n°</v>
      </c>
      <c r="S162" s="33"/>
      <c r="T162" s="33"/>
      <c r="V162" s="171"/>
      <c r="W162" s="171"/>
      <c r="X162" s="172"/>
      <c r="Y162" s="172"/>
      <c r="AL162" s="5"/>
    </row>
    <row r="163" spans="17:41" x14ac:dyDescent="0.25">
      <c r="R163" s="33" t="str">
        <f>Alim_Surf!Q6</f>
        <v>MEP</v>
      </c>
      <c r="S163" s="33" t="s">
        <v>37</v>
      </c>
      <c r="T163" s="33" t="s">
        <v>642</v>
      </c>
      <c r="U163" t="s">
        <v>643</v>
      </c>
      <c r="V163" s="171" t="s">
        <v>644</v>
      </c>
      <c r="W163" s="171" t="s">
        <v>645</v>
      </c>
      <c r="X163" s="172" t="s">
        <v>646</v>
      </c>
      <c r="Y163" s="172" t="s">
        <v>647</v>
      </c>
      <c r="Z163" s="172" t="s">
        <v>648</v>
      </c>
      <c r="AA163" s="172" t="s">
        <v>649</v>
      </c>
      <c r="AB163" s="172" t="s">
        <v>650</v>
      </c>
      <c r="AC163" s="172" t="s">
        <v>651</v>
      </c>
      <c r="AD163" s="172" t="s">
        <v>652</v>
      </c>
      <c r="AE163" s="172" t="s">
        <v>653</v>
      </c>
      <c r="AF163" s="172" t="s">
        <v>654</v>
      </c>
      <c r="AG163" s="172" t="s">
        <v>655</v>
      </c>
      <c r="AH163" s="172" t="s">
        <v>656</v>
      </c>
      <c r="AI163" s="172" t="s">
        <v>657</v>
      </c>
      <c r="AJ163" s="172" t="s">
        <v>658</v>
      </c>
      <c r="AL163" s="5"/>
    </row>
    <row r="164" spans="17:41" x14ac:dyDescent="0.25">
      <c r="Q164">
        <v>1</v>
      </c>
      <c r="R164" s="173">
        <f>Alim_Surf!Q7</f>
        <v>266</v>
      </c>
      <c r="S164" s="173">
        <f>Alim_Surf!R7</f>
        <v>2.7</v>
      </c>
      <c r="T164" s="173">
        <f>VLOOKUP($R164,[1]MEP!$A$4:$M$300,13)</f>
        <v>0</v>
      </c>
      <c r="U164" s="173">
        <f>IF($T164&gt;0,$S164,0)</f>
        <v>0</v>
      </c>
      <c r="V164" s="173">
        <f>IF($T164&gt;1,$S164,0)</f>
        <v>0</v>
      </c>
      <c r="W164" s="173">
        <f>IF($T164&gt;2,$S164,0)</f>
        <v>0</v>
      </c>
      <c r="X164" s="173">
        <f>VLOOKUP(R164,[1]MEP!$A$4:$Q$300,14)</f>
        <v>0</v>
      </c>
      <c r="Y164" s="173">
        <f>VLOOKUP(R164,[1]MEP!$A$4:$R$300,15)</f>
        <v>0</v>
      </c>
      <c r="Z164" s="173">
        <f>VLOOKUP(R164,[1]MEP!$A$4:$R$300,16)</f>
        <v>0</v>
      </c>
      <c r="AA164" s="173">
        <f t="shared" ref="AA164:AA207" si="8">S164*X164</f>
        <v>0</v>
      </c>
      <c r="AB164" s="173">
        <f t="shared" ref="AB164:AB207" si="9">S164*Y164</f>
        <v>0</v>
      </c>
      <c r="AC164" s="173">
        <f>Z164*S164</f>
        <v>0</v>
      </c>
      <c r="AD164" s="173">
        <f>S164-AC164-AA164</f>
        <v>2.7</v>
      </c>
      <c r="AE164" s="173">
        <f>IF(T164=0,AC164,0)</f>
        <v>0</v>
      </c>
      <c r="AF164" s="173">
        <f>IF(T164=1,AC164,0)</f>
        <v>0</v>
      </c>
      <c r="AG164" s="173">
        <f>IF(T164&gt;1,AC164,0)</f>
        <v>0</v>
      </c>
      <c r="AH164" s="173">
        <f>IF(T164=0,AD164,0)</f>
        <v>2.7</v>
      </c>
      <c r="AI164" s="173">
        <f>IF(T164=1,AD164,0)</f>
        <v>0</v>
      </c>
      <c r="AJ164" s="173">
        <f>IF(T164&gt;1,AD164,0)</f>
        <v>0</v>
      </c>
      <c r="AL164" s="5"/>
      <c r="AO164" s="171" t="s">
        <v>52</v>
      </c>
    </row>
    <row r="165" spans="17:41" x14ac:dyDescent="0.25">
      <c r="Q165">
        <v>2</v>
      </c>
      <c r="R165" s="173">
        <f>Alim_Surf!Q8</f>
        <v>241</v>
      </c>
      <c r="S165" s="173">
        <f>Alim_Surf!R8</f>
        <v>11</v>
      </c>
      <c r="T165" s="173">
        <f>VLOOKUP(R165,[1]MEP!$A$4:$M$300,13)</f>
        <v>2</v>
      </c>
      <c r="U165" s="173">
        <f t="shared" ref="U165:U207" si="10">IF($T165&gt;0,$S165,0)</f>
        <v>11</v>
      </c>
      <c r="V165" s="173">
        <f t="shared" ref="V165:V207" si="11">IF($T165&gt;1,$S165,0)</f>
        <v>11</v>
      </c>
      <c r="W165" s="173">
        <f t="shared" ref="W165:W207" si="12">IF($T165&gt;2,$S165,0)</f>
        <v>0</v>
      </c>
      <c r="X165" s="173">
        <f>VLOOKUP(R165,[1]MEP!$A$4:$Q$300,14)</f>
        <v>0</v>
      </c>
      <c r="Y165" s="173">
        <f>VLOOKUP(R165,[1]MEP!$A$4:$R$300,15)</f>
        <v>0</v>
      </c>
      <c r="Z165" s="173">
        <f>VLOOKUP(R165,[1]MEP!$A$4:$R$300,16)</f>
        <v>0</v>
      </c>
      <c r="AA165" s="173">
        <f t="shared" si="8"/>
        <v>0</v>
      </c>
      <c r="AB165" s="173">
        <f t="shared" si="9"/>
        <v>0</v>
      </c>
      <c r="AC165" s="173">
        <f t="shared" ref="AC165:AC207" si="13">Z165*S165</f>
        <v>0</v>
      </c>
      <c r="AD165" s="173">
        <f t="shared" ref="AD165:AD207" si="14">S165-AC165-AA165</f>
        <v>11</v>
      </c>
      <c r="AE165" s="173">
        <f t="shared" ref="AE165:AE207" si="15">IF(T165=0,AC165,0)</f>
        <v>0</v>
      </c>
      <c r="AF165" s="173">
        <f t="shared" ref="AF165:AF207" si="16">IF(T165=1,AC165,0)</f>
        <v>0</v>
      </c>
      <c r="AG165" s="173">
        <f t="shared" ref="AG165:AG207" si="17">IF(T165&gt;1,AC165,0)</f>
        <v>0</v>
      </c>
      <c r="AH165" s="173">
        <f t="shared" ref="AH165:AH207" si="18">IF(T165=0,AD165,0)</f>
        <v>0</v>
      </c>
      <c r="AI165" s="173">
        <f t="shared" ref="AI165:AI207" si="19">IF(T165=1,AD165,0)</f>
        <v>0</v>
      </c>
      <c r="AJ165" s="173">
        <f t="shared" ref="AJ165:AJ207" si="20">IF(T165&gt;1,AD165,0)</f>
        <v>11</v>
      </c>
      <c r="AL165" s="5"/>
      <c r="AN165" s="32" t="s">
        <v>659</v>
      </c>
      <c r="AO165" s="173">
        <f>SUM(AD164:AD183)</f>
        <v>18.7</v>
      </c>
    </row>
    <row r="166" spans="17:41" x14ac:dyDescent="0.25">
      <c r="Q166">
        <v>3</v>
      </c>
      <c r="R166" s="173">
        <f>Alim_Surf!Q9</f>
        <v>290</v>
      </c>
      <c r="S166" s="173">
        <f>Alim_Surf!R9</f>
        <v>0</v>
      </c>
      <c r="T166" s="173">
        <f>VLOOKUP(R166,[1]MEP!$A$4:$M$300,13)</f>
        <v>1</v>
      </c>
      <c r="U166" s="173">
        <f t="shared" si="10"/>
        <v>0</v>
      </c>
      <c r="V166" s="173">
        <f t="shared" si="11"/>
        <v>0</v>
      </c>
      <c r="W166" s="173">
        <f t="shared" si="12"/>
        <v>0</v>
      </c>
      <c r="X166" s="173">
        <f>VLOOKUP(R166,[1]MEP!$A$4:$Q$300,14)</f>
        <v>0</v>
      </c>
      <c r="Y166" s="173">
        <f>VLOOKUP(R166,[1]MEP!$A$4:$R$300,15)</f>
        <v>0</v>
      </c>
      <c r="Z166" s="173">
        <f>VLOOKUP(R166,[1]MEP!$A$4:$R$300,16)</f>
        <v>0</v>
      </c>
      <c r="AA166" s="173">
        <f t="shared" si="8"/>
        <v>0</v>
      </c>
      <c r="AB166" s="173">
        <f t="shared" si="9"/>
        <v>0</v>
      </c>
      <c r="AC166" s="173">
        <f t="shared" si="13"/>
        <v>0</v>
      </c>
      <c r="AD166" s="173">
        <f t="shared" si="14"/>
        <v>0</v>
      </c>
      <c r="AE166" s="173">
        <f t="shared" si="15"/>
        <v>0</v>
      </c>
      <c r="AF166" s="173">
        <f t="shared" si="16"/>
        <v>0</v>
      </c>
      <c r="AG166" s="173">
        <f t="shared" si="17"/>
        <v>0</v>
      </c>
      <c r="AH166" s="173">
        <f t="shared" si="18"/>
        <v>0</v>
      </c>
      <c r="AI166" s="173">
        <f t="shared" si="19"/>
        <v>0</v>
      </c>
      <c r="AJ166" s="173">
        <f t="shared" si="20"/>
        <v>0</v>
      </c>
      <c r="AL166" s="5"/>
      <c r="AN166" s="32" t="s">
        <v>660</v>
      </c>
      <c r="AO166" s="173">
        <f>SUM(AC164:AC183)</f>
        <v>0</v>
      </c>
    </row>
    <row r="167" spans="17:41" x14ac:dyDescent="0.25">
      <c r="Q167">
        <v>4</v>
      </c>
      <c r="R167" s="173">
        <f>Alim_Surf!Q10</f>
        <v>242</v>
      </c>
      <c r="S167" s="173">
        <f>Alim_Surf!R10</f>
        <v>3.3</v>
      </c>
      <c r="T167" s="173">
        <f>VLOOKUP(R167,[1]MEP!$A$4:$M$300,13)</f>
        <v>1</v>
      </c>
      <c r="U167" s="173">
        <f t="shared" si="10"/>
        <v>3.3</v>
      </c>
      <c r="V167" s="173">
        <f t="shared" si="11"/>
        <v>0</v>
      </c>
      <c r="W167" s="173">
        <f t="shared" si="12"/>
        <v>0</v>
      </c>
      <c r="X167" s="173">
        <f>VLOOKUP(R167,[1]MEP!$A$4:$Q$300,14)</f>
        <v>0</v>
      </c>
      <c r="Y167" s="173">
        <f>VLOOKUP(R167,[1]MEP!$A$4:$R$300,15)</f>
        <v>0</v>
      </c>
      <c r="Z167" s="173">
        <f>VLOOKUP(R167,[1]MEP!$A$4:$R$300,16)</f>
        <v>0</v>
      </c>
      <c r="AA167" s="173">
        <f t="shared" si="8"/>
        <v>0</v>
      </c>
      <c r="AB167" s="173">
        <f t="shared" si="9"/>
        <v>0</v>
      </c>
      <c r="AC167" s="173">
        <f t="shared" si="13"/>
        <v>0</v>
      </c>
      <c r="AD167" s="173">
        <f t="shared" si="14"/>
        <v>3.3</v>
      </c>
      <c r="AE167" s="173">
        <f t="shared" si="15"/>
        <v>0</v>
      </c>
      <c r="AF167" s="173">
        <f t="shared" si="16"/>
        <v>0</v>
      </c>
      <c r="AG167" s="173">
        <f t="shared" si="17"/>
        <v>0</v>
      </c>
      <c r="AH167" s="173">
        <f t="shared" si="18"/>
        <v>0</v>
      </c>
      <c r="AI167" s="173">
        <f t="shared" si="19"/>
        <v>3.3</v>
      </c>
      <c r="AJ167" s="173">
        <f t="shared" si="20"/>
        <v>0</v>
      </c>
      <c r="AL167" s="5"/>
      <c r="AN167" s="32" t="s">
        <v>661</v>
      </c>
      <c r="AO167" s="173">
        <f>SUM(AA164:AA183)</f>
        <v>0</v>
      </c>
    </row>
    <row r="168" spans="17:41" x14ac:dyDescent="0.25">
      <c r="Q168">
        <v>5</v>
      </c>
      <c r="R168" s="173">
        <f>Alim_Surf!Q11</f>
        <v>239</v>
      </c>
      <c r="S168" s="173">
        <f>Alim_Surf!R11</f>
        <v>1.7</v>
      </c>
      <c r="T168" s="173">
        <f>VLOOKUP(R168,[1]MEP!$A$4:$M$300,13)</f>
        <v>0</v>
      </c>
      <c r="U168" s="173">
        <f t="shared" si="10"/>
        <v>0</v>
      </c>
      <c r="V168" s="173">
        <f t="shared" si="11"/>
        <v>0</v>
      </c>
      <c r="W168" s="173">
        <f t="shared" si="12"/>
        <v>0</v>
      </c>
      <c r="X168" s="173">
        <f>VLOOKUP(R168,[1]MEP!$A$4:$Q$300,14)</f>
        <v>0</v>
      </c>
      <c r="Y168" s="173">
        <f>VLOOKUP(R168,[1]MEP!$A$4:$R$300,15)</f>
        <v>0</v>
      </c>
      <c r="Z168" s="173">
        <f>VLOOKUP(R168,[1]MEP!$A$4:$R$300,16)</f>
        <v>0</v>
      </c>
      <c r="AA168" s="173">
        <f t="shared" si="8"/>
        <v>0</v>
      </c>
      <c r="AB168" s="173">
        <f t="shared" si="9"/>
        <v>0</v>
      </c>
      <c r="AC168" s="173">
        <f t="shared" si="13"/>
        <v>0</v>
      </c>
      <c r="AD168" s="173">
        <f t="shared" si="14"/>
        <v>1.7</v>
      </c>
      <c r="AE168" s="173">
        <f t="shared" si="15"/>
        <v>0</v>
      </c>
      <c r="AF168" s="173">
        <f t="shared" si="16"/>
        <v>0</v>
      </c>
      <c r="AG168" s="173">
        <f t="shared" si="17"/>
        <v>0</v>
      </c>
      <c r="AH168" s="173">
        <f t="shared" si="18"/>
        <v>1.7</v>
      </c>
      <c r="AI168" s="173">
        <f t="shared" si="19"/>
        <v>0</v>
      </c>
      <c r="AJ168" s="173">
        <f t="shared" si="20"/>
        <v>0</v>
      </c>
      <c r="AL168" s="5"/>
      <c r="AN168" s="32" t="s">
        <v>662</v>
      </c>
      <c r="AO168" s="173">
        <f>SUM(AD186:AD205)</f>
        <v>4.3</v>
      </c>
    </row>
    <row r="169" spans="17:41" x14ac:dyDescent="0.25">
      <c r="Q169">
        <v>6</v>
      </c>
      <c r="R169" s="173">
        <f>Alim_Surf!Q12</f>
        <v>0</v>
      </c>
      <c r="S169" s="173">
        <f>Alim_Surf!R12</f>
        <v>0</v>
      </c>
      <c r="T169" s="173">
        <f>VLOOKUP(R169,[1]MEP!$A$4:$M$300,13)</f>
        <v>0</v>
      </c>
      <c r="U169" s="173">
        <f t="shared" si="10"/>
        <v>0</v>
      </c>
      <c r="V169" s="173">
        <f t="shared" si="11"/>
        <v>0</v>
      </c>
      <c r="W169" s="173">
        <f t="shared" si="12"/>
        <v>0</v>
      </c>
      <c r="X169" s="173">
        <f>VLOOKUP(R169,[1]MEP!$A$4:$Q$300,14)</f>
        <v>0</v>
      </c>
      <c r="Y169" s="173">
        <f>VLOOKUP(R169,[1]MEP!$A$4:$R$300,15)</f>
        <v>0</v>
      </c>
      <c r="Z169" s="173">
        <f>VLOOKUP(R169,[1]MEP!$A$4:$R$300,16)</f>
        <v>0</v>
      </c>
      <c r="AA169" s="173">
        <f t="shared" si="8"/>
        <v>0</v>
      </c>
      <c r="AB169" s="173">
        <f t="shared" si="9"/>
        <v>0</v>
      </c>
      <c r="AC169" s="173">
        <f t="shared" si="13"/>
        <v>0</v>
      </c>
      <c r="AD169" s="173">
        <f t="shared" si="14"/>
        <v>0</v>
      </c>
      <c r="AE169" s="173">
        <f t="shared" si="15"/>
        <v>0</v>
      </c>
      <c r="AF169" s="173">
        <f t="shared" si="16"/>
        <v>0</v>
      </c>
      <c r="AG169" s="173">
        <f t="shared" si="17"/>
        <v>0</v>
      </c>
      <c r="AH169" s="173">
        <f t="shared" si="18"/>
        <v>0</v>
      </c>
      <c r="AI169" s="173">
        <f t="shared" si="19"/>
        <v>0</v>
      </c>
      <c r="AJ169" s="173">
        <f t="shared" si="20"/>
        <v>0</v>
      </c>
      <c r="AL169" s="5"/>
      <c r="AN169" s="32" t="s">
        <v>663</v>
      </c>
      <c r="AO169" s="173">
        <f>SUM(AC186:AC205)</f>
        <v>5</v>
      </c>
    </row>
    <row r="170" spans="17:41" x14ac:dyDescent="0.25">
      <c r="Q170">
        <v>7</v>
      </c>
      <c r="R170" s="173">
        <f>Alim_Surf!Q13</f>
        <v>0</v>
      </c>
      <c r="S170" s="173">
        <f>Alim_Surf!R13</f>
        <v>0</v>
      </c>
      <c r="T170" s="173">
        <f>VLOOKUP(R170,[1]MEP!$A$4:$M$300,13)</f>
        <v>0</v>
      </c>
      <c r="U170" s="173">
        <f t="shared" si="10"/>
        <v>0</v>
      </c>
      <c r="V170" s="173">
        <f t="shared" si="11"/>
        <v>0</v>
      </c>
      <c r="W170" s="173">
        <f t="shared" si="12"/>
        <v>0</v>
      </c>
      <c r="X170" s="173">
        <f>VLOOKUP(R170,[1]MEP!$A$4:$Q$300,14)</f>
        <v>0</v>
      </c>
      <c r="Y170" s="173">
        <f>VLOOKUP(R170,[1]MEP!$A$4:$R$300,15)</f>
        <v>0</v>
      </c>
      <c r="Z170" s="173">
        <f>VLOOKUP(R170,[1]MEP!$A$4:$R$300,16)</f>
        <v>0</v>
      </c>
      <c r="AA170" s="173">
        <f t="shared" si="8"/>
        <v>0</v>
      </c>
      <c r="AB170" s="173">
        <f t="shared" si="9"/>
        <v>0</v>
      </c>
      <c r="AC170" s="173">
        <f t="shared" si="13"/>
        <v>0</v>
      </c>
      <c r="AD170" s="173">
        <f t="shared" si="14"/>
        <v>0</v>
      </c>
      <c r="AE170" s="173">
        <f t="shared" si="15"/>
        <v>0</v>
      </c>
      <c r="AF170" s="173">
        <f t="shared" si="16"/>
        <v>0</v>
      </c>
      <c r="AG170" s="173">
        <f t="shared" si="17"/>
        <v>0</v>
      </c>
      <c r="AH170" s="173">
        <f t="shared" si="18"/>
        <v>0</v>
      </c>
      <c r="AI170" s="173">
        <f t="shared" si="19"/>
        <v>0</v>
      </c>
      <c r="AJ170" s="173">
        <f t="shared" si="20"/>
        <v>0</v>
      </c>
      <c r="AL170" s="5"/>
      <c r="AN170" s="32" t="s">
        <v>664</v>
      </c>
      <c r="AO170" s="173">
        <f>SUM(AA186:AA205)</f>
        <v>0</v>
      </c>
    </row>
    <row r="171" spans="17:41" x14ac:dyDescent="0.25">
      <c r="Q171">
        <v>8</v>
      </c>
      <c r="R171" s="173">
        <f>Alim_Surf!Q14</f>
        <v>0</v>
      </c>
      <c r="S171" s="173">
        <f>Alim_Surf!R14</f>
        <v>0</v>
      </c>
      <c r="T171" s="173">
        <f>VLOOKUP(R171,[1]MEP!$A$4:$M$300,13)</f>
        <v>0</v>
      </c>
      <c r="U171" s="173">
        <f t="shared" si="10"/>
        <v>0</v>
      </c>
      <c r="V171" s="173">
        <f t="shared" si="11"/>
        <v>0</v>
      </c>
      <c r="W171" s="173">
        <f t="shared" si="12"/>
        <v>0</v>
      </c>
      <c r="X171" s="173">
        <f>VLOOKUP(R171,[1]MEP!$A$4:$Q$300,14)</f>
        <v>0</v>
      </c>
      <c r="Y171" s="173">
        <f>VLOOKUP(R171,[1]MEP!$A$4:$R$300,15)</f>
        <v>0</v>
      </c>
      <c r="Z171" s="173">
        <f>VLOOKUP(R171,[1]MEP!$A$4:$R$300,16)</f>
        <v>0</v>
      </c>
      <c r="AA171" s="173">
        <f t="shared" si="8"/>
        <v>0</v>
      </c>
      <c r="AB171" s="173">
        <f t="shared" si="9"/>
        <v>0</v>
      </c>
      <c r="AC171" s="173">
        <f t="shared" si="13"/>
        <v>0</v>
      </c>
      <c r="AD171" s="173">
        <f t="shared" si="14"/>
        <v>0</v>
      </c>
      <c r="AE171" s="173">
        <f t="shared" si="15"/>
        <v>0</v>
      </c>
      <c r="AF171" s="173">
        <f t="shared" si="16"/>
        <v>0</v>
      </c>
      <c r="AG171" s="173">
        <f t="shared" si="17"/>
        <v>0</v>
      </c>
      <c r="AH171" s="173">
        <f t="shared" si="18"/>
        <v>0</v>
      </c>
      <c r="AI171" s="173">
        <f t="shared" si="19"/>
        <v>0</v>
      </c>
      <c r="AJ171" s="173">
        <f t="shared" si="20"/>
        <v>0</v>
      </c>
      <c r="AL171" s="5"/>
      <c r="AN171" s="32" t="s">
        <v>665</v>
      </c>
      <c r="AO171" s="173">
        <f>Alim_Surf!O51</f>
        <v>11.1</v>
      </c>
    </row>
    <row r="172" spans="17:41" x14ac:dyDescent="0.25">
      <c r="Q172">
        <v>9</v>
      </c>
      <c r="R172" s="173">
        <f>Alim_Surf!Q15</f>
        <v>0</v>
      </c>
      <c r="S172" s="173">
        <f>Alim_Surf!R15</f>
        <v>0</v>
      </c>
      <c r="T172" s="173">
        <f>VLOOKUP(R172,[1]MEP!$A$4:$M$300,13)</f>
        <v>0</v>
      </c>
      <c r="U172" s="173">
        <f t="shared" si="10"/>
        <v>0</v>
      </c>
      <c r="V172" s="173">
        <f t="shared" si="11"/>
        <v>0</v>
      </c>
      <c r="W172" s="173">
        <f t="shared" si="12"/>
        <v>0</v>
      </c>
      <c r="X172" s="173">
        <f>VLOOKUP(R172,[1]MEP!$A$4:$Q$300,14)</f>
        <v>0</v>
      </c>
      <c r="Y172" s="173">
        <f>VLOOKUP(R172,[1]MEP!$A$4:$R$300,15)</f>
        <v>0</v>
      </c>
      <c r="Z172" s="173">
        <f>VLOOKUP(R172,[1]MEP!$A$4:$R$300,16)</f>
        <v>0</v>
      </c>
      <c r="AA172" s="173">
        <f t="shared" si="8"/>
        <v>0</v>
      </c>
      <c r="AB172" s="173">
        <f t="shared" si="9"/>
        <v>0</v>
      </c>
      <c r="AC172" s="173">
        <f t="shared" si="13"/>
        <v>0</v>
      </c>
      <c r="AD172" s="173">
        <f t="shared" si="14"/>
        <v>0</v>
      </c>
      <c r="AE172" s="173">
        <f t="shared" si="15"/>
        <v>0</v>
      </c>
      <c r="AF172" s="173">
        <f t="shared" si="16"/>
        <v>0</v>
      </c>
      <c r="AG172" s="173">
        <f t="shared" si="17"/>
        <v>0</v>
      </c>
      <c r="AH172" s="173">
        <f t="shared" si="18"/>
        <v>0</v>
      </c>
      <c r="AI172" s="173">
        <f t="shared" si="19"/>
        <v>0</v>
      </c>
      <c r="AJ172" s="173">
        <f t="shared" si="20"/>
        <v>0</v>
      </c>
      <c r="AL172" s="5"/>
    </row>
    <row r="173" spans="17:41" x14ac:dyDescent="0.25">
      <c r="Q173">
        <v>10</v>
      </c>
      <c r="R173" s="173">
        <f>Alim_Surf!Q16</f>
        <v>0</v>
      </c>
      <c r="S173" s="173">
        <f>Alim_Surf!R16</f>
        <v>0</v>
      </c>
      <c r="T173" s="173">
        <f>VLOOKUP(R173,[1]MEP!$A$4:$M$300,13)</f>
        <v>0</v>
      </c>
      <c r="U173" s="173">
        <f t="shared" si="10"/>
        <v>0</v>
      </c>
      <c r="V173" s="173">
        <f t="shared" si="11"/>
        <v>0</v>
      </c>
      <c r="W173" s="173">
        <f t="shared" si="12"/>
        <v>0</v>
      </c>
      <c r="X173" s="173">
        <f>VLOOKUP(R173,[1]MEP!$A$4:$Q$300,14)</f>
        <v>0</v>
      </c>
      <c r="Y173" s="173">
        <f>VLOOKUP(R173,[1]MEP!$A$4:$R$300,15)</f>
        <v>0</v>
      </c>
      <c r="Z173" s="173">
        <f>VLOOKUP(R173,[1]MEP!$A$4:$R$300,16)</f>
        <v>0</v>
      </c>
      <c r="AA173" s="173">
        <f t="shared" si="8"/>
        <v>0</v>
      </c>
      <c r="AB173" s="173">
        <f t="shared" si="9"/>
        <v>0</v>
      </c>
      <c r="AC173" s="173">
        <f t="shared" si="13"/>
        <v>0</v>
      </c>
      <c r="AD173" s="173">
        <f t="shared" si="14"/>
        <v>0</v>
      </c>
      <c r="AE173" s="173">
        <f t="shared" si="15"/>
        <v>0</v>
      </c>
      <c r="AF173" s="173">
        <f t="shared" si="16"/>
        <v>0</v>
      </c>
      <c r="AG173" s="173">
        <f t="shared" si="17"/>
        <v>0</v>
      </c>
      <c r="AH173" s="173">
        <f t="shared" si="18"/>
        <v>0</v>
      </c>
      <c r="AI173" s="173">
        <f t="shared" si="19"/>
        <v>0</v>
      </c>
      <c r="AJ173" s="173">
        <f t="shared" si="20"/>
        <v>0</v>
      </c>
      <c r="AL173" s="5"/>
    </row>
    <row r="174" spans="17:41" x14ac:dyDescent="0.25">
      <c r="Q174">
        <v>11</v>
      </c>
      <c r="R174" s="173">
        <f>Alim_Surf!Q17</f>
        <v>0</v>
      </c>
      <c r="S174" s="173">
        <f>Alim_Surf!R17</f>
        <v>0</v>
      </c>
      <c r="T174" s="173">
        <f>VLOOKUP(R174,[1]MEP!$A$4:$M$300,13)</f>
        <v>0</v>
      </c>
      <c r="U174" s="173">
        <f t="shared" si="10"/>
        <v>0</v>
      </c>
      <c r="V174" s="173">
        <f t="shared" si="11"/>
        <v>0</v>
      </c>
      <c r="W174" s="173">
        <f t="shared" si="12"/>
        <v>0</v>
      </c>
      <c r="X174" s="173">
        <f>VLOOKUP(R174,[1]MEP!$A$4:$Q$300,14)</f>
        <v>0</v>
      </c>
      <c r="Y174" s="173">
        <f>VLOOKUP(R174,[1]MEP!$A$4:$R$300,15)</f>
        <v>0</v>
      </c>
      <c r="Z174" s="173">
        <f>VLOOKUP(R174,[1]MEP!$A$4:$R$300,16)</f>
        <v>0</v>
      </c>
      <c r="AA174" s="173">
        <f t="shared" si="8"/>
        <v>0</v>
      </c>
      <c r="AB174" s="173">
        <f t="shared" si="9"/>
        <v>0</v>
      </c>
      <c r="AC174" s="173">
        <f t="shared" si="13"/>
        <v>0</v>
      </c>
      <c r="AD174" s="173">
        <f t="shared" si="14"/>
        <v>0</v>
      </c>
      <c r="AE174" s="173">
        <f t="shared" si="15"/>
        <v>0</v>
      </c>
      <c r="AF174" s="173">
        <f t="shared" si="16"/>
        <v>0</v>
      </c>
      <c r="AG174" s="173">
        <f t="shared" si="17"/>
        <v>0</v>
      </c>
      <c r="AH174" s="173">
        <f t="shared" si="18"/>
        <v>0</v>
      </c>
      <c r="AI174" s="173">
        <f t="shared" si="19"/>
        <v>0</v>
      </c>
      <c r="AJ174" s="173">
        <f t="shared" si="20"/>
        <v>0</v>
      </c>
      <c r="AL174" s="5"/>
    </row>
    <row r="175" spans="17:41" x14ac:dyDescent="0.25">
      <c r="Q175">
        <v>12</v>
      </c>
      <c r="R175" s="173">
        <f>Alim_Surf!Q18</f>
        <v>0</v>
      </c>
      <c r="S175" s="173">
        <f>Alim_Surf!R18</f>
        <v>0</v>
      </c>
      <c r="T175" s="173">
        <f>VLOOKUP(R175,[1]MEP!$A$4:$M$300,13)</f>
        <v>0</v>
      </c>
      <c r="U175" s="173">
        <f t="shared" si="10"/>
        <v>0</v>
      </c>
      <c r="V175" s="173">
        <f t="shared" si="11"/>
        <v>0</v>
      </c>
      <c r="W175" s="173">
        <f t="shared" si="12"/>
        <v>0</v>
      </c>
      <c r="X175" s="173">
        <f>VLOOKUP(R175,[1]MEP!$A$4:$Q$300,14)</f>
        <v>0</v>
      </c>
      <c r="Y175" s="173">
        <f>VLOOKUP(R175,[1]MEP!$A$4:$R$300,15)</f>
        <v>0</v>
      </c>
      <c r="Z175" s="173">
        <f>VLOOKUP(R175,[1]MEP!$A$4:$R$300,16)</f>
        <v>0</v>
      </c>
      <c r="AA175" s="173">
        <f t="shared" si="8"/>
        <v>0</v>
      </c>
      <c r="AB175" s="173">
        <f t="shared" si="9"/>
        <v>0</v>
      </c>
      <c r="AC175" s="173">
        <f t="shared" si="13"/>
        <v>0</v>
      </c>
      <c r="AD175" s="173">
        <f t="shared" si="14"/>
        <v>0</v>
      </c>
      <c r="AE175" s="173">
        <f t="shared" si="15"/>
        <v>0</v>
      </c>
      <c r="AF175" s="173">
        <f t="shared" si="16"/>
        <v>0</v>
      </c>
      <c r="AG175" s="173">
        <f t="shared" si="17"/>
        <v>0</v>
      </c>
      <c r="AH175" s="173">
        <f t="shared" si="18"/>
        <v>0</v>
      </c>
      <c r="AI175" s="173">
        <f t="shared" si="19"/>
        <v>0</v>
      </c>
      <c r="AJ175" s="173">
        <f t="shared" si="20"/>
        <v>0</v>
      </c>
      <c r="AL175" s="5"/>
    </row>
    <row r="176" spans="17:41" x14ac:dyDescent="0.25">
      <c r="Q176">
        <v>13</v>
      </c>
      <c r="R176" s="173">
        <f>Alim_Surf!Q19</f>
        <v>0</v>
      </c>
      <c r="S176" s="173">
        <f>Alim_Surf!R19</f>
        <v>0</v>
      </c>
      <c r="T176" s="173">
        <f>VLOOKUP(R176,[1]MEP!$A$4:$M$300,13)</f>
        <v>0</v>
      </c>
      <c r="U176" s="173">
        <f t="shared" si="10"/>
        <v>0</v>
      </c>
      <c r="V176" s="173">
        <f t="shared" si="11"/>
        <v>0</v>
      </c>
      <c r="W176" s="173">
        <f t="shared" si="12"/>
        <v>0</v>
      </c>
      <c r="X176" s="173">
        <f>VLOOKUP(R176,[1]MEP!$A$4:$Q$300,14)</f>
        <v>0</v>
      </c>
      <c r="Y176" s="173">
        <f>VLOOKUP(R176,[1]MEP!$A$4:$R$300,15)</f>
        <v>0</v>
      </c>
      <c r="Z176" s="173">
        <f>VLOOKUP(R176,[1]MEP!$A$4:$R$300,16)</f>
        <v>0</v>
      </c>
      <c r="AA176" s="173">
        <f t="shared" si="8"/>
        <v>0</v>
      </c>
      <c r="AB176" s="173">
        <f t="shared" si="9"/>
        <v>0</v>
      </c>
      <c r="AC176" s="173">
        <f t="shared" si="13"/>
        <v>0</v>
      </c>
      <c r="AD176" s="173">
        <f t="shared" si="14"/>
        <v>0</v>
      </c>
      <c r="AE176" s="173">
        <f t="shared" si="15"/>
        <v>0</v>
      </c>
      <c r="AF176" s="173">
        <f t="shared" si="16"/>
        <v>0</v>
      </c>
      <c r="AG176" s="173">
        <f t="shared" si="17"/>
        <v>0</v>
      </c>
      <c r="AH176" s="173">
        <f t="shared" si="18"/>
        <v>0</v>
      </c>
      <c r="AI176" s="173">
        <f t="shared" si="19"/>
        <v>0</v>
      </c>
      <c r="AJ176" s="173">
        <f t="shared" si="20"/>
        <v>0</v>
      </c>
      <c r="AL176" s="5"/>
    </row>
    <row r="177" spans="17:38" x14ac:dyDescent="0.25">
      <c r="Q177">
        <v>14</v>
      </c>
      <c r="R177" s="173">
        <f>Alim_Surf!Q20</f>
        <v>0</v>
      </c>
      <c r="S177" s="173">
        <f>Alim_Surf!R20</f>
        <v>0</v>
      </c>
      <c r="T177" s="173">
        <f>VLOOKUP(R177,[1]MEP!$A$4:$M$300,13)</f>
        <v>0</v>
      </c>
      <c r="U177" s="173">
        <f t="shared" si="10"/>
        <v>0</v>
      </c>
      <c r="V177" s="173">
        <f t="shared" si="11"/>
        <v>0</v>
      </c>
      <c r="W177" s="173">
        <f t="shared" si="12"/>
        <v>0</v>
      </c>
      <c r="X177" s="173">
        <f>VLOOKUP(R177,[1]MEP!$A$4:$Q$300,14)</f>
        <v>0</v>
      </c>
      <c r="Y177" s="173">
        <f>VLOOKUP(R177,[1]MEP!$A$4:$R$300,15)</f>
        <v>0</v>
      </c>
      <c r="Z177" s="173">
        <f>VLOOKUP(R177,[1]MEP!$A$4:$R$300,16)</f>
        <v>0</v>
      </c>
      <c r="AA177" s="173">
        <f t="shared" si="8"/>
        <v>0</v>
      </c>
      <c r="AB177" s="173">
        <f t="shared" si="9"/>
        <v>0</v>
      </c>
      <c r="AC177" s="173">
        <f t="shared" si="13"/>
        <v>0</v>
      </c>
      <c r="AD177" s="173">
        <f t="shared" si="14"/>
        <v>0</v>
      </c>
      <c r="AE177" s="173">
        <f t="shared" si="15"/>
        <v>0</v>
      </c>
      <c r="AF177" s="173">
        <f t="shared" si="16"/>
        <v>0</v>
      </c>
      <c r="AG177" s="173">
        <f t="shared" si="17"/>
        <v>0</v>
      </c>
      <c r="AH177" s="173">
        <f t="shared" si="18"/>
        <v>0</v>
      </c>
      <c r="AI177" s="173">
        <f t="shared" si="19"/>
        <v>0</v>
      </c>
      <c r="AJ177" s="173">
        <f t="shared" si="20"/>
        <v>0</v>
      </c>
      <c r="AL177" s="5"/>
    </row>
    <row r="178" spans="17:38" x14ac:dyDescent="0.25">
      <c r="Q178">
        <v>15</v>
      </c>
      <c r="R178" s="173">
        <f>Alim_Surf!Q21</f>
        <v>0</v>
      </c>
      <c r="S178" s="173">
        <f>Alim_Surf!R21</f>
        <v>0</v>
      </c>
      <c r="T178" s="173">
        <f>VLOOKUP(R178,[1]MEP!$A$4:$M$300,13)</f>
        <v>0</v>
      </c>
      <c r="U178" s="173">
        <f t="shared" si="10"/>
        <v>0</v>
      </c>
      <c r="V178" s="173">
        <f t="shared" si="11"/>
        <v>0</v>
      </c>
      <c r="W178" s="173">
        <f t="shared" si="12"/>
        <v>0</v>
      </c>
      <c r="X178" s="173">
        <f>VLOOKUP(R178,[1]MEP!$A$4:$Q$300,14)</f>
        <v>0</v>
      </c>
      <c r="Y178" s="173">
        <f>VLOOKUP(R178,[1]MEP!$A$4:$R$300,15)</f>
        <v>0</v>
      </c>
      <c r="Z178" s="173">
        <f>VLOOKUP(R178,[1]MEP!$A$4:$R$300,16)</f>
        <v>0</v>
      </c>
      <c r="AA178" s="173">
        <f t="shared" si="8"/>
        <v>0</v>
      </c>
      <c r="AB178" s="173">
        <f t="shared" si="9"/>
        <v>0</v>
      </c>
      <c r="AC178" s="173">
        <f t="shared" si="13"/>
        <v>0</v>
      </c>
      <c r="AD178" s="173">
        <f t="shared" si="14"/>
        <v>0</v>
      </c>
      <c r="AE178" s="173">
        <f t="shared" si="15"/>
        <v>0</v>
      </c>
      <c r="AF178" s="173">
        <f t="shared" si="16"/>
        <v>0</v>
      </c>
      <c r="AG178" s="173">
        <f t="shared" si="17"/>
        <v>0</v>
      </c>
      <c r="AH178" s="173">
        <f t="shared" si="18"/>
        <v>0</v>
      </c>
      <c r="AI178" s="173">
        <f t="shared" si="19"/>
        <v>0</v>
      </c>
      <c r="AJ178" s="173">
        <f t="shared" si="20"/>
        <v>0</v>
      </c>
      <c r="AL178" s="5"/>
    </row>
    <row r="179" spans="17:38" x14ac:dyDescent="0.25">
      <c r="Q179">
        <v>16</v>
      </c>
      <c r="R179" s="173">
        <f>Alim_Surf!Q22</f>
        <v>0</v>
      </c>
      <c r="S179" s="173">
        <f>Alim_Surf!R22</f>
        <v>0</v>
      </c>
      <c r="T179" s="173">
        <f>VLOOKUP(R179,[1]MEP!$A$4:$M$300,13)</f>
        <v>0</v>
      </c>
      <c r="U179" s="173">
        <f t="shared" si="10"/>
        <v>0</v>
      </c>
      <c r="V179" s="173">
        <f t="shared" si="11"/>
        <v>0</v>
      </c>
      <c r="W179" s="173">
        <f t="shared" si="12"/>
        <v>0</v>
      </c>
      <c r="X179" s="173">
        <f>VLOOKUP(R179,[1]MEP!$A$4:$Q$300,14)</f>
        <v>0</v>
      </c>
      <c r="Y179" s="173">
        <f>VLOOKUP(R179,[1]MEP!$A$4:$R$300,15)</f>
        <v>0</v>
      </c>
      <c r="Z179" s="173">
        <f>VLOOKUP(R179,[1]MEP!$A$4:$R$300,16)</f>
        <v>0</v>
      </c>
      <c r="AA179" s="173">
        <f t="shared" si="8"/>
        <v>0</v>
      </c>
      <c r="AB179" s="173">
        <f t="shared" si="9"/>
        <v>0</v>
      </c>
      <c r="AC179" s="173">
        <f t="shared" si="13"/>
        <v>0</v>
      </c>
      <c r="AD179" s="173">
        <f t="shared" si="14"/>
        <v>0</v>
      </c>
      <c r="AE179" s="173">
        <f t="shared" si="15"/>
        <v>0</v>
      </c>
      <c r="AF179" s="173">
        <f t="shared" si="16"/>
        <v>0</v>
      </c>
      <c r="AG179" s="173">
        <f t="shared" si="17"/>
        <v>0</v>
      </c>
      <c r="AH179" s="173">
        <f t="shared" si="18"/>
        <v>0</v>
      </c>
      <c r="AI179" s="173">
        <f t="shared" si="19"/>
        <v>0</v>
      </c>
      <c r="AJ179" s="173">
        <f t="shared" si="20"/>
        <v>0</v>
      </c>
      <c r="AL179" s="5"/>
    </row>
    <row r="180" spans="17:38" x14ac:dyDescent="0.25">
      <c r="Q180">
        <v>17</v>
      </c>
      <c r="R180" s="173">
        <f>Alim_Surf!Q23</f>
        <v>0</v>
      </c>
      <c r="S180" s="173">
        <f>Alim_Surf!R23</f>
        <v>0</v>
      </c>
      <c r="T180" s="173">
        <f>VLOOKUP(R180,[1]MEP!$A$4:$M$300,13)</f>
        <v>0</v>
      </c>
      <c r="U180" s="173">
        <f t="shared" si="10"/>
        <v>0</v>
      </c>
      <c r="V180" s="173">
        <f t="shared" si="11"/>
        <v>0</v>
      </c>
      <c r="W180" s="173">
        <f t="shared" si="12"/>
        <v>0</v>
      </c>
      <c r="X180" s="173">
        <f>VLOOKUP(R180,[1]MEP!$A$4:$Q$300,14)</f>
        <v>0</v>
      </c>
      <c r="Y180" s="173">
        <f>VLOOKUP(R180,[1]MEP!$A$4:$R$300,15)</f>
        <v>0</v>
      </c>
      <c r="Z180" s="173">
        <f>VLOOKUP(R180,[1]MEP!$A$4:$R$300,16)</f>
        <v>0</v>
      </c>
      <c r="AA180" s="173">
        <f t="shared" si="8"/>
        <v>0</v>
      </c>
      <c r="AB180" s="173">
        <f t="shared" si="9"/>
        <v>0</v>
      </c>
      <c r="AC180" s="173">
        <f t="shared" si="13"/>
        <v>0</v>
      </c>
      <c r="AD180" s="173">
        <f t="shared" si="14"/>
        <v>0</v>
      </c>
      <c r="AE180" s="173">
        <f t="shared" si="15"/>
        <v>0</v>
      </c>
      <c r="AF180" s="173">
        <f t="shared" si="16"/>
        <v>0</v>
      </c>
      <c r="AG180" s="173">
        <f t="shared" si="17"/>
        <v>0</v>
      </c>
      <c r="AH180" s="173">
        <f t="shared" si="18"/>
        <v>0</v>
      </c>
      <c r="AI180" s="173">
        <f t="shared" si="19"/>
        <v>0</v>
      </c>
      <c r="AJ180" s="173">
        <f t="shared" si="20"/>
        <v>0</v>
      </c>
      <c r="AL180" s="5"/>
    </row>
    <row r="181" spans="17:38" x14ac:dyDescent="0.25">
      <c r="Q181">
        <v>18</v>
      </c>
      <c r="R181" s="173">
        <f>Alim_Surf!Q24</f>
        <v>0</v>
      </c>
      <c r="S181" s="173">
        <f>Alim_Surf!R24</f>
        <v>0</v>
      </c>
      <c r="T181" s="173">
        <f>VLOOKUP(R181,[1]MEP!$A$4:$M$300,13)</f>
        <v>0</v>
      </c>
      <c r="U181" s="173">
        <f t="shared" si="10"/>
        <v>0</v>
      </c>
      <c r="V181" s="173">
        <f t="shared" si="11"/>
        <v>0</v>
      </c>
      <c r="W181" s="173">
        <f t="shared" si="12"/>
        <v>0</v>
      </c>
      <c r="X181" s="173">
        <f>VLOOKUP(R181,[1]MEP!$A$4:$Q$300,14)</f>
        <v>0</v>
      </c>
      <c r="Y181" s="173">
        <f>VLOOKUP(R181,[1]MEP!$A$4:$R$300,15)</f>
        <v>0</v>
      </c>
      <c r="Z181" s="173">
        <f>VLOOKUP(R181,[1]MEP!$A$4:$R$300,16)</f>
        <v>0</v>
      </c>
      <c r="AA181" s="173">
        <f t="shared" si="8"/>
        <v>0</v>
      </c>
      <c r="AB181" s="173">
        <f t="shared" si="9"/>
        <v>0</v>
      </c>
      <c r="AC181" s="173">
        <f t="shared" si="13"/>
        <v>0</v>
      </c>
      <c r="AD181" s="173">
        <f t="shared" si="14"/>
        <v>0</v>
      </c>
      <c r="AE181" s="173">
        <f t="shared" si="15"/>
        <v>0</v>
      </c>
      <c r="AF181" s="173">
        <f t="shared" si="16"/>
        <v>0</v>
      </c>
      <c r="AG181" s="173">
        <f t="shared" si="17"/>
        <v>0</v>
      </c>
      <c r="AH181" s="173">
        <f t="shared" si="18"/>
        <v>0</v>
      </c>
      <c r="AI181" s="173">
        <f t="shared" si="19"/>
        <v>0</v>
      </c>
      <c r="AJ181" s="173">
        <f t="shared" si="20"/>
        <v>0</v>
      </c>
      <c r="AL181" s="5"/>
    </row>
    <row r="182" spans="17:38" x14ac:dyDescent="0.25">
      <c r="Q182">
        <v>19</v>
      </c>
      <c r="R182" s="173">
        <f>Alim_Surf!Q25</f>
        <v>0</v>
      </c>
      <c r="S182" s="173">
        <f>Alim_Surf!R25</f>
        <v>0</v>
      </c>
      <c r="T182" s="173">
        <f>VLOOKUP(R182,[1]MEP!$A$4:$M$300,13)</f>
        <v>0</v>
      </c>
      <c r="U182" s="173">
        <f t="shared" si="10"/>
        <v>0</v>
      </c>
      <c r="V182" s="173">
        <f t="shared" si="11"/>
        <v>0</v>
      </c>
      <c r="W182" s="173">
        <f t="shared" si="12"/>
        <v>0</v>
      </c>
      <c r="X182" s="173">
        <f>VLOOKUP(R182,[1]MEP!$A$4:$Q$300,14)</f>
        <v>0</v>
      </c>
      <c r="Y182" s="173">
        <f>VLOOKUP(R182,[1]MEP!$A$4:$R$300,15)</f>
        <v>0</v>
      </c>
      <c r="Z182" s="173">
        <f>VLOOKUP(R182,[1]MEP!$A$4:$R$300,16)</f>
        <v>0</v>
      </c>
      <c r="AA182" s="173">
        <f t="shared" si="8"/>
        <v>0</v>
      </c>
      <c r="AB182" s="173">
        <f t="shared" si="9"/>
        <v>0</v>
      </c>
      <c r="AC182" s="173">
        <f t="shared" si="13"/>
        <v>0</v>
      </c>
      <c r="AD182" s="173">
        <f t="shared" si="14"/>
        <v>0</v>
      </c>
      <c r="AE182" s="173">
        <f t="shared" si="15"/>
        <v>0</v>
      </c>
      <c r="AF182" s="173">
        <f t="shared" si="16"/>
        <v>0</v>
      </c>
      <c r="AG182" s="173">
        <f t="shared" si="17"/>
        <v>0</v>
      </c>
      <c r="AH182" s="173">
        <f t="shared" si="18"/>
        <v>0</v>
      </c>
      <c r="AI182" s="173">
        <f t="shared" si="19"/>
        <v>0</v>
      </c>
      <c r="AJ182" s="173">
        <f t="shared" si="20"/>
        <v>0</v>
      </c>
      <c r="AL182" s="5"/>
    </row>
    <row r="183" spans="17:38" x14ac:dyDescent="0.25">
      <c r="Q183">
        <v>20</v>
      </c>
      <c r="R183" s="173">
        <f>Alim_Surf!Q26</f>
        <v>0</v>
      </c>
      <c r="S183" s="173">
        <f>Alim_Surf!R26</f>
        <v>0</v>
      </c>
      <c r="T183" s="173">
        <f>VLOOKUP(R183,[1]MEP!$A$4:$M$300,13)</f>
        <v>0</v>
      </c>
      <c r="U183" s="173">
        <f t="shared" si="10"/>
        <v>0</v>
      </c>
      <c r="V183" s="173">
        <f t="shared" si="11"/>
        <v>0</v>
      </c>
      <c r="W183" s="173">
        <f t="shared" si="12"/>
        <v>0</v>
      </c>
      <c r="X183" s="173">
        <f>VLOOKUP(R183,[1]MEP!$A$4:$Q$300,14)</f>
        <v>0</v>
      </c>
      <c r="Y183" s="173">
        <f>VLOOKUP(R183,[1]MEP!$A$4:$R$300,15)</f>
        <v>0</v>
      </c>
      <c r="Z183" s="173">
        <f>VLOOKUP(R183,[1]MEP!$A$4:$R$300,16)</f>
        <v>0</v>
      </c>
      <c r="AA183" s="173">
        <f t="shared" si="8"/>
        <v>0</v>
      </c>
      <c r="AB183" s="173">
        <f t="shared" si="9"/>
        <v>0</v>
      </c>
      <c r="AC183" s="173">
        <f t="shared" si="13"/>
        <v>0</v>
      </c>
      <c r="AD183" s="173">
        <f t="shared" si="14"/>
        <v>0</v>
      </c>
      <c r="AE183" s="173">
        <f t="shared" si="15"/>
        <v>0</v>
      </c>
      <c r="AF183" s="173">
        <f t="shared" si="16"/>
        <v>0</v>
      </c>
      <c r="AG183" s="173">
        <f t="shared" si="17"/>
        <v>0</v>
      </c>
      <c r="AH183" s="173">
        <f t="shared" si="18"/>
        <v>0</v>
      </c>
      <c r="AI183" s="173">
        <f t="shared" si="19"/>
        <v>0</v>
      </c>
      <c r="AJ183" s="173">
        <f t="shared" si="20"/>
        <v>0</v>
      </c>
      <c r="AL183" s="5"/>
    </row>
    <row r="184" spans="17:38" x14ac:dyDescent="0.25">
      <c r="R184" s="173">
        <f>Alim_Surf!Q27</f>
        <v>0</v>
      </c>
      <c r="S184" s="173">
        <f>Alim_Surf!R27</f>
        <v>0</v>
      </c>
      <c r="T184" s="173">
        <f>VLOOKUP(R184,[1]MEP!$A$4:$M$300,13)</f>
        <v>0</v>
      </c>
      <c r="U184" s="173">
        <f t="shared" si="10"/>
        <v>0</v>
      </c>
      <c r="V184" s="173">
        <f t="shared" si="11"/>
        <v>0</v>
      </c>
      <c r="W184" s="173">
        <f t="shared" si="12"/>
        <v>0</v>
      </c>
      <c r="X184" s="173">
        <f>VLOOKUP(R184,[1]MEP!$A$4:$Q$300,14)</f>
        <v>0</v>
      </c>
      <c r="Y184" s="173">
        <f>VLOOKUP(R184,[1]MEP!$A$4:$R$300,15)</f>
        <v>0</v>
      </c>
      <c r="Z184" s="173">
        <f>VLOOKUP(R184,[1]MEP!$A$4:$R$300,16)</f>
        <v>0</v>
      </c>
      <c r="AA184" s="173">
        <f t="shared" si="8"/>
        <v>0</v>
      </c>
      <c r="AB184" s="173">
        <f t="shared" si="9"/>
        <v>0</v>
      </c>
      <c r="AC184" s="173">
        <f t="shared" si="13"/>
        <v>0</v>
      </c>
      <c r="AD184" s="173">
        <f t="shared" si="14"/>
        <v>0</v>
      </c>
      <c r="AE184" s="173">
        <f t="shared" si="15"/>
        <v>0</v>
      </c>
      <c r="AF184" s="173">
        <f t="shared" si="16"/>
        <v>0</v>
      </c>
      <c r="AG184" s="173">
        <f t="shared" si="17"/>
        <v>0</v>
      </c>
      <c r="AH184" s="173">
        <f t="shared" si="18"/>
        <v>0</v>
      </c>
      <c r="AI184" s="173">
        <f t="shared" si="19"/>
        <v>0</v>
      </c>
      <c r="AJ184" s="173">
        <f t="shared" si="20"/>
        <v>0</v>
      </c>
      <c r="AL184" s="5"/>
    </row>
    <row r="185" spans="17:38" x14ac:dyDescent="0.25">
      <c r="R185" s="173">
        <f>Alim_Surf!Q28</f>
        <v>0</v>
      </c>
      <c r="S185" s="173">
        <f>Alim_Surf!R28</f>
        <v>0</v>
      </c>
      <c r="T185" s="173">
        <f>VLOOKUP(R185,[1]MEP!$A$4:$M$300,13)</f>
        <v>0</v>
      </c>
      <c r="U185" s="173">
        <f t="shared" si="10"/>
        <v>0</v>
      </c>
      <c r="V185" s="173">
        <f t="shared" si="11"/>
        <v>0</v>
      </c>
      <c r="W185" s="173">
        <f t="shared" si="12"/>
        <v>0</v>
      </c>
      <c r="X185" s="173">
        <f>VLOOKUP(R185,[1]MEP!$A$4:$Q$300,14)</f>
        <v>0</v>
      </c>
      <c r="Y185" s="173">
        <f>VLOOKUP(R185,[1]MEP!$A$4:$R$300,15)</f>
        <v>0</v>
      </c>
      <c r="Z185" s="173">
        <f>VLOOKUP(R185,[1]MEP!$A$4:$R$300,16)</f>
        <v>0</v>
      </c>
      <c r="AA185" s="173">
        <f t="shared" si="8"/>
        <v>0</v>
      </c>
      <c r="AB185" s="173">
        <f t="shared" si="9"/>
        <v>0</v>
      </c>
      <c r="AC185" s="173">
        <f t="shared" si="13"/>
        <v>0</v>
      </c>
      <c r="AD185" s="173">
        <f t="shared" si="14"/>
        <v>0</v>
      </c>
      <c r="AE185" s="173">
        <f t="shared" si="15"/>
        <v>0</v>
      </c>
      <c r="AF185" s="173">
        <f t="shared" si="16"/>
        <v>0</v>
      </c>
      <c r="AG185" s="173">
        <f t="shared" si="17"/>
        <v>0</v>
      </c>
      <c r="AH185" s="173">
        <f t="shared" si="18"/>
        <v>0</v>
      </c>
      <c r="AI185" s="173">
        <f t="shared" si="19"/>
        <v>0</v>
      </c>
      <c r="AJ185" s="173">
        <f t="shared" si="20"/>
        <v>0</v>
      </c>
      <c r="AL185" s="5"/>
    </row>
    <row r="186" spans="17:38" x14ac:dyDescent="0.25">
      <c r="Q186">
        <v>1</v>
      </c>
      <c r="R186" s="173">
        <f>Alim_Surf!Q29</f>
        <v>239</v>
      </c>
      <c r="S186" s="173">
        <f>Alim_Surf!R29</f>
        <v>4.3</v>
      </c>
      <c r="T186" s="173">
        <f>VLOOKUP(R186,[1]MEP!$A$4:$M$300,13)</f>
        <v>0</v>
      </c>
      <c r="U186" s="173">
        <f t="shared" si="10"/>
        <v>0</v>
      </c>
      <c r="V186" s="173">
        <f t="shared" si="11"/>
        <v>0</v>
      </c>
      <c r="W186" s="173">
        <f t="shared" si="12"/>
        <v>0</v>
      </c>
      <c r="X186" s="173">
        <f>VLOOKUP(R186,[1]MEP!$A$4:$Q$300,14)</f>
        <v>0</v>
      </c>
      <c r="Y186" s="173">
        <f>VLOOKUP(R186,[1]MEP!$A$4:$R$300,15)</f>
        <v>0</v>
      </c>
      <c r="Z186" s="173">
        <f>VLOOKUP(R186,[1]MEP!$A$4:$R$300,16)</f>
        <v>0</v>
      </c>
      <c r="AA186" s="173">
        <f t="shared" si="8"/>
        <v>0</v>
      </c>
      <c r="AB186" s="173">
        <f t="shared" si="9"/>
        <v>0</v>
      </c>
      <c r="AC186" s="173">
        <f t="shared" si="13"/>
        <v>0</v>
      </c>
      <c r="AD186" s="173">
        <f t="shared" si="14"/>
        <v>4.3</v>
      </c>
      <c r="AE186" s="173">
        <f t="shared" si="15"/>
        <v>0</v>
      </c>
      <c r="AF186" s="173">
        <f t="shared" si="16"/>
        <v>0</v>
      </c>
      <c r="AG186" s="173">
        <f t="shared" si="17"/>
        <v>0</v>
      </c>
      <c r="AH186" s="173">
        <f t="shared" si="18"/>
        <v>4.3</v>
      </c>
      <c r="AI186" s="173">
        <f t="shared" si="19"/>
        <v>0</v>
      </c>
      <c r="AJ186" s="173">
        <f t="shared" si="20"/>
        <v>0</v>
      </c>
      <c r="AL186" s="5"/>
    </row>
    <row r="187" spans="17:38" x14ac:dyDescent="0.25">
      <c r="Q187">
        <v>2</v>
      </c>
      <c r="R187" s="173">
        <f>Alim_Surf!Q30</f>
        <v>242</v>
      </c>
      <c r="S187" s="173">
        <f>Alim_Surf!R30</f>
        <v>0</v>
      </c>
      <c r="T187" s="173">
        <f>VLOOKUP(R187,[1]MEP!$A$4:$M$300,13)</f>
        <v>1</v>
      </c>
      <c r="U187" s="173">
        <f t="shared" si="10"/>
        <v>0</v>
      </c>
      <c r="V187" s="173">
        <f t="shared" si="11"/>
        <v>0</v>
      </c>
      <c r="W187" s="173">
        <f t="shared" si="12"/>
        <v>0</v>
      </c>
      <c r="X187" s="173">
        <f>VLOOKUP(R187,[1]MEP!$A$4:$Q$300,14)</f>
        <v>0</v>
      </c>
      <c r="Y187" s="173">
        <f>VLOOKUP(R187,[1]MEP!$A$4:$R$300,15)</f>
        <v>0</v>
      </c>
      <c r="Z187" s="173">
        <f>VLOOKUP(R187,[1]MEP!$A$4:$R$300,16)</f>
        <v>0</v>
      </c>
      <c r="AA187" s="173">
        <f t="shared" si="8"/>
        <v>0</v>
      </c>
      <c r="AB187" s="173">
        <f t="shared" si="9"/>
        <v>0</v>
      </c>
      <c r="AC187" s="173">
        <f t="shared" si="13"/>
        <v>0</v>
      </c>
      <c r="AD187" s="173">
        <f t="shared" si="14"/>
        <v>0</v>
      </c>
      <c r="AE187" s="173">
        <f t="shared" si="15"/>
        <v>0</v>
      </c>
      <c r="AF187" s="173">
        <f t="shared" si="16"/>
        <v>0</v>
      </c>
      <c r="AG187" s="173">
        <f t="shared" si="17"/>
        <v>0</v>
      </c>
      <c r="AH187" s="173">
        <f t="shared" si="18"/>
        <v>0</v>
      </c>
      <c r="AI187" s="173">
        <f t="shared" si="19"/>
        <v>0</v>
      </c>
      <c r="AJ187" s="173">
        <f t="shared" si="20"/>
        <v>0</v>
      </c>
      <c r="AL187" s="5"/>
    </row>
    <row r="188" spans="17:38" x14ac:dyDescent="0.25">
      <c r="Q188">
        <v>3</v>
      </c>
      <c r="R188" s="173">
        <f>Alim_Surf!Q31</f>
        <v>194</v>
      </c>
      <c r="S188" s="173">
        <f>Alim_Surf!R31</f>
        <v>5</v>
      </c>
      <c r="T188" s="173">
        <f>VLOOKUP(R188,[1]MEP!$A$4:$M$300,13)</f>
        <v>2</v>
      </c>
      <c r="U188" s="173">
        <f t="shared" si="10"/>
        <v>5</v>
      </c>
      <c r="V188" s="173">
        <f t="shared" si="11"/>
        <v>5</v>
      </c>
      <c r="W188" s="173">
        <f t="shared" si="12"/>
        <v>0</v>
      </c>
      <c r="X188" s="173">
        <f>VLOOKUP(R188,[1]MEP!$A$4:$Q$300,14)</f>
        <v>0</v>
      </c>
      <c r="Y188" s="173">
        <f>VLOOKUP(R188,[1]MEP!$A$4:$R$300,15)</f>
        <v>0</v>
      </c>
      <c r="Z188" s="173">
        <f>VLOOKUP(R188,[1]MEP!$A$4:$R$300,16)</f>
        <v>1</v>
      </c>
      <c r="AA188" s="173">
        <f t="shared" si="8"/>
        <v>0</v>
      </c>
      <c r="AB188" s="173">
        <f t="shared" si="9"/>
        <v>0</v>
      </c>
      <c r="AC188" s="173">
        <f t="shared" si="13"/>
        <v>5</v>
      </c>
      <c r="AD188" s="173">
        <f t="shared" si="14"/>
        <v>0</v>
      </c>
      <c r="AE188" s="173">
        <f t="shared" si="15"/>
        <v>0</v>
      </c>
      <c r="AF188" s="173">
        <f t="shared" si="16"/>
        <v>0</v>
      </c>
      <c r="AG188" s="173">
        <f t="shared" si="17"/>
        <v>5</v>
      </c>
      <c r="AH188" s="173">
        <f t="shared" si="18"/>
        <v>0</v>
      </c>
      <c r="AI188" s="173">
        <f t="shared" si="19"/>
        <v>0</v>
      </c>
      <c r="AJ188" s="173">
        <f t="shared" si="20"/>
        <v>0</v>
      </c>
      <c r="AL188" s="5"/>
    </row>
    <row r="189" spans="17:38" x14ac:dyDescent="0.25">
      <c r="Q189">
        <v>4</v>
      </c>
      <c r="R189" s="173">
        <f>Alim_Surf!Q32</f>
        <v>0</v>
      </c>
      <c r="S189" s="173">
        <f>Alim_Surf!R32</f>
        <v>0</v>
      </c>
      <c r="T189" s="173">
        <f>VLOOKUP(R189,[1]MEP!$A$4:$M$300,13)</f>
        <v>0</v>
      </c>
      <c r="U189" s="173">
        <f t="shared" si="10"/>
        <v>0</v>
      </c>
      <c r="V189" s="173">
        <f t="shared" si="11"/>
        <v>0</v>
      </c>
      <c r="W189" s="173">
        <f t="shared" si="12"/>
        <v>0</v>
      </c>
      <c r="X189" s="173">
        <f>VLOOKUP(R189,[1]MEP!$A$4:$Q$300,14)</f>
        <v>0</v>
      </c>
      <c r="Y189" s="173">
        <f>VLOOKUP(R189,[1]MEP!$A$4:$R$300,15)</f>
        <v>0</v>
      </c>
      <c r="Z189" s="173">
        <f>VLOOKUP(R189,[1]MEP!$A$4:$R$300,16)</f>
        <v>0</v>
      </c>
      <c r="AA189" s="173">
        <f t="shared" si="8"/>
        <v>0</v>
      </c>
      <c r="AB189" s="173">
        <f t="shared" si="9"/>
        <v>0</v>
      </c>
      <c r="AC189" s="173">
        <f t="shared" si="13"/>
        <v>0</v>
      </c>
      <c r="AD189" s="173">
        <f t="shared" si="14"/>
        <v>0</v>
      </c>
      <c r="AE189" s="173">
        <f t="shared" si="15"/>
        <v>0</v>
      </c>
      <c r="AF189" s="173">
        <f t="shared" si="16"/>
        <v>0</v>
      </c>
      <c r="AG189" s="173">
        <f t="shared" si="17"/>
        <v>0</v>
      </c>
      <c r="AH189" s="173">
        <f t="shared" si="18"/>
        <v>0</v>
      </c>
      <c r="AI189" s="173">
        <f t="shared" si="19"/>
        <v>0</v>
      </c>
      <c r="AJ189" s="173">
        <f t="shared" si="20"/>
        <v>0</v>
      </c>
      <c r="AL189" s="5"/>
    </row>
    <row r="190" spans="17:38" x14ac:dyDescent="0.25">
      <c r="Q190">
        <v>5</v>
      </c>
      <c r="R190" s="173">
        <f>Alim_Surf!Q33</f>
        <v>0</v>
      </c>
      <c r="S190" s="173">
        <f>Alim_Surf!R33</f>
        <v>0</v>
      </c>
      <c r="T190" s="173">
        <f>VLOOKUP(R190,[1]MEP!$A$4:$M$300,13)</f>
        <v>0</v>
      </c>
      <c r="U190" s="173">
        <f t="shared" si="10"/>
        <v>0</v>
      </c>
      <c r="V190" s="173">
        <f t="shared" si="11"/>
        <v>0</v>
      </c>
      <c r="W190" s="173">
        <f t="shared" si="12"/>
        <v>0</v>
      </c>
      <c r="X190" s="173">
        <f>VLOOKUP(R190,[1]MEP!$A$4:$Q$300,14)</f>
        <v>0</v>
      </c>
      <c r="Y190" s="173">
        <f>VLOOKUP(R190,[1]MEP!$A$4:$R$300,15)</f>
        <v>0</v>
      </c>
      <c r="Z190" s="173">
        <f>VLOOKUP(R190,[1]MEP!$A$4:$R$300,16)</f>
        <v>0</v>
      </c>
      <c r="AA190" s="173">
        <f t="shared" si="8"/>
        <v>0</v>
      </c>
      <c r="AB190" s="173">
        <f t="shared" si="9"/>
        <v>0</v>
      </c>
      <c r="AC190" s="173">
        <f t="shared" si="13"/>
        <v>0</v>
      </c>
      <c r="AD190" s="173">
        <f t="shared" si="14"/>
        <v>0</v>
      </c>
      <c r="AE190" s="173">
        <f t="shared" si="15"/>
        <v>0</v>
      </c>
      <c r="AF190" s="173">
        <f t="shared" si="16"/>
        <v>0</v>
      </c>
      <c r="AG190" s="173">
        <f t="shared" si="17"/>
        <v>0</v>
      </c>
      <c r="AH190" s="173">
        <f t="shared" si="18"/>
        <v>0</v>
      </c>
      <c r="AI190" s="173">
        <f t="shared" si="19"/>
        <v>0</v>
      </c>
      <c r="AJ190" s="173">
        <f t="shared" si="20"/>
        <v>0</v>
      </c>
      <c r="AL190" s="5"/>
    </row>
    <row r="191" spans="17:38" x14ac:dyDescent="0.25">
      <c r="Q191">
        <v>6</v>
      </c>
      <c r="R191" s="173">
        <f>Alim_Surf!Q34</f>
        <v>0</v>
      </c>
      <c r="S191" s="173">
        <f>Alim_Surf!R34</f>
        <v>0</v>
      </c>
      <c r="T191" s="173">
        <f>VLOOKUP(R191,[1]MEP!$A$4:$M$300,13)</f>
        <v>0</v>
      </c>
      <c r="U191" s="173">
        <f t="shared" si="10"/>
        <v>0</v>
      </c>
      <c r="V191" s="173">
        <f t="shared" si="11"/>
        <v>0</v>
      </c>
      <c r="W191" s="173">
        <f t="shared" si="12"/>
        <v>0</v>
      </c>
      <c r="X191" s="173">
        <f>VLOOKUP(R191,[1]MEP!$A$4:$Q$300,14)</f>
        <v>0</v>
      </c>
      <c r="Y191" s="173">
        <f>VLOOKUP(R191,[1]MEP!$A$4:$R$300,15)</f>
        <v>0</v>
      </c>
      <c r="Z191" s="173">
        <f>VLOOKUP(R191,[1]MEP!$A$4:$R$300,16)</f>
        <v>0</v>
      </c>
      <c r="AA191" s="173">
        <f t="shared" si="8"/>
        <v>0</v>
      </c>
      <c r="AB191" s="173">
        <f t="shared" si="9"/>
        <v>0</v>
      </c>
      <c r="AC191" s="173">
        <f t="shared" si="13"/>
        <v>0</v>
      </c>
      <c r="AD191" s="173">
        <f t="shared" si="14"/>
        <v>0</v>
      </c>
      <c r="AE191" s="173">
        <f t="shared" si="15"/>
        <v>0</v>
      </c>
      <c r="AF191" s="173">
        <f t="shared" si="16"/>
        <v>0</v>
      </c>
      <c r="AG191" s="173">
        <f t="shared" si="17"/>
        <v>0</v>
      </c>
      <c r="AH191" s="173">
        <f t="shared" si="18"/>
        <v>0</v>
      </c>
      <c r="AI191" s="173">
        <f t="shared" si="19"/>
        <v>0</v>
      </c>
      <c r="AJ191" s="173">
        <f t="shared" si="20"/>
        <v>0</v>
      </c>
      <c r="AL191" s="5"/>
    </row>
    <row r="192" spans="17:38" x14ac:dyDescent="0.25">
      <c r="Q192">
        <v>7</v>
      </c>
      <c r="R192" s="173">
        <f>Alim_Surf!Q35</f>
        <v>0</v>
      </c>
      <c r="S192" s="173">
        <f>Alim_Surf!R35</f>
        <v>0</v>
      </c>
      <c r="T192" s="173">
        <f>VLOOKUP(R192,[1]MEP!$A$4:$M$300,13)</f>
        <v>0</v>
      </c>
      <c r="U192" s="173">
        <f t="shared" si="10"/>
        <v>0</v>
      </c>
      <c r="V192" s="173">
        <f t="shared" si="11"/>
        <v>0</v>
      </c>
      <c r="W192" s="173">
        <f t="shared" si="12"/>
        <v>0</v>
      </c>
      <c r="X192" s="173">
        <f>VLOOKUP(R192,[1]MEP!$A$4:$Q$300,14)</f>
        <v>0</v>
      </c>
      <c r="Y192" s="173">
        <f>VLOOKUP(R192,[1]MEP!$A$4:$R$300,15)</f>
        <v>0</v>
      </c>
      <c r="Z192" s="173">
        <f>VLOOKUP(R192,[1]MEP!$A$4:$R$300,16)</f>
        <v>0</v>
      </c>
      <c r="AA192" s="173">
        <f t="shared" si="8"/>
        <v>0</v>
      </c>
      <c r="AB192" s="173">
        <f t="shared" si="9"/>
        <v>0</v>
      </c>
      <c r="AC192" s="173">
        <f t="shared" si="13"/>
        <v>0</v>
      </c>
      <c r="AD192" s="173">
        <f t="shared" si="14"/>
        <v>0</v>
      </c>
      <c r="AE192" s="173">
        <f t="shared" si="15"/>
        <v>0</v>
      </c>
      <c r="AF192" s="173">
        <f t="shared" si="16"/>
        <v>0</v>
      </c>
      <c r="AG192" s="173">
        <f t="shared" si="17"/>
        <v>0</v>
      </c>
      <c r="AH192" s="173">
        <f t="shared" si="18"/>
        <v>0</v>
      </c>
      <c r="AI192" s="173">
        <f t="shared" si="19"/>
        <v>0</v>
      </c>
      <c r="AJ192" s="173">
        <f t="shared" si="20"/>
        <v>0</v>
      </c>
      <c r="AL192" s="5"/>
    </row>
    <row r="193" spans="17:38" x14ac:dyDescent="0.25">
      <c r="Q193">
        <v>8</v>
      </c>
      <c r="R193" s="173">
        <f>Alim_Surf!Q36</f>
        <v>0</v>
      </c>
      <c r="S193" s="173">
        <f>Alim_Surf!R36</f>
        <v>0</v>
      </c>
      <c r="T193" s="173">
        <f>VLOOKUP(R193,[1]MEP!$A$4:$M$300,13)</f>
        <v>0</v>
      </c>
      <c r="U193" s="173">
        <f t="shared" si="10"/>
        <v>0</v>
      </c>
      <c r="V193" s="173">
        <f t="shared" si="11"/>
        <v>0</v>
      </c>
      <c r="W193" s="173">
        <f t="shared" si="12"/>
        <v>0</v>
      </c>
      <c r="X193" s="173">
        <f>VLOOKUP(R193,[1]MEP!$A$4:$Q$300,14)</f>
        <v>0</v>
      </c>
      <c r="Y193" s="173">
        <f>VLOOKUP(R193,[1]MEP!$A$4:$R$300,15)</f>
        <v>0</v>
      </c>
      <c r="Z193" s="173">
        <f>VLOOKUP(R193,[1]MEP!$A$4:$R$300,16)</f>
        <v>0</v>
      </c>
      <c r="AA193" s="173">
        <f t="shared" si="8"/>
        <v>0</v>
      </c>
      <c r="AB193" s="173">
        <f t="shared" si="9"/>
        <v>0</v>
      </c>
      <c r="AC193" s="173">
        <f t="shared" si="13"/>
        <v>0</v>
      </c>
      <c r="AD193" s="173">
        <f t="shared" si="14"/>
        <v>0</v>
      </c>
      <c r="AE193" s="173">
        <f t="shared" si="15"/>
        <v>0</v>
      </c>
      <c r="AF193" s="173">
        <f t="shared" si="16"/>
        <v>0</v>
      </c>
      <c r="AG193" s="173">
        <f t="shared" si="17"/>
        <v>0</v>
      </c>
      <c r="AH193" s="173">
        <f t="shared" si="18"/>
        <v>0</v>
      </c>
      <c r="AI193" s="173">
        <f t="shared" si="19"/>
        <v>0</v>
      </c>
      <c r="AJ193" s="173">
        <f t="shared" si="20"/>
        <v>0</v>
      </c>
      <c r="AL193" s="5"/>
    </row>
    <row r="194" spans="17:38" x14ac:dyDescent="0.25">
      <c r="Q194">
        <v>9</v>
      </c>
      <c r="R194" s="173">
        <f>Alim_Surf!Q37</f>
        <v>0</v>
      </c>
      <c r="S194" s="173">
        <f>Alim_Surf!R37</f>
        <v>0</v>
      </c>
      <c r="T194" s="173">
        <f>VLOOKUP(R194,[1]MEP!$A$4:$M$300,13)</f>
        <v>0</v>
      </c>
      <c r="U194" s="173">
        <f t="shared" si="10"/>
        <v>0</v>
      </c>
      <c r="V194" s="173">
        <f t="shared" si="11"/>
        <v>0</v>
      </c>
      <c r="W194" s="173">
        <f t="shared" si="12"/>
        <v>0</v>
      </c>
      <c r="X194" s="173">
        <f>VLOOKUP(R194,[1]MEP!$A$4:$Q$300,14)</f>
        <v>0</v>
      </c>
      <c r="Y194" s="173">
        <f>VLOOKUP(R194,[1]MEP!$A$4:$R$300,15)</f>
        <v>0</v>
      </c>
      <c r="Z194" s="173">
        <f>VLOOKUP(R194,[1]MEP!$A$4:$R$300,16)</f>
        <v>0</v>
      </c>
      <c r="AA194" s="173">
        <f t="shared" si="8"/>
        <v>0</v>
      </c>
      <c r="AB194" s="173">
        <f t="shared" si="9"/>
        <v>0</v>
      </c>
      <c r="AC194" s="173">
        <f t="shared" si="13"/>
        <v>0</v>
      </c>
      <c r="AD194" s="173">
        <f t="shared" si="14"/>
        <v>0</v>
      </c>
      <c r="AE194" s="173">
        <f t="shared" si="15"/>
        <v>0</v>
      </c>
      <c r="AF194" s="173">
        <f t="shared" si="16"/>
        <v>0</v>
      </c>
      <c r="AG194" s="173">
        <f t="shared" si="17"/>
        <v>0</v>
      </c>
      <c r="AH194" s="173">
        <f t="shared" si="18"/>
        <v>0</v>
      </c>
      <c r="AI194" s="173">
        <f t="shared" si="19"/>
        <v>0</v>
      </c>
      <c r="AJ194" s="173">
        <f t="shared" si="20"/>
        <v>0</v>
      </c>
      <c r="AL194" s="5"/>
    </row>
    <row r="195" spans="17:38" x14ac:dyDescent="0.25">
      <c r="Q195">
        <v>10</v>
      </c>
      <c r="R195" s="173">
        <f>Alim_Surf!Q38</f>
        <v>0</v>
      </c>
      <c r="S195" s="173">
        <f>Alim_Surf!R38</f>
        <v>0</v>
      </c>
      <c r="T195" s="173">
        <f>VLOOKUP(R195,[1]MEP!$A$4:$M$300,13)</f>
        <v>0</v>
      </c>
      <c r="U195" s="173">
        <f t="shared" si="10"/>
        <v>0</v>
      </c>
      <c r="V195" s="173">
        <f t="shared" si="11"/>
        <v>0</v>
      </c>
      <c r="W195" s="173">
        <f t="shared" si="12"/>
        <v>0</v>
      </c>
      <c r="X195" s="173">
        <f>VLOOKUP(R195,[1]MEP!$A$4:$Q$300,14)</f>
        <v>0</v>
      </c>
      <c r="Y195" s="173">
        <f>VLOOKUP(R195,[1]MEP!$A$4:$R$300,15)</f>
        <v>0</v>
      </c>
      <c r="Z195" s="173">
        <f>VLOOKUP(R195,[1]MEP!$A$4:$R$300,16)</f>
        <v>0</v>
      </c>
      <c r="AA195" s="173">
        <f t="shared" si="8"/>
        <v>0</v>
      </c>
      <c r="AB195" s="173">
        <f t="shared" si="9"/>
        <v>0</v>
      </c>
      <c r="AC195" s="173">
        <f t="shared" si="13"/>
        <v>0</v>
      </c>
      <c r="AD195" s="173">
        <f t="shared" si="14"/>
        <v>0</v>
      </c>
      <c r="AE195" s="173">
        <f t="shared" si="15"/>
        <v>0</v>
      </c>
      <c r="AF195" s="173">
        <f t="shared" si="16"/>
        <v>0</v>
      </c>
      <c r="AG195" s="173">
        <f t="shared" si="17"/>
        <v>0</v>
      </c>
      <c r="AH195" s="173">
        <f t="shared" si="18"/>
        <v>0</v>
      </c>
      <c r="AI195" s="173">
        <f t="shared" si="19"/>
        <v>0</v>
      </c>
      <c r="AJ195" s="173">
        <f t="shared" si="20"/>
        <v>0</v>
      </c>
      <c r="AL195" s="5"/>
    </row>
    <row r="196" spans="17:38" x14ac:dyDescent="0.25">
      <c r="Q196">
        <v>11</v>
      </c>
      <c r="R196" s="173">
        <f>Alim_Surf!Q39</f>
        <v>0</v>
      </c>
      <c r="S196" s="173">
        <f>Alim_Surf!R39</f>
        <v>0</v>
      </c>
      <c r="T196" s="173">
        <f>VLOOKUP(R196,[1]MEP!$A$4:$M$300,13)</f>
        <v>0</v>
      </c>
      <c r="U196" s="173">
        <f t="shared" si="10"/>
        <v>0</v>
      </c>
      <c r="V196" s="173">
        <f t="shared" si="11"/>
        <v>0</v>
      </c>
      <c r="W196" s="173">
        <f t="shared" si="12"/>
        <v>0</v>
      </c>
      <c r="X196" s="173">
        <f>VLOOKUP(R196,[1]MEP!$A$4:$Q$300,14)</f>
        <v>0</v>
      </c>
      <c r="Y196" s="173">
        <f>VLOOKUP(R196,[1]MEP!$A$4:$R$300,15)</f>
        <v>0</v>
      </c>
      <c r="Z196" s="173">
        <f>VLOOKUP(R196,[1]MEP!$A$4:$R$300,16)</f>
        <v>0</v>
      </c>
      <c r="AA196" s="173">
        <f t="shared" si="8"/>
        <v>0</v>
      </c>
      <c r="AB196" s="173">
        <f t="shared" si="9"/>
        <v>0</v>
      </c>
      <c r="AC196" s="173">
        <f t="shared" si="13"/>
        <v>0</v>
      </c>
      <c r="AD196" s="173">
        <f t="shared" si="14"/>
        <v>0</v>
      </c>
      <c r="AE196" s="173">
        <f t="shared" si="15"/>
        <v>0</v>
      </c>
      <c r="AF196" s="173">
        <f t="shared" si="16"/>
        <v>0</v>
      </c>
      <c r="AG196" s="173">
        <f t="shared" si="17"/>
        <v>0</v>
      </c>
      <c r="AH196" s="173">
        <f t="shared" si="18"/>
        <v>0</v>
      </c>
      <c r="AI196" s="173">
        <f t="shared" si="19"/>
        <v>0</v>
      </c>
      <c r="AJ196" s="173">
        <f t="shared" si="20"/>
        <v>0</v>
      </c>
      <c r="AL196" s="5"/>
    </row>
    <row r="197" spans="17:38" x14ac:dyDescent="0.25">
      <c r="Q197">
        <v>12</v>
      </c>
      <c r="R197" s="173">
        <f>Alim_Surf!Q40</f>
        <v>0</v>
      </c>
      <c r="S197" s="173">
        <f>Alim_Surf!R40</f>
        <v>0</v>
      </c>
      <c r="T197" s="173">
        <f>VLOOKUP(R197,[1]MEP!$A$4:$M$300,13)</f>
        <v>0</v>
      </c>
      <c r="U197" s="173">
        <f t="shared" si="10"/>
        <v>0</v>
      </c>
      <c r="V197" s="173">
        <f t="shared" si="11"/>
        <v>0</v>
      </c>
      <c r="W197" s="173">
        <f t="shared" si="12"/>
        <v>0</v>
      </c>
      <c r="X197" s="173">
        <f>VLOOKUP(R197,[1]MEP!$A$4:$Q$300,14)</f>
        <v>0</v>
      </c>
      <c r="Y197" s="173">
        <f>VLOOKUP(R197,[1]MEP!$A$4:$R$300,15)</f>
        <v>0</v>
      </c>
      <c r="Z197" s="173">
        <f>VLOOKUP(R197,[1]MEP!$A$4:$R$300,16)</f>
        <v>0</v>
      </c>
      <c r="AA197" s="173">
        <f t="shared" si="8"/>
        <v>0</v>
      </c>
      <c r="AB197" s="173">
        <f t="shared" si="9"/>
        <v>0</v>
      </c>
      <c r="AC197" s="173">
        <f t="shared" si="13"/>
        <v>0</v>
      </c>
      <c r="AD197" s="173">
        <f t="shared" si="14"/>
        <v>0</v>
      </c>
      <c r="AE197" s="173">
        <f t="shared" si="15"/>
        <v>0</v>
      </c>
      <c r="AF197" s="173">
        <f t="shared" si="16"/>
        <v>0</v>
      </c>
      <c r="AG197" s="173">
        <f t="shared" si="17"/>
        <v>0</v>
      </c>
      <c r="AH197" s="173">
        <f t="shared" si="18"/>
        <v>0</v>
      </c>
      <c r="AI197" s="173">
        <f t="shared" si="19"/>
        <v>0</v>
      </c>
      <c r="AJ197" s="173">
        <f t="shared" si="20"/>
        <v>0</v>
      </c>
      <c r="AL197" s="5"/>
    </row>
    <row r="198" spans="17:38" x14ac:dyDescent="0.25">
      <c r="Q198">
        <v>13</v>
      </c>
      <c r="R198" s="173">
        <f>Alim_Surf!Q41</f>
        <v>0</v>
      </c>
      <c r="S198" s="173">
        <f>Alim_Surf!R41</f>
        <v>0</v>
      </c>
      <c r="T198" s="173">
        <f>VLOOKUP(R198,[1]MEP!$A$4:$M$300,13)</f>
        <v>0</v>
      </c>
      <c r="U198" s="173">
        <f t="shared" si="10"/>
        <v>0</v>
      </c>
      <c r="V198" s="173">
        <f t="shared" si="11"/>
        <v>0</v>
      </c>
      <c r="W198" s="173">
        <f t="shared" si="12"/>
        <v>0</v>
      </c>
      <c r="X198" s="173">
        <f>VLOOKUP(R198,[1]MEP!$A$4:$Q$300,14)</f>
        <v>0</v>
      </c>
      <c r="Y198" s="173">
        <f>VLOOKUP(R198,[1]MEP!$A$4:$R$300,15)</f>
        <v>0</v>
      </c>
      <c r="Z198" s="173">
        <f>VLOOKUP(R198,[1]MEP!$A$4:$R$300,16)</f>
        <v>0</v>
      </c>
      <c r="AA198" s="173">
        <f t="shared" si="8"/>
        <v>0</v>
      </c>
      <c r="AB198" s="173">
        <f t="shared" si="9"/>
        <v>0</v>
      </c>
      <c r="AC198" s="173">
        <f t="shared" si="13"/>
        <v>0</v>
      </c>
      <c r="AD198" s="173">
        <f t="shared" si="14"/>
        <v>0</v>
      </c>
      <c r="AE198" s="173">
        <f t="shared" si="15"/>
        <v>0</v>
      </c>
      <c r="AF198" s="173">
        <f t="shared" si="16"/>
        <v>0</v>
      </c>
      <c r="AG198" s="173">
        <f t="shared" si="17"/>
        <v>0</v>
      </c>
      <c r="AH198" s="173">
        <f t="shared" si="18"/>
        <v>0</v>
      </c>
      <c r="AI198" s="173">
        <f t="shared" si="19"/>
        <v>0</v>
      </c>
      <c r="AJ198" s="173">
        <f t="shared" si="20"/>
        <v>0</v>
      </c>
      <c r="AL198" s="5"/>
    </row>
    <row r="199" spans="17:38" x14ac:dyDescent="0.25">
      <c r="Q199">
        <v>14</v>
      </c>
      <c r="R199" s="173">
        <f>Alim_Surf!Q42</f>
        <v>0</v>
      </c>
      <c r="S199" s="173">
        <f>Alim_Surf!R42</f>
        <v>0</v>
      </c>
      <c r="T199" s="173">
        <f>VLOOKUP(R199,[1]MEP!$A$4:$M$300,13)</f>
        <v>0</v>
      </c>
      <c r="U199" s="173">
        <f t="shared" si="10"/>
        <v>0</v>
      </c>
      <c r="V199" s="173">
        <f t="shared" si="11"/>
        <v>0</v>
      </c>
      <c r="W199" s="173">
        <f t="shared" si="12"/>
        <v>0</v>
      </c>
      <c r="X199" s="173">
        <f>VLOOKUP(R199,[1]MEP!$A$4:$Q$300,14)</f>
        <v>0</v>
      </c>
      <c r="Y199" s="173">
        <f>VLOOKUP(R199,[1]MEP!$A$4:$R$300,15)</f>
        <v>0</v>
      </c>
      <c r="Z199" s="173">
        <f>VLOOKUP(R199,[1]MEP!$A$4:$R$300,16)</f>
        <v>0</v>
      </c>
      <c r="AA199" s="173">
        <f t="shared" si="8"/>
        <v>0</v>
      </c>
      <c r="AB199" s="173">
        <f t="shared" si="9"/>
        <v>0</v>
      </c>
      <c r="AC199" s="173">
        <f t="shared" si="13"/>
        <v>0</v>
      </c>
      <c r="AD199" s="173">
        <f t="shared" si="14"/>
        <v>0</v>
      </c>
      <c r="AE199" s="173">
        <f t="shared" si="15"/>
        <v>0</v>
      </c>
      <c r="AF199" s="173">
        <f t="shared" si="16"/>
        <v>0</v>
      </c>
      <c r="AG199" s="173">
        <f t="shared" si="17"/>
        <v>0</v>
      </c>
      <c r="AH199" s="173">
        <f t="shared" si="18"/>
        <v>0</v>
      </c>
      <c r="AI199" s="173">
        <f t="shared" si="19"/>
        <v>0</v>
      </c>
      <c r="AJ199" s="173">
        <f t="shared" si="20"/>
        <v>0</v>
      </c>
      <c r="AL199" s="5"/>
    </row>
    <row r="200" spans="17:38" x14ac:dyDescent="0.25">
      <c r="Q200">
        <v>15</v>
      </c>
      <c r="R200" s="173">
        <f>Alim_Surf!Q43</f>
        <v>0</v>
      </c>
      <c r="S200" s="173">
        <f>Alim_Surf!R43</f>
        <v>0</v>
      </c>
      <c r="T200" s="173">
        <f>VLOOKUP(R200,[1]MEP!$A$4:$M$300,13)</f>
        <v>0</v>
      </c>
      <c r="U200" s="173">
        <f t="shared" si="10"/>
        <v>0</v>
      </c>
      <c r="V200" s="173">
        <f t="shared" si="11"/>
        <v>0</v>
      </c>
      <c r="W200" s="173">
        <f t="shared" si="12"/>
        <v>0</v>
      </c>
      <c r="X200" s="173">
        <f>VLOOKUP(R200,[1]MEP!$A$4:$Q$300,14)</f>
        <v>0</v>
      </c>
      <c r="Y200" s="173">
        <f>VLOOKUP(R200,[1]MEP!$A$4:$R$300,15)</f>
        <v>0</v>
      </c>
      <c r="Z200" s="173">
        <f>VLOOKUP(R200,[1]MEP!$A$4:$R$300,16)</f>
        <v>0</v>
      </c>
      <c r="AA200" s="173">
        <f t="shared" si="8"/>
        <v>0</v>
      </c>
      <c r="AB200" s="173">
        <f t="shared" si="9"/>
        <v>0</v>
      </c>
      <c r="AC200" s="173">
        <f t="shared" si="13"/>
        <v>0</v>
      </c>
      <c r="AD200" s="173">
        <f t="shared" si="14"/>
        <v>0</v>
      </c>
      <c r="AE200" s="173">
        <f t="shared" si="15"/>
        <v>0</v>
      </c>
      <c r="AF200" s="173">
        <f t="shared" si="16"/>
        <v>0</v>
      </c>
      <c r="AG200" s="173">
        <f t="shared" si="17"/>
        <v>0</v>
      </c>
      <c r="AH200" s="173">
        <f t="shared" si="18"/>
        <v>0</v>
      </c>
      <c r="AI200" s="173">
        <f t="shared" si="19"/>
        <v>0</v>
      </c>
      <c r="AJ200" s="173">
        <f t="shared" si="20"/>
        <v>0</v>
      </c>
      <c r="AL200" s="5"/>
    </row>
    <row r="201" spans="17:38" x14ac:dyDescent="0.25">
      <c r="Q201">
        <v>16</v>
      </c>
      <c r="R201" s="173">
        <f>Alim_Surf!Q44</f>
        <v>0</v>
      </c>
      <c r="S201" s="173">
        <f>Alim_Surf!R44</f>
        <v>0</v>
      </c>
      <c r="T201" s="173">
        <f>VLOOKUP(R201,[1]MEP!$A$4:$M$300,13)</f>
        <v>0</v>
      </c>
      <c r="U201" s="173">
        <f t="shared" si="10"/>
        <v>0</v>
      </c>
      <c r="V201" s="173">
        <f t="shared" si="11"/>
        <v>0</v>
      </c>
      <c r="W201" s="173">
        <f t="shared" si="12"/>
        <v>0</v>
      </c>
      <c r="X201" s="173">
        <f>VLOOKUP(R201,[1]MEP!$A$4:$Q$300,14)</f>
        <v>0</v>
      </c>
      <c r="Y201" s="173">
        <f>VLOOKUP(R201,[1]MEP!$A$4:$R$300,15)</f>
        <v>0</v>
      </c>
      <c r="Z201" s="173">
        <f>VLOOKUP(R201,[1]MEP!$A$4:$R$300,16)</f>
        <v>0</v>
      </c>
      <c r="AA201" s="173">
        <f t="shared" si="8"/>
        <v>0</v>
      </c>
      <c r="AB201" s="173">
        <f t="shared" si="9"/>
        <v>0</v>
      </c>
      <c r="AC201" s="173">
        <f t="shared" si="13"/>
        <v>0</v>
      </c>
      <c r="AD201" s="173">
        <f t="shared" si="14"/>
        <v>0</v>
      </c>
      <c r="AE201" s="173">
        <f t="shared" si="15"/>
        <v>0</v>
      </c>
      <c r="AF201" s="173">
        <f t="shared" si="16"/>
        <v>0</v>
      </c>
      <c r="AG201" s="173">
        <f t="shared" si="17"/>
        <v>0</v>
      </c>
      <c r="AH201" s="173">
        <f t="shared" si="18"/>
        <v>0</v>
      </c>
      <c r="AI201" s="173">
        <f t="shared" si="19"/>
        <v>0</v>
      </c>
      <c r="AJ201" s="173">
        <f t="shared" si="20"/>
        <v>0</v>
      </c>
      <c r="AL201" s="5"/>
    </row>
    <row r="202" spans="17:38" x14ac:dyDescent="0.25">
      <c r="Q202">
        <v>17</v>
      </c>
      <c r="R202" s="173">
        <f>Alim_Surf!Q45</f>
        <v>0</v>
      </c>
      <c r="S202" s="173">
        <f>Alim_Surf!R45</f>
        <v>0</v>
      </c>
      <c r="T202" s="173">
        <f>VLOOKUP(R202,[1]MEP!$A$4:$M$300,13)</f>
        <v>0</v>
      </c>
      <c r="U202" s="173">
        <f t="shared" si="10"/>
        <v>0</v>
      </c>
      <c r="V202" s="173">
        <f t="shared" si="11"/>
        <v>0</v>
      </c>
      <c r="W202" s="173">
        <f t="shared" si="12"/>
        <v>0</v>
      </c>
      <c r="X202" s="173">
        <f>VLOOKUP(R202,[1]MEP!$A$4:$Q$300,14)</f>
        <v>0</v>
      </c>
      <c r="Y202" s="173">
        <f>VLOOKUP(R202,[1]MEP!$A$4:$R$300,15)</f>
        <v>0</v>
      </c>
      <c r="Z202" s="173">
        <f>VLOOKUP(R202,[1]MEP!$A$4:$R$300,16)</f>
        <v>0</v>
      </c>
      <c r="AA202" s="173">
        <f t="shared" si="8"/>
        <v>0</v>
      </c>
      <c r="AB202" s="173">
        <f t="shared" si="9"/>
        <v>0</v>
      </c>
      <c r="AC202" s="173">
        <f t="shared" si="13"/>
        <v>0</v>
      </c>
      <c r="AD202" s="173">
        <f t="shared" si="14"/>
        <v>0</v>
      </c>
      <c r="AE202" s="173">
        <f t="shared" si="15"/>
        <v>0</v>
      </c>
      <c r="AF202" s="173">
        <f t="shared" si="16"/>
        <v>0</v>
      </c>
      <c r="AG202" s="173">
        <f t="shared" si="17"/>
        <v>0</v>
      </c>
      <c r="AH202" s="173">
        <f t="shared" si="18"/>
        <v>0</v>
      </c>
      <c r="AI202" s="173">
        <f t="shared" si="19"/>
        <v>0</v>
      </c>
      <c r="AJ202" s="173">
        <f t="shared" si="20"/>
        <v>0</v>
      </c>
      <c r="AL202" s="5"/>
    </row>
    <row r="203" spans="17:38" x14ac:dyDescent="0.25">
      <c r="Q203">
        <v>18</v>
      </c>
      <c r="R203" s="173">
        <f>Alim_Surf!Q46</f>
        <v>0</v>
      </c>
      <c r="S203" s="173">
        <f>Alim_Surf!R46</f>
        <v>0</v>
      </c>
      <c r="T203" s="173">
        <f>VLOOKUP(R203,[1]MEP!$A$4:$M$300,13)</f>
        <v>0</v>
      </c>
      <c r="U203" s="173">
        <f t="shared" si="10"/>
        <v>0</v>
      </c>
      <c r="V203" s="173">
        <f t="shared" si="11"/>
        <v>0</v>
      </c>
      <c r="W203" s="173">
        <f t="shared" si="12"/>
        <v>0</v>
      </c>
      <c r="X203" s="173">
        <f>VLOOKUP(R203,[1]MEP!$A$4:$Q$300,14)</f>
        <v>0</v>
      </c>
      <c r="Y203" s="173">
        <f>VLOOKUP(R203,[1]MEP!$A$4:$R$300,15)</f>
        <v>0</v>
      </c>
      <c r="Z203" s="173">
        <f>VLOOKUP(R203,[1]MEP!$A$4:$R$300,16)</f>
        <v>0</v>
      </c>
      <c r="AA203" s="173">
        <f t="shared" si="8"/>
        <v>0</v>
      </c>
      <c r="AB203" s="173">
        <f t="shared" si="9"/>
        <v>0</v>
      </c>
      <c r="AC203" s="173">
        <f t="shared" si="13"/>
        <v>0</v>
      </c>
      <c r="AD203" s="173">
        <f t="shared" si="14"/>
        <v>0</v>
      </c>
      <c r="AE203" s="173">
        <f t="shared" si="15"/>
        <v>0</v>
      </c>
      <c r="AF203" s="173">
        <f t="shared" si="16"/>
        <v>0</v>
      </c>
      <c r="AG203" s="173">
        <f t="shared" si="17"/>
        <v>0</v>
      </c>
      <c r="AH203" s="173">
        <f t="shared" si="18"/>
        <v>0</v>
      </c>
      <c r="AI203" s="173">
        <f t="shared" si="19"/>
        <v>0</v>
      </c>
      <c r="AJ203" s="173">
        <f t="shared" si="20"/>
        <v>0</v>
      </c>
      <c r="AL203" s="5"/>
    </row>
    <row r="204" spans="17:38" x14ac:dyDescent="0.25">
      <c r="Q204">
        <v>19</v>
      </c>
      <c r="R204" s="173">
        <f>Alim_Surf!Q47</f>
        <v>0</v>
      </c>
      <c r="S204" s="173">
        <f>Alim_Surf!R47</f>
        <v>0</v>
      </c>
      <c r="T204" s="173">
        <f>VLOOKUP(R204,[1]MEP!$A$4:$M$300,13)</f>
        <v>0</v>
      </c>
      <c r="U204" s="173">
        <f t="shared" si="10"/>
        <v>0</v>
      </c>
      <c r="V204" s="173">
        <f t="shared" si="11"/>
        <v>0</v>
      </c>
      <c r="W204" s="173">
        <f t="shared" si="12"/>
        <v>0</v>
      </c>
      <c r="X204" s="173">
        <f>VLOOKUP(R204,[1]MEP!$A$4:$Q$300,14)</f>
        <v>0</v>
      </c>
      <c r="Y204" s="173">
        <f>VLOOKUP(R204,[1]MEP!$A$4:$R$300,15)</f>
        <v>0</v>
      </c>
      <c r="Z204" s="173">
        <f>VLOOKUP(R204,[1]MEP!$A$4:$R$300,16)</f>
        <v>0</v>
      </c>
      <c r="AA204" s="173">
        <f t="shared" si="8"/>
        <v>0</v>
      </c>
      <c r="AB204" s="173">
        <f t="shared" si="9"/>
        <v>0</v>
      </c>
      <c r="AC204" s="173">
        <f t="shared" si="13"/>
        <v>0</v>
      </c>
      <c r="AD204" s="173">
        <f t="shared" si="14"/>
        <v>0</v>
      </c>
      <c r="AE204" s="173">
        <f t="shared" si="15"/>
        <v>0</v>
      </c>
      <c r="AF204" s="173">
        <f t="shared" si="16"/>
        <v>0</v>
      </c>
      <c r="AG204" s="173">
        <f t="shared" si="17"/>
        <v>0</v>
      </c>
      <c r="AH204" s="173">
        <f t="shared" si="18"/>
        <v>0</v>
      </c>
      <c r="AI204" s="173">
        <f t="shared" si="19"/>
        <v>0</v>
      </c>
      <c r="AJ204" s="173">
        <f t="shared" si="20"/>
        <v>0</v>
      </c>
      <c r="AL204" s="5"/>
    </row>
    <row r="205" spans="17:38" x14ac:dyDescent="0.25">
      <c r="Q205">
        <v>20</v>
      </c>
      <c r="R205" s="173">
        <f>Alim_Surf!Q48</f>
        <v>0</v>
      </c>
      <c r="S205" s="173">
        <f>Alim_Surf!R48</f>
        <v>0</v>
      </c>
      <c r="T205" s="173">
        <f>VLOOKUP(R205,[1]MEP!$A$4:$M$300,13)</f>
        <v>0</v>
      </c>
      <c r="U205" s="173">
        <f t="shared" si="10"/>
        <v>0</v>
      </c>
      <c r="V205" s="173">
        <f t="shared" si="11"/>
        <v>0</v>
      </c>
      <c r="W205" s="173">
        <f t="shared" si="12"/>
        <v>0</v>
      </c>
      <c r="X205" s="173">
        <f>VLOOKUP(R205,[1]MEP!$A$4:$Q$300,14)</f>
        <v>0</v>
      </c>
      <c r="Y205" s="173">
        <f>VLOOKUP(R205,[1]MEP!$A$4:$R$300,15)</f>
        <v>0</v>
      </c>
      <c r="Z205" s="173">
        <f>VLOOKUP(R205,[1]MEP!$A$4:$R$300,16)</f>
        <v>0</v>
      </c>
      <c r="AA205" s="173">
        <f t="shared" si="8"/>
        <v>0</v>
      </c>
      <c r="AB205" s="173">
        <f t="shared" si="9"/>
        <v>0</v>
      </c>
      <c r="AC205" s="173">
        <f t="shared" si="13"/>
        <v>0</v>
      </c>
      <c r="AD205" s="173">
        <f t="shared" si="14"/>
        <v>0</v>
      </c>
      <c r="AE205" s="173">
        <f t="shared" si="15"/>
        <v>0</v>
      </c>
      <c r="AF205" s="173">
        <f t="shared" si="16"/>
        <v>0</v>
      </c>
      <c r="AG205" s="173">
        <f t="shared" si="17"/>
        <v>0</v>
      </c>
      <c r="AH205" s="173">
        <f t="shared" si="18"/>
        <v>0</v>
      </c>
      <c r="AI205" s="173">
        <f t="shared" si="19"/>
        <v>0</v>
      </c>
      <c r="AJ205" s="173">
        <f t="shared" si="20"/>
        <v>0</v>
      </c>
      <c r="AL205" s="5"/>
    </row>
    <row r="206" spans="17:38" x14ac:dyDescent="0.25">
      <c r="Q206" s="5"/>
      <c r="R206" s="173">
        <f>Alim_Surf!Q49</f>
        <v>0</v>
      </c>
      <c r="S206" s="173">
        <f>Alim_Surf!R49</f>
        <v>0</v>
      </c>
      <c r="T206" s="173">
        <f>VLOOKUP(R206,[1]MEP!$A$4:$M$300,13)</f>
        <v>0</v>
      </c>
      <c r="U206" s="173">
        <f t="shared" si="10"/>
        <v>0</v>
      </c>
      <c r="V206" s="173">
        <f t="shared" si="11"/>
        <v>0</v>
      </c>
      <c r="W206" s="173">
        <f t="shared" si="12"/>
        <v>0</v>
      </c>
      <c r="X206" s="173">
        <f>VLOOKUP(R206,[1]MEP!$A$4:$Q$300,14)</f>
        <v>0</v>
      </c>
      <c r="Y206" s="173">
        <f>VLOOKUP(R206,[1]MEP!$A$4:$R$300,15)</f>
        <v>0</v>
      </c>
      <c r="Z206" s="173">
        <f>VLOOKUP(R206,[1]MEP!$A$4:$R$300,16)</f>
        <v>0</v>
      </c>
      <c r="AA206" s="173">
        <f t="shared" si="8"/>
        <v>0</v>
      </c>
      <c r="AB206" s="173">
        <f t="shared" si="9"/>
        <v>0</v>
      </c>
      <c r="AC206" s="173">
        <f t="shared" si="13"/>
        <v>0</v>
      </c>
      <c r="AD206" s="173">
        <f t="shared" si="14"/>
        <v>0</v>
      </c>
      <c r="AE206" s="173">
        <f t="shared" si="15"/>
        <v>0</v>
      </c>
      <c r="AF206" s="173">
        <f t="shared" si="16"/>
        <v>0</v>
      </c>
      <c r="AG206" s="173">
        <f t="shared" si="17"/>
        <v>0</v>
      </c>
      <c r="AH206" s="173">
        <f t="shared" si="18"/>
        <v>0</v>
      </c>
      <c r="AI206" s="173">
        <f t="shared" si="19"/>
        <v>0</v>
      </c>
      <c r="AJ206" s="173">
        <f t="shared" si="20"/>
        <v>0</v>
      </c>
      <c r="AL206" s="5"/>
    </row>
    <row r="207" spans="17:38" x14ac:dyDescent="0.25">
      <c r="Q207" s="5"/>
      <c r="R207" s="173">
        <f>Alim_Surf!Q50</f>
        <v>0</v>
      </c>
      <c r="S207" s="173">
        <f>Alim_Surf!R50</f>
        <v>0</v>
      </c>
      <c r="T207" s="173">
        <f>VLOOKUP(R207,[1]MEP!$A$4:$M$300,13)</f>
        <v>0</v>
      </c>
      <c r="U207" s="173">
        <f t="shared" si="10"/>
        <v>0</v>
      </c>
      <c r="V207" s="173">
        <f t="shared" si="11"/>
        <v>0</v>
      </c>
      <c r="W207" s="173">
        <f t="shared" si="12"/>
        <v>0</v>
      </c>
      <c r="X207" s="173">
        <f>VLOOKUP(R207,[1]MEP!$A$4:$Q$300,14)</f>
        <v>0</v>
      </c>
      <c r="Y207" s="173">
        <f>VLOOKUP(R207,[1]MEP!$A$4:$R$300,15)</f>
        <v>0</v>
      </c>
      <c r="Z207" s="173">
        <f>VLOOKUP(R207,[1]MEP!$A$4:$R$300,16)</f>
        <v>0</v>
      </c>
      <c r="AA207" s="173">
        <f t="shared" si="8"/>
        <v>0</v>
      </c>
      <c r="AB207" s="173">
        <f t="shared" si="9"/>
        <v>0</v>
      </c>
      <c r="AC207" s="173">
        <f t="shared" si="13"/>
        <v>0</v>
      </c>
      <c r="AD207" s="173">
        <f t="shared" si="14"/>
        <v>0</v>
      </c>
      <c r="AE207" s="173">
        <f t="shared" si="15"/>
        <v>0</v>
      </c>
      <c r="AF207" s="173">
        <f t="shared" si="16"/>
        <v>0</v>
      </c>
      <c r="AG207" s="173">
        <f t="shared" si="17"/>
        <v>0</v>
      </c>
      <c r="AH207" s="173">
        <f t="shared" si="18"/>
        <v>0</v>
      </c>
      <c r="AI207" s="173">
        <f t="shared" si="19"/>
        <v>0</v>
      </c>
      <c r="AJ207" s="173">
        <f t="shared" si="20"/>
        <v>0</v>
      </c>
      <c r="AL207" s="5"/>
    </row>
    <row r="208" spans="17:38" x14ac:dyDescent="0.25">
      <c r="Q208" s="176">
        <v>1</v>
      </c>
      <c r="R208" s="173"/>
      <c r="S208" s="173"/>
      <c r="T208" s="173"/>
      <c r="U208" s="173"/>
      <c r="V208" s="173"/>
      <c r="W208" s="173"/>
      <c r="X208" s="173"/>
      <c r="Y208" s="173"/>
      <c r="Z208" s="173"/>
      <c r="AA208" s="173"/>
      <c r="AB208" s="173"/>
      <c r="AC208" s="173"/>
      <c r="AD208" s="173"/>
      <c r="AE208" s="173"/>
      <c r="AF208" s="173"/>
      <c r="AG208" s="173"/>
      <c r="AH208" s="173"/>
      <c r="AI208" s="173"/>
      <c r="AJ208" s="173"/>
      <c r="AL208" s="5"/>
    </row>
    <row r="209" spans="17:38" x14ac:dyDescent="0.25">
      <c r="Q209" s="176">
        <v>2</v>
      </c>
      <c r="R209" s="173"/>
      <c r="S209" s="173"/>
      <c r="T209" s="173"/>
      <c r="U209" s="173"/>
      <c r="V209" s="173"/>
      <c r="W209" s="173"/>
      <c r="X209" s="173"/>
      <c r="Y209" s="173"/>
      <c r="Z209" s="173"/>
      <c r="AA209" s="173"/>
      <c r="AB209" s="173"/>
      <c r="AC209" s="173"/>
      <c r="AD209" s="173"/>
      <c r="AE209" s="173"/>
      <c r="AF209" s="173"/>
      <c r="AG209" s="173"/>
      <c r="AH209" s="173"/>
      <c r="AI209" s="173"/>
      <c r="AJ209" s="173"/>
      <c r="AL209" s="5"/>
    </row>
    <row r="210" spans="17:38" x14ac:dyDescent="0.25">
      <c r="Q210" s="176">
        <v>3</v>
      </c>
      <c r="R210" s="173"/>
      <c r="S210" s="173"/>
      <c r="T210" s="173"/>
      <c r="U210" s="173"/>
      <c r="V210" s="173"/>
      <c r="W210" s="173"/>
      <c r="X210" s="173"/>
      <c r="Y210" s="173"/>
      <c r="Z210" s="173"/>
      <c r="AA210" s="173"/>
      <c r="AB210" s="173"/>
      <c r="AC210" s="173"/>
      <c r="AD210" s="173"/>
      <c r="AE210" s="173"/>
      <c r="AF210" s="173"/>
      <c r="AG210" s="173"/>
      <c r="AH210" s="173"/>
      <c r="AI210" s="173"/>
      <c r="AJ210" s="173"/>
      <c r="AL210" s="5"/>
    </row>
    <row r="211" spans="17:38" x14ac:dyDescent="0.25">
      <c r="Q211" s="176">
        <v>4</v>
      </c>
      <c r="R211" s="173"/>
      <c r="S211" s="173"/>
      <c r="T211" s="173"/>
      <c r="U211" s="173"/>
      <c r="V211" s="173"/>
      <c r="W211" s="173"/>
      <c r="X211" s="173"/>
      <c r="Y211" s="173"/>
      <c r="Z211" s="173"/>
      <c r="AA211" s="173"/>
      <c r="AB211" s="173"/>
      <c r="AC211" s="173"/>
      <c r="AD211" s="173"/>
      <c r="AE211" s="173"/>
      <c r="AF211" s="173"/>
      <c r="AG211" s="173"/>
      <c r="AH211" s="173"/>
      <c r="AI211" s="173"/>
      <c r="AJ211" s="173"/>
      <c r="AL211" s="5"/>
    </row>
    <row r="212" spans="17:38" x14ac:dyDescent="0.25">
      <c r="Q212" s="176">
        <v>5</v>
      </c>
      <c r="R212" s="173"/>
      <c r="S212" s="173"/>
      <c r="T212" s="173"/>
      <c r="U212" s="173"/>
      <c r="V212" s="173"/>
      <c r="W212" s="173"/>
      <c r="X212" s="173"/>
      <c r="Y212" s="173"/>
      <c r="Z212" s="173"/>
      <c r="AA212" s="173"/>
      <c r="AB212" s="173"/>
      <c r="AC212" s="173"/>
      <c r="AD212" s="173"/>
      <c r="AE212" s="173"/>
      <c r="AF212" s="173"/>
      <c r="AG212" s="173"/>
      <c r="AH212" s="173"/>
      <c r="AI212" s="173"/>
      <c r="AJ212" s="173"/>
      <c r="AL212" s="5"/>
    </row>
    <row r="213" spans="17:38" x14ac:dyDescent="0.25">
      <c r="Q213" s="176">
        <v>6</v>
      </c>
      <c r="R213" s="173"/>
      <c r="S213" s="173"/>
      <c r="T213" s="173"/>
      <c r="U213" s="173"/>
      <c r="V213" s="173"/>
      <c r="W213" s="173"/>
      <c r="X213" s="173"/>
      <c r="Y213" s="173"/>
      <c r="Z213" s="173"/>
      <c r="AA213" s="173"/>
      <c r="AB213" s="173"/>
      <c r="AC213" s="173"/>
      <c r="AD213" s="173"/>
      <c r="AE213" s="173"/>
      <c r="AF213" s="173"/>
      <c r="AG213" s="173"/>
      <c r="AH213" s="173"/>
      <c r="AI213" s="173"/>
      <c r="AJ213" s="173"/>
      <c r="AL213" s="5"/>
    </row>
    <row r="214" spans="17:38" x14ac:dyDescent="0.25">
      <c r="Q214" s="176">
        <v>7</v>
      </c>
      <c r="R214" s="173"/>
      <c r="S214" s="173"/>
      <c r="T214" s="173"/>
      <c r="U214" s="173"/>
      <c r="V214" s="173"/>
      <c r="W214" s="173"/>
      <c r="X214" s="173"/>
      <c r="Y214" s="173"/>
      <c r="Z214" s="173"/>
      <c r="AA214" s="173"/>
      <c r="AB214" s="173"/>
      <c r="AC214" s="173"/>
      <c r="AD214" s="173"/>
      <c r="AE214" s="173"/>
      <c r="AF214" s="173"/>
      <c r="AG214" s="173"/>
      <c r="AH214" s="173"/>
      <c r="AI214" s="173"/>
      <c r="AJ214" s="173"/>
      <c r="AL214" s="5"/>
    </row>
    <row r="215" spans="17:38" x14ac:dyDescent="0.25">
      <c r="Q215" s="176">
        <v>8</v>
      </c>
      <c r="R215" s="173"/>
      <c r="S215" s="173"/>
      <c r="T215" s="173"/>
      <c r="U215" s="173"/>
      <c r="V215" s="173"/>
      <c r="W215" s="173"/>
      <c r="X215" s="173"/>
      <c r="Y215" s="173"/>
      <c r="Z215" s="173"/>
      <c r="AA215" s="173"/>
      <c r="AB215" s="173"/>
      <c r="AC215" s="173"/>
      <c r="AD215" s="173"/>
      <c r="AE215" s="173"/>
      <c r="AF215" s="173"/>
      <c r="AG215" s="173"/>
      <c r="AH215" s="173"/>
      <c r="AI215" s="173"/>
      <c r="AJ215" s="173"/>
      <c r="AL215" s="5"/>
    </row>
    <row r="216" spans="17:38" x14ac:dyDescent="0.25">
      <c r="Q216" s="176">
        <v>9</v>
      </c>
      <c r="R216" s="173"/>
      <c r="S216" s="173"/>
      <c r="T216" s="173"/>
      <c r="U216" s="173"/>
      <c r="V216" s="173"/>
      <c r="W216" s="173"/>
      <c r="X216" s="173"/>
      <c r="Y216" s="173"/>
      <c r="Z216" s="173"/>
      <c r="AA216" s="173"/>
      <c r="AB216" s="173"/>
      <c r="AC216" s="173"/>
      <c r="AD216" s="173"/>
      <c r="AE216" s="173"/>
      <c r="AF216" s="173"/>
      <c r="AG216" s="173"/>
      <c r="AH216" s="173"/>
      <c r="AI216" s="173"/>
      <c r="AJ216" s="173"/>
      <c r="AL216" s="5"/>
    </row>
    <row r="217" spans="17:38" x14ac:dyDescent="0.25">
      <c r="Q217" s="176">
        <v>10</v>
      </c>
      <c r="R217" s="173"/>
      <c r="S217" s="173"/>
      <c r="T217" s="173"/>
      <c r="U217" s="173"/>
      <c r="V217" s="173"/>
      <c r="W217" s="173"/>
      <c r="X217" s="173"/>
      <c r="Y217" s="173"/>
      <c r="Z217" s="173"/>
      <c r="AA217" s="173"/>
      <c r="AB217" s="173"/>
      <c r="AC217" s="173"/>
      <c r="AD217" s="173"/>
      <c r="AE217" s="173"/>
      <c r="AF217" s="173"/>
      <c r="AG217" s="173"/>
      <c r="AH217" s="173"/>
      <c r="AI217" s="173"/>
      <c r="AJ217" s="173"/>
      <c r="AL217" s="5"/>
    </row>
    <row r="218" spans="17:38" x14ac:dyDescent="0.25">
      <c r="Q218" s="176">
        <v>11</v>
      </c>
      <c r="R218" s="173"/>
      <c r="S218" s="173"/>
      <c r="T218" s="173"/>
      <c r="U218" s="173"/>
      <c r="V218" s="173"/>
      <c r="W218" s="173"/>
      <c r="X218" s="173"/>
      <c r="Y218" s="173"/>
      <c r="Z218" s="173"/>
      <c r="AA218" s="173"/>
      <c r="AB218" s="173"/>
      <c r="AC218" s="173"/>
      <c r="AD218" s="173"/>
      <c r="AE218" s="173"/>
      <c r="AF218" s="173"/>
      <c r="AG218" s="173"/>
      <c r="AH218" s="173"/>
      <c r="AI218" s="173"/>
      <c r="AJ218" s="173"/>
      <c r="AL218" s="5"/>
    </row>
    <row r="219" spans="17:38" x14ac:dyDescent="0.25">
      <c r="Q219" s="176">
        <v>12</v>
      </c>
      <c r="R219" s="173"/>
      <c r="S219" s="173"/>
      <c r="T219" s="173"/>
      <c r="U219" s="173"/>
      <c r="V219" s="173"/>
      <c r="W219" s="173"/>
      <c r="X219" s="173"/>
      <c r="Y219" s="173"/>
      <c r="Z219" s="173"/>
      <c r="AA219" s="173"/>
      <c r="AB219" s="173"/>
      <c r="AC219" s="173"/>
      <c r="AD219" s="173"/>
      <c r="AE219" s="173"/>
      <c r="AF219" s="173"/>
      <c r="AG219" s="173"/>
      <c r="AH219" s="173"/>
      <c r="AI219" s="173"/>
      <c r="AJ219" s="173"/>
      <c r="AL219" s="5"/>
    </row>
    <row r="220" spans="17:38" x14ac:dyDescent="0.25">
      <c r="Q220" s="176">
        <v>13</v>
      </c>
      <c r="R220" s="173"/>
      <c r="S220" s="173"/>
      <c r="T220" s="173"/>
      <c r="U220" s="173"/>
      <c r="V220" s="173"/>
      <c r="W220" s="173"/>
      <c r="X220" s="173"/>
      <c r="Y220" s="173"/>
      <c r="Z220" s="173"/>
      <c r="AA220" s="173"/>
      <c r="AB220" s="173"/>
      <c r="AC220" s="173"/>
      <c r="AD220" s="173"/>
      <c r="AE220" s="173"/>
      <c r="AF220" s="173"/>
      <c r="AG220" s="173"/>
      <c r="AH220" s="173"/>
      <c r="AI220" s="173"/>
      <c r="AJ220" s="173"/>
      <c r="AL220" s="5"/>
    </row>
    <row r="221" spans="17:38" x14ac:dyDescent="0.25">
      <c r="Q221" s="176">
        <v>14</v>
      </c>
      <c r="R221" s="173"/>
      <c r="S221" s="173"/>
      <c r="T221" s="173"/>
      <c r="U221" s="173"/>
      <c r="V221" s="173"/>
      <c r="W221" s="173"/>
      <c r="X221" s="173"/>
      <c r="Y221" s="173"/>
      <c r="Z221" s="173"/>
      <c r="AA221" s="173"/>
      <c r="AB221" s="173"/>
      <c r="AC221" s="173"/>
      <c r="AD221" s="173"/>
      <c r="AE221" s="173"/>
      <c r="AF221" s="173"/>
      <c r="AG221" s="173"/>
      <c r="AH221" s="173"/>
      <c r="AI221" s="173"/>
      <c r="AJ221" s="173"/>
      <c r="AL221" s="5"/>
    </row>
    <row r="222" spans="17:38" x14ac:dyDescent="0.25">
      <c r="Q222" s="176">
        <v>15</v>
      </c>
      <c r="R222" s="173"/>
      <c r="S222" s="173"/>
      <c r="T222" s="173"/>
      <c r="U222" s="173"/>
      <c r="V222" s="173"/>
      <c r="W222" s="173"/>
      <c r="X222" s="173"/>
      <c r="Y222" s="173"/>
      <c r="Z222" s="173"/>
      <c r="AA222" s="173"/>
      <c r="AB222" s="173"/>
      <c r="AC222" s="173"/>
      <c r="AD222" s="173"/>
      <c r="AE222" s="173"/>
      <c r="AF222" s="173"/>
      <c r="AG222" s="173"/>
      <c r="AH222" s="173"/>
      <c r="AI222" s="173"/>
      <c r="AJ222" s="173"/>
      <c r="AL222" s="5"/>
    </row>
    <row r="223" spans="17:38" x14ac:dyDescent="0.25">
      <c r="Q223" s="176">
        <v>16</v>
      </c>
      <c r="R223" s="173"/>
      <c r="S223" s="173"/>
      <c r="T223" s="173"/>
      <c r="U223" s="173"/>
      <c r="V223" s="173"/>
      <c r="W223" s="173"/>
      <c r="X223" s="173"/>
      <c r="Y223" s="173"/>
      <c r="Z223" s="173"/>
      <c r="AA223" s="173"/>
      <c r="AB223" s="173"/>
      <c r="AC223" s="173"/>
      <c r="AD223" s="173"/>
      <c r="AE223" s="173"/>
      <c r="AF223" s="173"/>
      <c r="AG223" s="173"/>
      <c r="AH223" s="173"/>
      <c r="AI223" s="173"/>
      <c r="AJ223" s="173"/>
      <c r="AL223" s="5"/>
    </row>
    <row r="224" spans="17:38" x14ac:dyDescent="0.25">
      <c r="Q224" s="176">
        <v>17</v>
      </c>
      <c r="R224" s="173"/>
      <c r="S224" s="173"/>
      <c r="T224" s="173"/>
      <c r="U224" s="173"/>
      <c r="V224" s="173"/>
      <c r="W224" s="173"/>
      <c r="X224" s="173"/>
      <c r="Y224" s="173"/>
      <c r="Z224" s="173"/>
      <c r="AA224" s="173"/>
      <c r="AB224" s="173"/>
      <c r="AC224" s="173"/>
      <c r="AD224" s="173"/>
      <c r="AE224" s="173"/>
      <c r="AF224" s="173"/>
      <c r="AG224" s="173"/>
      <c r="AH224" s="173"/>
      <c r="AI224" s="173"/>
      <c r="AJ224" s="173"/>
      <c r="AL224" s="5"/>
    </row>
    <row r="225" spans="17:38" x14ac:dyDescent="0.25">
      <c r="Q225" s="176">
        <v>18</v>
      </c>
      <c r="R225" s="173"/>
      <c r="S225" s="173"/>
      <c r="T225" s="173"/>
      <c r="U225" s="173"/>
      <c r="V225" s="173"/>
      <c r="W225" s="173"/>
      <c r="X225" s="173"/>
      <c r="Y225" s="173"/>
      <c r="Z225" s="173"/>
      <c r="AA225" s="173"/>
      <c r="AB225" s="173"/>
      <c r="AC225" s="173"/>
      <c r="AD225" s="173"/>
      <c r="AE225" s="173"/>
      <c r="AF225" s="173"/>
      <c r="AG225" s="173"/>
      <c r="AH225" s="173"/>
      <c r="AI225" s="173"/>
      <c r="AJ225" s="173"/>
      <c r="AL225" s="5"/>
    </row>
    <row r="226" spans="17:38" x14ac:dyDescent="0.25">
      <c r="Q226" s="176">
        <v>19</v>
      </c>
      <c r="R226" s="173"/>
      <c r="S226" s="173"/>
      <c r="T226" s="173"/>
      <c r="U226" s="173"/>
      <c r="V226" s="173"/>
      <c r="W226" s="173"/>
      <c r="X226" s="173"/>
      <c r="Y226" s="173"/>
      <c r="Z226" s="173"/>
      <c r="AA226" s="173"/>
      <c r="AB226" s="173"/>
      <c r="AC226" s="173"/>
      <c r="AD226" s="173"/>
      <c r="AE226" s="173"/>
      <c r="AF226" s="173"/>
      <c r="AG226" s="173"/>
      <c r="AH226" s="173"/>
      <c r="AI226" s="173"/>
      <c r="AJ226" s="173"/>
      <c r="AL226" s="5"/>
    </row>
    <row r="227" spans="17:38" x14ac:dyDescent="0.25">
      <c r="Q227" s="176">
        <v>20</v>
      </c>
      <c r="R227" s="173"/>
      <c r="S227" s="173"/>
      <c r="T227" s="173"/>
      <c r="U227" s="173"/>
      <c r="V227" s="173"/>
      <c r="W227" s="173"/>
      <c r="X227" s="173"/>
      <c r="Y227" s="173"/>
      <c r="Z227" s="173"/>
      <c r="AA227" s="173"/>
      <c r="AB227" s="173"/>
      <c r="AC227" s="173"/>
      <c r="AD227" s="173"/>
      <c r="AE227" s="173"/>
      <c r="AF227" s="173"/>
      <c r="AG227" s="173"/>
      <c r="AH227" s="173"/>
      <c r="AI227" s="173"/>
      <c r="AJ227" s="173"/>
      <c r="AL227" s="5"/>
    </row>
    <row r="228" spans="17:38" x14ac:dyDescent="0.25">
      <c r="Q228" s="2" t="s">
        <v>666</v>
      </c>
      <c r="R228" s="2"/>
      <c r="S228" s="62">
        <f t="shared" ref="S228" si="21">SUM(S164:S227)</f>
        <v>28</v>
      </c>
      <c r="U228" s="62">
        <f>SUM(U164:U227)</f>
        <v>19.3</v>
      </c>
      <c r="V228" s="62">
        <f t="shared" ref="V228:W228" si="22">SUM(V164:V227)</f>
        <v>16</v>
      </c>
      <c r="W228" s="62">
        <f t="shared" si="22"/>
        <v>0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5</v>
      </c>
      <c r="AD228" s="62">
        <f>SUM(AD164:AD227)</f>
        <v>23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5</v>
      </c>
      <c r="AH228" s="62">
        <f t="shared" si="24"/>
        <v>8.6999999999999993</v>
      </c>
      <c r="AI228" s="62">
        <f t="shared" si="24"/>
        <v>3.3</v>
      </c>
      <c r="AJ228" s="62">
        <f t="shared" si="24"/>
        <v>11</v>
      </c>
      <c r="AL228" s="5"/>
    </row>
  </sheetData>
  <dataValidations count="13"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2: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 K91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14"/>
  <sheetViews>
    <sheetView topLeftCell="A8" zoomScale="90" zoomScaleNormal="90" workbookViewId="0">
      <selection activeCell="AV4" sqref="AV4:BL30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6" customWidth="1"/>
    <col min="4" max="26" width="4.28515625" customWidth="1"/>
    <col min="27" max="27" width="6.5703125" customWidth="1"/>
    <col min="28" max="28" width="36.7109375" customWidth="1"/>
    <col min="59" max="61" width="11.42578125" style="171"/>
  </cols>
  <sheetData>
    <row r="1" spans="1:64" x14ac:dyDescent="0.25">
      <c r="AB1" s="5"/>
      <c r="AC1" s="5"/>
      <c r="AD1" s="5"/>
      <c r="AE1" s="5"/>
      <c r="AF1" s="5"/>
      <c r="BG1" s="171" t="s">
        <v>667</v>
      </c>
      <c r="BJ1" t="s">
        <v>668</v>
      </c>
    </row>
    <row r="2" spans="1:64" x14ac:dyDescent="0.25">
      <c r="A2" s="43" t="s">
        <v>669</v>
      </c>
      <c r="C2" s="33">
        <v>1</v>
      </c>
      <c r="D2" s="33">
        <v>2</v>
      </c>
      <c r="E2" s="33">
        <v>3</v>
      </c>
      <c r="F2" s="33">
        <v>4</v>
      </c>
      <c r="G2" s="33">
        <v>5</v>
      </c>
      <c r="H2" s="33">
        <v>6</v>
      </c>
      <c r="I2" s="33">
        <v>7</v>
      </c>
      <c r="J2" s="33">
        <v>8</v>
      </c>
      <c r="K2" s="33">
        <v>9</v>
      </c>
      <c r="L2" s="33">
        <v>10</v>
      </c>
      <c r="M2" s="33">
        <v>11</v>
      </c>
      <c r="N2" s="33">
        <v>12</v>
      </c>
      <c r="O2" s="33">
        <v>13</v>
      </c>
      <c r="P2" s="33">
        <v>14</v>
      </c>
      <c r="Q2" s="33">
        <v>15</v>
      </c>
      <c r="R2" s="33">
        <v>16</v>
      </c>
      <c r="S2" s="33">
        <v>17</v>
      </c>
      <c r="T2" s="33">
        <v>18</v>
      </c>
      <c r="U2" s="33">
        <v>19</v>
      </c>
      <c r="V2" s="33">
        <v>20</v>
      </c>
      <c r="W2" s="33">
        <v>21</v>
      </c>
      <c r="X2" s="33">
        <v>22</v>
      </c>
      <c r="Y2" s="33">
        <v>23</v>
      </c>
      <c r="Z2" s="33">
        <v>24</v>
      </c>
      <c r="AB2" s="5"/>
      <c r="AC2" s="32"/>
      <c r="AD2" s="276"/>
      <c r="AE2" s="276"/>
      <c r="AF2" s="276"/>
      <c r="AH2" s="171"/>
      <c r="AP2" t="s">
        <v>671</v>
      </c>
      <c r="AQ2" t="s">
        <v>672</v>
      </c>
      <c r="AV2" t="s">
        <v>673</v>
      </c>
      <c r="AW2" t="s">
        <v>34</v>
      </c>
      <c r="AX2" t="s">
        <v>448</v>
      </c>
      <c r="AY2" t="s">
        <v>76</v>
      </c>
      <c r="AZ2" t="s">
        <v>18</v>
      </c>
      <c r="BA2" t="s">
        <v>674</v>
      </c>
      <c r="BB2" t="s">
        <v>675</v>
      </c>
      <c r="BC2" t="s">
        <v>676</v>
      </c>
      <c r="BD2" t="s">
        <v>677</v>
      </c>
      <c r="BE2" t="s">
        <v>678</v>
      </c>
      <c r="BF2" t="s">
        <v>679</v>
      </c>
      <c r="BG2" s="171" t="s">
        <v>219</v>
      </c>
      <c r="BH2" s="171" t="s">
        <v>217</v>
      </c>
      <c r="BI2" s="171" t="s">
        <v>218</v>
      </c>
      <c r="BJ2" s="171" t="s">
        <v>219</v>
      </c>
      <c r="BK2" s="171" t="s">
        <v>217</v>
      </c>
      <c r="BL2" s="171" t="s">
        <v>218</v>
      </c>
    </row>
    <row r="3" spans="1:64" x14ac:dyDescent="0.25">
      <c r="A3" s="14" t="s">
        <v>680</v>
      </c>
      <c r="B3" t="s">
        <v>568</v>
      </c>
      <c r="C3" s="177">
        <f t="shared" ref="C3:Z3" si="0">COUNTIF(C81:C90,1)</f>
        <v>0</v>
      </c>
      <c r="D3" s="177">
        <f t="shared" si="0"/>
        <v>0</v>
      </c>
      <c r="E3" s="177">
        <f t="shared" si="0"/>
        <v>1</v>
      </c>
      <c r="F3" s="177">
        <f t="shared" si="0"/>
        <v>2</v>
      </c>
      <c r="G3" s="177">
        <f t="shared" si="0"/>
        <v>2</v>
      </c>
      <c r="H3" s="177">
        <f t="shared" si="0"/>
        <v>2</v>
      </c>
      <c r="I3" s="177">
        <f t="shared" si="0"/>
        <v>2</v>
      </c>
      <c r="J3" s="177">
        <f t="shared" si="0"/>
        <v>2</v>
      </c>
      <c r="K3" s="177">
        <f t="shared" si="0"/>
        <v>3</v>
      </c>
      <c r="L3" s="177">
        <f t="shared" si="0"/>
        <v>2</v>
      </c>
      <c r="M3" s="177">
        <f t="shared" si="0"/>
        <v>2</v>
      </c>
      <c r="N3" s="177">
        <f t="shared" si="0"/>
        <v>1</v>
      </c>
      <c r="O3" s="177">
        <f t="shared" si="0"/>
        <v>1</v>
      </c>
      <c r="P3" s="177">
        <f t="shared" si="0"/>
        <v>1</v>
      </c>
      <c r="Q3" s="177">
        <f t="shared" si="0"/>
        <v>1</v>
      </c>
      <c r="R3" s="177">
        <f t="shared" si="0"/>
        <v>1</v>
      </c>
      <c r="S3" s="177">
        <f t="shared" si="0"/>
        <v>1</v>
      </c>
      <c r="T3" s="177">
        <f t="shared" si="0"/>
        <v>1</v>
      </c>
      <c r="U3" s="177">
        <f t="shared" si="0"/>
        <v>2</v>
      </c>
      <c r="V3" s="177">
        <f t="shared" si="0"/>
        <v>1</v>
      </c>
      <c r="W3" s="177">
        <f t="shared" si="0"/>
        <v>0</v>
      </c>
      <c r="X3" s="177">
        <f t="shared" si="0"/>
        <v>0</v>
      </c>
      <c r="Y3" s="177">
        <f t="shared" si="0"/>
        <v>0</v>
      </c>
      <c r="Z3" s="177">
        <f t="shared" si="0"/>
        <v>0</v>
      </c>
      <c r="AB3" s="32"/>
      <c r="AC3" s="5"/>
      <c r="AD3" s="276"/>
      <c r="AE3" s="276"/>
      <c r="AF3" s="276"/>
      <c r="AO3" s="14" t="s">
        <v>681</v>
      </c>
      <c r="AP3" s="30">
        <f>BG31</f>
        <v>2282</v>
      </c>
      <c r="AQ3">
        <f>BJ31</f>
        <v>11.1</v>
      </c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173"/>
      <c r="BH3" s="173"/>
      <c r="BI3" s="173"/>
      <c r="BJ3" s="173"/>
      <c r="BK3" s="173"/>
      <c r="BL3" s="173"/>
    </row>
    <row r="4" spans="1:64" x14ac:dyDescent="0.25">
      <c r="A4" s="14" t="s">
        <v>682</v>
      </c>
      <c r="B4" t="s">
        <v>568</v>
      </c>
      <c r="C4" s="177">
        <f>COUNTIF(C81:C90,2)</f>
        <v>2</v>
      </c>
      <c r="D4" s="177">
        <f t="shared" ref="D4:Z4" si="1">COUNTIF(D81:D90,2)</f>
        <v>2</v>
      </c>
      <c r="E4" s="177">
        <f t="shared" si="1"/>
        <v>2</v>
      </c>
      <c r="F4" s="177">
        <f t="shared" si="1"/>
        <v>2</v>
      </c>
      <c r="G4" s="177">
        <f t="shared" si="1"/>
        <v>1</v>
      </c>
      <c r="H4" s="177">
        <f t="shared" si="1"/>
        <v>1</v>
      </c>
      <c r="I4" s="177">
        <f t="shared" si="1"/>
        <v>1</v>
      </c>
      <c r="J4" s="177">
        <f t="shared" si="1"/>
        <v>1</v>
      </c>
      <c r="K4" s="177">
        <f t="shared" si="1"/>
        <v>0</v>
      </c>
      <c r="L4" s="177">
        <f t="shared" si="1"/>
        <v>0</v>
      </c>
      <c r="M4" s="177">
        <f t="shared" si="1"/>
        <v>0</v>
      </c>
      <c r="N4" s="177">
        <f t="shared" si="1"/>
        <v>0</v>
      </c>
      <c r="O4" s="177">
        <f t="shared" si="1"/>
        <v>0</v>
      </c>
      <c r="P4" s="177">
        <f t="shared" si="1"/>
        <v>0</v>
      </c>
      <c r="Q4" s="177">
        <f t="shared" si="1"/>
        <v>0</v>
      </c>
      <c r="R4" s="177">
        <f t="shared" si="1"/>
        <v>0</v>
      </c>
      <c r="S4" s="177">
        <f t="shared" si="1"/>
        <v>0</v>
      </c>
      <c r="T4" s="177">
        <f t="shared" si="1"/>
        <v>0</v>
      </c>
      <c r="U4" s="177">
        <f t="shared" si="1"/>
        <v>0</v>
      </c>
      <c r="V4" s="177">
        <f t="shared" si="1"/>
        <v>1</v>
      </c>
      <c r="W4" s="177">
        <f t="shared" si="1"/>
        <v>1</v>
      </c>
      <c r="X4" s="177">
        <f t="shared" si="1"/>
        <v>1</v>
      </c>
      <c r="Y4" s="177">
        <f t="shared" si="1"/>
        <v>1</v>
      </c>
      <c r="Z4" s="177">
        <f t="shared" si="1"/>
        <v>2</v>
      </c>
      <c r="AB4" s="32"/>
      <c r="AC4" s="5"/>
      <c r="AD4" s="276"/>
      <c r="AE4" s="276"/>
      <c r="AF4" s="276"/>
      <c r="AO4" s="14" t="s">
        <v>683</v>
      </c>
      <c r="AP4" s="30">
        <f>SUM(BG31:BI31)</f>
        <v>9365</v>
      </c>
      <c r="AQ4">
        <f>SUM(BJ31:BL31)</f>
        <v>39.099999999999994</v>
      </c>
      <c r="AV4" s="30">
        <f>Parcellaire!A2</f>
        <v>1</v>
      </c>
      <c r="AW4" s="30">
        <f>Parcellaire!B2</f>
        <v>1</v>
      </c>
      <c r="AX4" s="30" t="str">
        <f>Parcellaire!D2</f>
        <v>éloigné</v>
      </c>
      <c r="AY4" s="30">
        <f>Parcellaire!F2</f>
        <v>239</v>
      </c>
      <c r="AZ4" s="30">
        <f>Parcellaire!G2</f>
        <v>0.8</v>
      </c>
      <c r="BA4" s="30">
        <f>ROUND(Parcellaire!S2,0)</f>
        <v>0</v>
      </c>
      <c r="BB4" s="30">
        <f>ROUND(Parcellaire!T2,0)</f>
        <v>298</v>
      </c>
      <c r="BC4" s="30">
        <f>ROUND(Parcellaire!U2,0)</f>
        <v>199</v>
      </c>
      <c r="BD4" s="30" t="str">
        <f>IF(AW4=2,"",VLOOKUP(AY4,[1]MEP!$X$5:$AA$250,4))</f>
        <v>PP</v>
      </c>
      <c r="BE4" s="30" t="str">
        <f>IF(AW4=2,"",VLOOKUP(BD4,[1]MEP!$AC$5:$AD$10,2))</f>
        <v>P</v>
      </c>
      <c r="BF4" s="30" t="str">
        <f t="shared" ref="BF4" si="2">IF(BE4="LP","LP",IF(AND(BE4="P",AX4="proche"),"PF",IF(AND(BE4="P",AX4="éloigné"),"PE","AU")))</f>
        <v>PE</v>
      </c>
      <c r="BG4" s="173">
        <f t="shared" ref="BG4" si="3">IF(AW4&gt;0,IF(AND(BF4="LP",AW4=1),BB4,0),0)</f>
        <v>0</v>
      </c>
      <c r="BH4" s="173">
        <f t="shared" ref="BH4:BH30" si="4">IF($AW4&gt;0,IF(AND($BF4="PF",$AW4=1),$BB4,0),0)</f>
        <v>0</v>
      </c>
      <c r="BI4" s="173">
        <f t="shared" ref="BI4:BI30" si="5">IF($AW4&gt;0,IF(AND($BF4="PE",$AW4=1),$BB4,0),0)</f>
        <v>298</v>
      </c>
      <c r="BJ4" s="173">
        <f t="shared" ref="BJ4:BJ30" si="6">IF($AW4&gt;0,IF(AND($BF4="LP",$AW4=1),$AZ4,0),0)</f>
        <v>0</v>
      </c>
      <c r="BK4" s="173">
        <f t="shared" ref="BK4:BK30" si="7">IF($AW4&gt;0,IF(AND($BF4="PF",$AW4=1),$AZ4,0),0)</f>
        <v>0</v>
      </c>
      <c r="BL4" s="173">
        <f t="shared" ref="BL4:BL30" si="8">IF($AW4&gt;0,IF(AND($BF4="PE",$AW4=1),$AZ4,0),0)</f>
        <v>0.8</v>
      </c>
    </row>
    <row r="5" spans="1:64" x14ac:dyDescent="0.25">
      <c r="A5" s="14" t="s">
        <v>684</v>
      </c>
      <c r="B5" t="s">
        <v>568</v>
      </c>
      <c r="C5" s="177">
        <f t="shared" ref="C5:Z5" si="9">COUNTIF(C81:C90,3)</f>
        <v>0</v>
      </c>
      <c r="D5" s="177">
        <f t="shared" si="9"/>
        <v>0</v>
      </c>
      <c r="E5" s="177">
        <f t="shared" si="9"/>
        <v>0</v>
      </c>
      <c r="F5" s="177">
        <f t="shared" si="9"/>
        <v>0</v>
      </c>
      <c r="G5" s="177">
        <f t="shared" si="9"/>
        <v>1</v>
      </c>
      <c r="H5" s="177">
        <f t="shared" si="9"/>
        <v>1</v>
      </c>
      <c r="I5" s="177">
        <f t="shared" si="9"/>
        <v>1</v>
      </c>
      <c r="J5" s="177">
        <f t="shared" si="9"/>
        <v>1</v>
      </c>
      <c r="K5" s="177">
        <f t="shared" si="9"/>
        <v>1</v>
      </c>
      <c r="L5" s="177">
        <f t="shared" si="9"/>
        <v>0</v>
      </c>
      <c r="M5" s="177">
        <f t="shared" si="9"/>
        <v>0</v>
      </c>
      <c r="N5" s="177">
        <f t="shared" si="9"/>
        <v>0</v>
      </c>
      <c r="O5" s="177">
        <f t="shared" si="9"/>
        <v>0</v>
      </c>
      <c r="P5" s="177">
        <f t="shared" si="9"/>
        <v>0</v>
      </c>
      <c r="Q5" s="177">
        <f t="shared" si="9"/>
        <v>0</v>
      </c>
      <c r="R5" s="177">
        <f t="shared" si="9"/>
        <v>0</v>
      </c>
      <c r="S5" s="177">
        <f t="shared" si="9"/>
        <v>0</v>
      </c>
      <c r="T5" s="177">
        <f t="shared" si="9"/>
        <v>0</v>
      </c>
      <c r="U5" s="177">
        <f t="shared" si="9"/>
        <v>0</v>
      </c>
      <c r="V5" s="177">
        <f t="shared" si="9"/>
        <v>1</v>
      </c>
      <c r="W5" s="177">
        <f t="shared" si="9"/>
        <v>1</v>
      </c>
      <c r="X5" s="177">
        <f t="shared" si="9"/>
        <v>1</v>
      </c>
      <c r="Y5" s="177">
        <f t="shared" si="9"/>
        <v>1</v>
      </c>
      <c r="Z5" s="177">
        <f t="shared" si="9"/>
        <v>0</v>
      </c>
      <c r="AB5" s="32"/>
      <c r="AC5" s="5"/>
      <c r="AD5" s="276"/>
      <c r="AE5" s="276"/>
      <c r="AF5" s="276"/>
      <c r="AI5" s="40" t="s">
        <v>1427</v>
      </c>
      <c r="AJ5" s="30">
        <f>MAX(C203:Z203)</f>
        <v>10</v>
      </c>
      <c r="AO5" s="14" t="s">
        <v>685</v>
      </c>
      <c r="AP5" s="30">
        <f>BI31</f>
        <v>2766</v>
      </c>
      <c r="AV5" s="30">
        <f>Parcellaire!A3</f>
        <v>2</v>
      </c>
      <c r="AW5" s="30">
        <f>Parcellaire!B3</f>
        <v>1</v>
      </c>
      <c r="AX5" s="30" t="str">
        <f>Parcellaire!D3</f>
        <v>éloigné</v>
      </c>
      <c r="AY5" s="30">
        <f>Parcellaire!F3</f>
        <v>239</v>
      </c>
      <c r="AZ5" s="30">
        <f>Parcellaire!G3</f>
        <v>0.9</v>
      </c>
      <c r="BA5" s="30">
        <f>ROUND(Parcellaire!S3,0)</f>
        <v>0</v>
      </c>
      <c r="BB5" s="30">
        <f>ROUND(Parcellaire!T3,0)</f>
        <v>332</v>
      </c>
      <c r="BC5" s="30">
        <f>ROUND(Parcellaire!U3,0)</f>
        <v>221</v>
      </c>
      <c r="BD5" s="30" t="str">
        <f>IF(AW5=2,"",VLOOKUP(AY5,[1]MEP!$X$5:$AA$250,4))</f>
        <v>PP</v>
      </c>
      <c r="BE5" s="30" t="str">
        <f>IF(AW5=2,"",VLOOKUP(BD5,[1]MEP!$AC$5:$AD$10,2))</f>
        <v>P</v>
      </c>
      <c r="BF5" s="30" t="str">
        <f t="shared" ref="BF5:BF30" si="10">IF(BE5="LP","LP",IF(AND(BE5="P",AX5="proche"),"PF",IF(AND(BE5="P",AX5="éloigné"),"PE","AU")))</f>
        <v>PE</v>
      </c>
      <c r="BG5" s="173">
        <f t="shared" ref="BG5:BG30" si="11">IF(AW5&gt;0,IF(AND(BF5="LP",AW5=1),BB5,0),0)</f>
        <v>0</v>
      </c>
      <c r="BH5" s="173">
        <f t="shared" si="4"/>
        <v>0</v>
      </c>
      <c r="BI5" s="173">
        <f t="shared" si="5"/>
        <v>332</v>
      </c>
      <c r="BJ5" s="173">
        <f t="shared" si="6"/>
        <v>0</v>
      </c>
      <c r="BK5" s="173">
        <f t="shared" si="7"/>
        <v>0</v>
      </c>
      <c r="BL5" s="173">
        <f t="shared" si="8"/>
        <v>0.9</v>
      </c>
    </row>
    <row r="6" spans="1:64" x14ac:dyDescent="0.25">
      <c r="A6" s="14" t="s">
        <v>686</v>
      </c>
      <c r="B6" t="s">
        <v>568</v>
      </c>
      <c r="C6" s="177">
        <f t="shared" ref="C6:Z6" si="12">C19</f>
        <v>0</v>
      </c>
      <c r="D6" s="177">
        <f t="shared" si="12"/>
        <v>0</v>
      </c>
      <c r="E6" s="177">
        <f t="shared" si="12"/>
        <v>0</v>
      </c>
      <c r="F6" s="177">
        <f t="shared" si="12"/>
        <v>0</v>
      </c>
      <c r="G6" s="177">
        <f t="shared" si="12"/>
        <v>0</v>
      </c>
      <c r="H6" s="177">
        <f t="shared" si="12"/>
        <v>0</v>
      </c>
      <c r="I6" s="177">
        <f t="shared" si="12"/>
        <v>0</v>
      </c>
      <c r="J6" s="177">
        <f t="shared" si="12"/>
        <v>0</v>
      </c>
      <c r="K6" s="177">
        <f t="shared" si="12"/>
        <v>0</v>
      </c>
      <c r="L6" s="177">
        <f t="shared" si="12"/>
        <v>0</v>
      </c>
      <c r="M6" s="177">
        <f t="shared" si="12"/>
        <v>0</v>
      </c>
      <c r="N6" s="177">
        <f t="shared" si="12"/>
        <v>0</v>
      </c>
      <c r="O6" s="177">
        <f t="shared" si="12"/>
        <v>0</v>
      </c>
      <c r="P6" s="177">
        <f t="shared" si="12"/>
        <v>0</v>
      </c>
      <c r="Q6" s="177">
        <f t="shared" si="12"/>
        <v>0</v>
      </c>
      <c r="R6" s="177">
        <f t="shared" si="12"/>
        <v>0</v>
      </c>
      <c r="S6" s="177">
        <f t="shared" si="12"/>
        <v>0</v>
      </c>
      <c r="T6" s="177">
        <f t="shared" si="12"/>
        <v>0</v>
      </c>
      <c r="U6" s="177">
        <f t="shared" si="12"/>
        <v>0</v>
      </c>
      <c r="V6" s="177">
        <f t="shared" si="12"/>
        <v>0</v>
      </c>
      <c r="W6" s="177">
        <f t="shared" si="12"/>
        <v>0</v>
      </c>
      <c r="X6" s="177">
        <f t="shared" si="12"/>
        <v>0</v>
      </c>
      <c r="Y6" s="177">
        <f t="shared" si="12"/>
        <v>0</v>
      </c>
      <c r="Z6" s="177">
        <f t="shared" si="12"/>
        <v>0</v>
      </c>
      <c r="AB6" s="5"/>
      <c r="AC6" s="32"/>
      <c r="AD6" s="36"/>
      <c r="AE6" s="36"/>
      <c r="AF6" s="36"/>
      <c r="AO6" s="14" t="s">
        <v>687</v>
      </c>
      <c r="AP6" s="30">
        <f>BH31</f>
        <v>4317</v>
      </c>
      <c r="AQ6">
        <f>BK31</f>
        <v>18.7</v>
      </c>
      <c r="AV6" s="30">
        <f>Parcellaire!A4</f>
        <v>3</v>
      </c>
      <c r="AW6" s="30">
        <f>Parcellaire!B4</f>
        <v>2</v>
      </c>
      <c r="AX6" s="30" t="str">
        <f>Parcellaire!D4</f>
        <v>éloigné</v>
      </c>
      <c r="AY6" s="30">
        <f>Parcellaire!F4</f>
        <v>0</v>
      </c>
      <c r="AZ6" s="30">
        <f>Parcellaire!G4</f>
        <v>1</v>
      </c>
      <c r="BA6" s="30">
        <f>ROUND(Parcellaire!S4,0)</f>
        <v>0</v>
      </c>
      <c r="BB6" s="30">
        <f>ROUND(Parcellaire!T4,0)</f>
        <v>0</v>
      </c>
      <c r="BC6" s="30">
        <f>ROUND(Parcellaire!U4,0)</f>
        <v>0</v>
      </c>
      <c r="BD6" s="30" t="str">
        <f>IF(AW6=2,"",VLOOKUP(AY6,[1]MEP!$X$5:$AA$250,4))</f>
        <v/>
      </c>
      <c r="BE6" s="30" t="str">
        <f>IF(AW6=2,"",VLOOKUP(BD6,[1]MEP!$AC$5:$AD$10,2))</f>
        <v/>
      </c>
      <c r="BF6" s="30" t="str">
        <f t="shared" si="10"/>
        <v>AU</v>
      </c>
      <c r="BG6" s="173">
        <f t="shared" si="11"/>
        <v>0</v>
      </c>
      <c r="BH6" s="173">
        <f t="shared" si="4"/>
        <v>0</v>
      </c>
      <c r="BI6" s="173">
        <f t="shared" si="5"/>
        <v>0</v>
      </c>
      <c r="BJ6" s="173">
        <f t="shared" si="6"/>
        <v>0</v>
      </c>
      <c r="BK6" s="173">
        <f t="shared" si="7"/>
        <v>0</v>
      </c>
      <c r="BL6" s="173">
        <f t="shared" si="8"/>
        <v>0</v>
      </c>
    </row>
    <row r="7" spans="1:64" x14ac:dyDescent="0.25">
      <c r="A7" s="14" t="s">
        <v>688</v>
      </c>
      <c r="B7" t="s">
        <v>568</v>
      </c>
      <c r="C7" s="177">
        <f t="shared" ref="C7:Z7" si="13">C21</f>
        <v>0</v>
      </c>
      <c r="D7" s="177">
        <f t="shared" si="13"/>
        <v>0</v>
      </c>
      <c r="E7" s="177">
        <f t="shared" si="13"/>
        <v>0</v>
      </c>
      <c r="F7" s="177">
        <f t="shared" si="13"/>
        <v>0</v>
      </c>
      <c r="G7" s="177">
        <f t="shared" si="13"/>
        <v>0</v>
      </c>
      <c r="H7" s="177">
        <f t="shared" si="13"/>
        <v>0</v>
      </c>
      <c r="I7" s="177">
        <f t="shared" si="13"/>
        <v>0</v>
      </c>
      <c r="J7" s="177">
        <f t="shared" si="13"/>
        <v>0</v>
      </c>
      <c r="K7" s="177">
        <f t="shared" si="13"/>
        <v>0</v>
      </c>
      <c r="L7" s="177">
        <f t="shared" si="13"/>
        <v>0</v>
      </c>
      <c r="M7" s="177">
        <f t="shared" si="13"/>
        <v>0</v>
      </c>
      <c r="N7" s="177">
        <f t="shared" si="13"/>
        <v>2</v>
      </c>
      <c r="O7" s="177">
        <f t="shared" si="13"/>
        <v>2</v>
      </c>
      <c r="P7" s="177">
        <f t="shared" si="13"/>
        <v>2</v>
      </c>
      <c r="Q7" s="177">
        <f t="shared" si="13"/>
        <v>2</v>
      </c>
      <c r="R7" s="177">
        <f t="shared" si="13"/>
        <v>2</v>
      </c>
      <c r="S7" s="177">
        <f t="shared" si="13"/>
        <v>2</v>
      </c>
      <c r="T7" s="177">
        <f t="shared" si="13"/>
        <v>2</v>
      </c>
      <c r="U7" s="177">
        <f t="shared" si="13"/>
        <v>0</v>
      </c>
      <c r="V7" s="177">
        <f t="shared" si="13"/>
        <v>0</v>
      </c>
      <c r="W7" s="177">
        <f t="shared" si="13"/>
        <v>0</v>
      </c>
      <c r="X7" s="177">
        <f t="shared" si="13"/>
        <v>0</v>
      </c>
      <c r="Y7" s="177">
        <f t="shared" si="13"/>
        <v>0</v>
      </c>
      <c r="Z7" s="177">
        <f t="shared" si="13"/>
        <v>0</v>
      </c>
      <c r="AB7" s="5"/>
      <c r="AC7" s="5"/>
      <c r="AD7" s="36"/>
      <c r="AE7" s="36"/>
      <c r="AF7" s="36"/>
      <c r="AO7" s="14" t="s">
        <v>689</v>
      </c>
      <c r="AP7" s="30">
        <f>Scénario!K73*[1]Protect!$F$60</f>
        <v>0</v>
      </c>
      <c r="AV7" s="30">
        <f>Parcellaire!A5</f>
        <v>4</v>
      </c>
      <c r="AW7" s="30">
        <f>Parcellaire!B5</f>
        <v>0</v>
      </c>
      <c r="AX7" s="30">
        <f>Parcellaire!D5</f>
        <v>0</v>
      </c>
      <c r="AY7" s="30">
        <f>Parcellaire!F5</f>
        <v>0</v>
      </c>
      <c r="AZ7" s="30">
        <f>Parcellaire!G5</f>
        <v>0</v>
      </c>
      <c r="BA7" s="30">
        <f>ROUND(Parcellaire!S5,0)</f>
        <v>0</v>
      </c>
      <c r="BB7" s="30" t="e">
        <f>ROUND(Parcellaire!T5,0)</f>
        <v>#VALUE!</v>
      </c>
      <c r="BC7" s="30">
        <f>ROUND(Parcellaire!U5,0)</f>
        <v>0</v>
      </c>
      <c r="BD7" s="30" t="e">
        <f>IF(AW7=2,"",VLOOKUP(AY7,[1]MEP!$X$5:$AA$250,4))</f>
        <v>#N/A</v>
      </c>
      <c r="BE7" s="30" t="e">
        <f>IF(AW7=2,"",VLOOKUP(BD7,[1]MEP!$AC$5:$AD$10,2))</f>
        <v>#N/A</v>
      </c>
      <c r="BF7" s="30" t="e">
        <f t="shared" si="10"/>
        <v>#N/A</v>
      </c>
      <c r="BG7" s="173">
        <f t="shared" si="11"/>
        <v>0</v>
      </c>
      <c r="BH7" s="173">
        <f t="shared" si="4"/>
        <v>0</v>
      </c>
      <c r="BI7" s="173">
        <f t="shared" si="5"/>
        <v>0</v>
      </c>
      <c r="BJ7" s="173">
        <f t="shared" si="6"/>
        <v>0</v>
      </c>
      <c r="BK7" s="173">
        <f t="shared" si="7"/>
        <v>0</v>
      </c>
      <c r="BL7" s="173">
        <f t="shared" si="8"/>
        <v>0</v>
      </c>
    </row>
    <row r="8" spans="1:64" x14ac:dyDescent="0.25">
      <c r="A8" s="14" t="s">
        <v>690</v>
      </c>
      <c r="B8" t="s">
        <v>568</v>
      </c>
      <c r="C8" s="177">
        <f>(C3+C4)*[1]Protect!$B$12</f>
        <v>4</v>
      </c>
      <c r="D8" s="177">
        <f>(D3+D4)*[1]Protect!$B$12</f>
        <v>4</v>
      </c>
      <c r="E8" s="177">
        <f>(E3+E4)*[1]Protect!$B$12</f>
        <v>6</v>
      </c>
      <c r="F8" s="177">
        <f>(F3+F4)*[1]Protect!$B$12</f>
        <v>8</v>
      </c>
      <c r="G8" s="177">
        <f>(G3+G4)*[1]Protect!$B$12</f>
        <v>6</v>
      </c>
      <c r="H8" s="177">
        <f>(H3+H4)*[1]Protect!$B$12</f>
        <v>6</v>
      </c>
      <c r="I8" s="177">
        <f>(I3+I4)*[1]Protect!$B$12</f>
        <v>6</v>
      </c>
      <c r="J8" s="177">
        <f>(J3+J4)*[1]Protect!$B$12</f>
        <v>6</v>
      </c>
      <c r="K8" s="177">
        <f>(K3+K4)*[1]Protect!$B$12</f>
        <v>6</v>
      </c>
      <c r="L8" s="177">
        <f>(L3+L4)*[1]Protect!$B$12</f>
        <v>4</v>
      </c>
      <c r="M8" s="177">
        <f>(M3+M4)*[1]Protect!$B$12</f>
        <v>4</v>
      </c>
      <c r="N8" s="177">
        <f>(N3+N4)*[1]Protect!$B$12</f>
        <v>2</v>
      </c>
      <c r="O8" s="177">
        <f>(O3+O4)*[1]Protect!$B$12</f>
        <v>2</v>
      </c>
      <c r="P8" s="177">
        <f>(P3+P4)*[1]Protect!$B$12</f>
        <v>2</v>
      </c>
      <c r="Q8" s="177">
        <f>(Q3+Q4)*[1]Protect!$B$12</f>
        <v>2</v>
      </c>
      <c r="R8" s="177">
        <f>(R3+R4)*[1]Protect!$B$12</f>
        <v>2</v>
      </c>
      <c r="S8" s="177">
        <f>(S3+S4)*[1]Protect!$B$12</f>
        <v>2</v>
      </c>
      <c r="T8" s="177">
        <f>(T3+T4)*[1]Protect!$B$12</f>
        <v>2</v>
      </c>
      <c r="U8" s="177">
        <f>(U3+U4)*[1]Protect!$B$12</f>
        <v>4</v>
      </c>
      <c r="V8" s="177">
        <f>(V3+V4)*[1]Protect!$B$12</f>
        <v>4</v>
      </c>
      <c r="W8" s="177">
        <f>(W3+W4)*[1]Protect!$B$12</f>
        <v>2</v>
      </c>
      <c r="X8" s="177">
        <f>(X3+X4)*[1]Protect!$B$12</f>
        <v>2</v>
      </c>
      <c r="Y8" s="177">
        <f>(Y3+Y4)*[1]Protect!$B$12</f>
        <v>2</v>
      </c>
      <c r="Z8" s="177">
        <f>(Z3+Z4)*[1]Protect!$B$12</f>
        <v>4</v>
      </c>
      <c r="AB8" s="5"/>
      <c r="AC8" s="5"/>
      <c r="AD8" s="36"/>
      <c r="AE8" s="36"/>
      <c r="AF8" s="36"/>
      <c r="AI8" s="40" t="s">
        <v>691</v>
      </c>
      <c r="AJ8" s="30">
        <f>IF(Scénario!$K$87=5,2,IF(Scénario!$K$87&gt;0,MAX($C$214:$Z$214),0))</f>
        <v>10</v>
      </c>
      <c r="AO8" s="14"/>
      <c r="AV8" s="30">
        <f>Parcellaire!A6</f>
        <v>5</v>
      </c>
      <c r="AW8" s="30">
        <f>Parcellaire!B6</f>
        <v>1</v>
      </c>
      <c r="AX8" s="30" t="str">
        <f>Parcellaire!D6</f>
        <v>éloigné</v>
      </c>
      <c r="AY8" s="30">
        <f>Parcellaire!F6</f>
        <v>239</v>
      </c>
      <c r="AZ8" s="30">
        <f>Parcellaire!G6</f>
        <v>1.1000000000000001</v>
      </c>
      <c r="BA8" s="30">
        <f>ROUND(Parcellaire!S6,0)</f>
        <v>0</v>
      </c>
      <c r="BB8" s="30">
        <f>ROUND(Parcellaire!T6,0)</f>
        <v>367</v>
      </c>
      <c r="BC8" s="30">
        <f>ROUND(Parcellaire!U6,0)</f>
        <v>245</v>
      </c>
      <c r="BD8" s="30" t="str">
        <f>IF(AW8=2,"",VLOOKUP(AY8,[1]MEP!$X$5:$AA$250,4))</f>
        <v>PP</v>
      </c>
      <c r="BE8" s="30" t="str">
        <f>IF(AW8=2,"",VLOOKUP(BD8,[1]MEP!$AC$5:$AD$10,2))</f>
        <v>P</v>
      </c>
      <c r="BF8" s="30" t="str">
        <f t="shared" si="10"/>
        <v>PE</v>
      </c>
      <c r="BG8" s="173">
        <f t="shared" si="11"/>
        <v>0</v>
      </c>
      <c r="BH8" s="173">
        <f t="shared" si="4"/>
        <v>0</v>
      </c>
      <c r="BI8" s="173">
        <f t="shared" si="5"/>
        <v>367</v>
      </c>
      <c r="BJ8" s="173">
        <f t="shared" si="6"/>
        <v>0</v>
      </c>
      <c r="BK8" s="173">
        <f t="shared" si="7"/>
        <v>0</v>
      </c>
      <c r="BL8" s="173">
        <f t="shared" si="8"/>
        <v>1.1000000000000001</v>
      </c>
    </row>
    <row r="9" spans="1:64" x14ac:dyDescent="0.25">
      <c r="A9" s="14" t="s">
        <v>692</v>
      </c>
      <c r="B9" t="s">
        <v>568</v>
      </c>
      <c r="C9" s="177">
        <f>C5*[1]Protect!$B$13</f>
        <v>0</v>
      </c>
      <c r="D9" s="177">
        <f>D5*[1]Protect!$B$13</f>
        <v>0</v>
      </c>
      <c r="E9" s="177">
        <f>E5*[1]Protect!$B$13</f>
        <v>0</v>
      </c>
      <c r="F9" s="177">
        <f>F5*[1]Protect!$B$13</f>
        <v>0</v>
      </c>
      <c r="G9" s="177">
        <f>G5*[1]Protect!$B$13</f>
        <v>3</v>
      </c>
      <c r="H9" s="177">
        <f>H5*[1]Protect!$B$13</f>
        <v>3</v>
      </c>
      <c r="I9" s="177">
        <f>I5*[1]Protect!$B$13</f>
        <v>3</v>
      </c>
      <c r="J9" s="177">
        <f>J5*[1]Protect!$B$13</f>
        <v>3</v>
      </c>
      <c r="K9" s="177">
        <f>K5*[1]Protect!$B$13</f>
        <v>3</v>
      </c>
      <c r="L9" s="177">
        <f>L5*[1]Protect!$B$13</f>
        <v>0</v>
      </c>
      <c r="M9" s="177">
        <f>M5*[1]Protect!$B$13</f>
        <v>0</v>
      </c>
      <c r="N9" s="177">
        <f>N5*[1]Protect!$B$13</f>
        <v>0</v>
      </c>
      <c r="O9" s="177">
        <f>O5*[1]Protect!$B$13</f>
        <v>0</v>
      </c>
      <c r="P9" s="177">
        <f>P5*[1]Protect!$B$13</f>
        <v>0</v>
      </c>
      <c r="Q9" s="177">
        <f>Q5*[1]Protect!$B$13</f>
        <v>0</v>
      </c>
      <c r="R9" s="177">
        <f>R5*[1]Protect!$B$13</f>
        <v>0</v>
      </c>
      <c r="S9" s="177">
        <f>S5*[1]Protect!$B$13</f>
        <v>0</v>
      </c>
      <c r="T9" s="177">
        <f>T5*[1]Protect!$B$13</f>
        <v>0</v>
      </c>
      <c r="U9" s="177">
        <f>U5*[1]Protect!$B$13</f>
        <v>0</v>
      </c>
      <c r="V9" s="177">
        <f>V5*[1]Protect!$B$13</f>
        <v>3</v>
      </c>
      <c r="W9" s="177">
        <f>W5*[1]Protect!$B$13</f>
        <v>3</v>
      </c>
      <c r="X9" s="177">
        <f>X5*[1]Protect!$B$13</f>
        <v>3</v>
      </c>
      <c r="Y9" s="177">
        <f>Y5*[1]Protect!$B$13</f>
        <v>3</v>
      </c>
      <c r="Z9" s="177">
        <f>Z5*[1]Protect!$B$13</f>
        <v>0</v>
      </c>
      <c r="AV9" s="30">
        <f>Parcellaire!A7</f>
        <v>6</v>
      </c>
      <c r="AW9" s="30">
        <f>Parcellaire!B7</f>
        <v>1</v>
      </c>
      <c r="AX9" s="30" t="str">
        <f>Parcellaire!D7</f>
        <v>éloigné</v>
      </c>
      <c r="AY9" s="30">
        <f>Parcellaire!F7</f>
        <v>242</v>
      </c>
      <c r="AZ9" s="30">
        <f>Parcellaire!G7</f>
        <v>1.5</v>
      </c>
      <c r="BA9" s="30">
        <f>ROUND(Parcellaire!S7,0)</f>
        <v>0</v>
      </c>
      <c r="BB9" s="30">
        <f>ROUND(Parcellaire!T7,0)</f>
        <v>429</v>
      </c>
      <c r="BC9" s="30">
        <f>ROUND(Parcellaire!U7,0)</f>
        <v>286</v>
      </c>
      <c r="BD9" s="30" t="str">
        <f>IF(AW9=2,"",VLOOKUP(AY9,[1]MEP!$X$5:$AA$250,4))</f>
        <v>PP</v>
      </c>
      <c r="BE9" s="30" t="str">
        <f>IF(AW9=2,"",VLOOKUP(BD9,[1]MEP!$AC$5:$AD$10,2))</f>
        <v>P</v>
      </c>
      <c r="BF9" s="30" t="str">
        <f t="shared" si="10"/>
        <v>PE</v>
      </c>
      <c r="BG9" s="173">
        <f t="shared" si="11"/>
        <v>0</v>
      </c>
      <c r="BH9" s="173">
        <f t="shared" si="4"/>
        <v>0</v>
      </c>
      <c r="BI9" s="173">
        <f t="shared" si="5"/>
        <v>429</v>
      </c>
      <c r="BJ9" s="173">
        <f t="shared" si="6"/>
        <v>0</v>
      </c>
      <c r="BK9" s="173">
        <f t="shared" si="7"/>
        <v>0</v>
      </c>
      <c r="BL9" s="173">
        <f t="shared" si="8"/>
        <v>1.5</v>
      </c>
    </row>
    <row r="10" spans="1:64" x14ac:dyDescent="0.25">
      <c r="A10" s="14" t="s">
        <v>693</v>
      </c>
      <c r="B10" t="s">
        <v>568</v>
      </c>
      <c r="C10" s="177">
        <f>C6*[1]Protect!$B$14</f>
        <v>0</v>
      </c>
      <c r="D10" s="177">
        <f>D6*[1]Protect!$B$14</f>
        <v>0</v>
      </c>
      <c r="E10" s="177">
        <f>E6*[1]Protect!$B$14</f>
        <v>0</v>
      </c>
      <c r="F10" s="177">
        <f>F6*[1]Protect!$B$14</f>
        <v>0</v>
      </c>
      <c r="G10" s="177">
        <f>G6*[1]Protect!$B$14</f>
        <v>0</v>
      </c>
      <c r="H10" s="177">
        <f>H6*[1]Protect!$B$14</f>
        <v>0</v>
      </c>
      <c r="I10" s="177">
        <f>I6*[1]Protect!$B$14</f>
        <v>0</v>
      </c>
      <c r="J10" s="177">
        <f>J6*[1]Protect!$B$14</f>
        <v>0</v>
      </c>
      <c r="K10" s="177">
        <f>K6*[1]Protect!$B$14</f>
        <v>0</v>
      </c>
      <c r="L10" s="177">
        <f>L6*[1]Protect!$B$14</f>
        <v>0</v>
      </c>
      <c r="M10" s="177">
        <f>M6*[1]Protect!$B$14</f>
        <v>0</v>
      </c>
      <c r="N10" s="177">
        <f>N6*[1]Protect!$B$14</f>
        <v>0</v>
      </c>
      <c r="O10" s="177">
        <f>O6*[1]Protect!$B$14</f>
        <v>0</v>
      </c>
      <c r="P10" s="177">
        <f>P6*[1]Protect!$B$14</f>
        <v>0</v>
      </c>
      <c r="Q10" s="177">
        <f>Q6*[1]Protect!$B$14</f>
        <v>0</v>
      </c>
      <c r="R10" s="177">
        <f>R6*[1]Protect!$B$14</f>
        <v>0</v>
      </c>
      <c r="S10" s="177">
        <f>S6*[1]Protect!$B$14</f>
        <v>0</v>
      </c>
      <c r="T10" s="177">
        <f>T6*[1]Protect!$B$14</f>
        <v>0</v>
      </c>
      <c r="U10" s="177">
        <f>U6*[1]Protect!$B$14</f>
        <v>0</v>
      </c>
      <c r="V10" s="177">
        <f>V6*[1]Protect!$B$14</f>
        <v>0</v>
      </c>
      <c r="W10" s="177">
        <f>W6*[1]Protect!$B$14</f>
        <v>0</v>
      </c>
      <c r="X10" s="177">
        <f>X6*[1]Protect!$B$14</f>
        <v>0</v>
      </c>
      <c r="Y10" s="177">
        <f>Y6*[1]Protect!$B$14</f>
        <v>0</v>
      </c>
      <c r="Z10" s="177">
        <f>Z6*[1]Protect!$B$14</f>
        <v>0</v>
      </c>
      <c r="AV10" s="30">
        <f>Parcellaire!A8</f>
        <v>7</v>
      </c>
      <c r="AW10" s="30">
        <f>Parcellaire!B8</f>
        <v>1</v>
      </c>
      <c r="AX10" s="30" t="str">
        <f>Parcellaire!D8</f>
        <v>proche</v>
      </c>
      <c r="AY10" s="30">
        <f>Parcellaire!F8</f>
        <v>242</v>
      </c>
      <c r="AZ10" s="30">
        <f>Parcellaire!G8</f>
        <v>2</v>
      </c>
      <c r="BA10" s="30">
        <f>ROUND(Parcellaire!S8,0)</f>
        <v>0</v>
      </c>
      <c r="BB10" s="30">
        <f>ROUND(Parcellaire!T8,0)</f>
        <v>495</v>
      </c>
      <c r="BC10" s="30">
        <f>ROUND(Parcellaire!U8,0)</f>
        <v>330</v>
      </c>
      <c r="BD10" s="30" t="str">
        <f>IF(AW10=2,"",VLOOKUP(AY10,[1]MEP!$X$5:$AA$250,4))</f>
        <v>PP</v>
      </c>
      <c r="BE10" s="30" t="str">
        <f>IF(AW10=2,"",VLOOKUP(BD10,[1]MEP!$AC$5:$AD$10,2))</f>
        <v>P</v>
      </c>
      <c r="BF10" s="30" t="str">
        <f t="shared" si="10"/>
        <v>PF</v>
      </c>
      <c r="BG10" s="173">
        <f t="shared" si="11"/>
        <v>0</v>
      </c>
      <c r="BH10" s="173">
        <f t="shared" si="4"/>
        <v>495</v>
      </c>
      <c r="BI10" s="173">
        <f t="shared" si="5"/>
        <v>0</v>
      </c>
      <c r="BJ10" s="173">
        <f t="shared" si="6"/>
        <v>0</v>
      </c>
      <c r="BK10" s="173">
        <f t="shared" si="7"/>
        <v>2</v>
      </c>
      <c r="BL10" s="173">
        <f t="shared" si="8"/>
        <v>0</v>
      </c>
    </row>
    <row r="11" spans="1:64" x14ac:dyDescent="0.25">
      <c r="A11" s="14" t="s">
        <v>694</v>
      </c>
      <c r="B11" t="s">
        <v>568</v>
      </c>
      <c r="C11" s="177">
        <f>SUM(C8:C10)</f>
        <v>4</v>
      </c>
      <c r="D11" s="177">
        <f t="shared" ref="D11:Z11" si="14">SUM(D8:D10)</f>
        <v>4</v>
      </c>
      <c r="E11" s="177">
        <f t="shared" si="14"/>
        <v>6</v>
      </c>
      <c r="F11" s="177">
        <f t="shared" si="14"/>
        <v>8</v>
      </c>
      <c r="G11" s="177">
        <f t="shared" si="14"/>
        <v>9</v>
      </c>
      <c r="H11" s="177">
        <f t="shared" si="14"/>
        <v>9</v>
      </c>
      <c r="I11" s="177">
        <f t="shared" si="14"/>
        <v>9</v>
      </c>
      <c r="J11" s="177">
        <f t="shared" si="14"/>
        <v>9</v>
      </c>
      <c r="K11" s="177">
        <f t="shared" si="14"/>
        <v>9</v>
      </c>
      <c r="L11" s="177">
        <f t="shared" si="14"/>
        <v>4</v>
      </c>
      <c r="M11" s="177">
        <f t="shared" si="14"/>
        <v>4</v>
      </c>
      <c r="N11" s="177">
        <f t="shared" si="14"/>
        <v>2</v>
      </c>
      <c r="O11" s="177">
        <f t="shared" si="14"/>
        <v>2</v>
      </c>
      <c r="P11" s="177">
        <f t="shared" si="14"/>
        <v>2</v>
      </c>
      <c r="Q11" s="177">
        <f t="shared" si="14"/>
        <v>2</v>
      </c>
      <c r="R11" s="177">
        <f t="shared" si="14"/>
        <v>2</v>
      </c>
      <c r="S11" s="177">
        <f t="shared" si="14"/>
        <v>2</v>
      </c>
      <c r="T11" s="177">
        <f t="shared" si="14"/>
        <v>2</v>
      </c>
      <c r="U11" s="177">
        <f t="shared" si="14"/>
        <v>4</v>
      </c>
      <c r="V11" s="177">
        <f t="shared" si="14"/>
        <v>7</v>
      </c>
      <c r="W11" s="177">
        <f t="shared" si="14"/>
        <v>5</v>
      </c>
      <c r="X11" s="177">
        <f t="shared" si="14"/>
        <v>5</v>
      </c>
      <c r="Y11" s="177">
        <f t="shared" si="14"/>
        <v>5</v>
      </c>
      <c r="Z11" s="177">
        <f t="shared" si="14"/>
        <v>4</v>
      </c>
      <c r="AB11" s="2" t="s">
        <v>695</v>
      </c>
      <c r="AC11" s="14"/>
      <c r="AV11" s="30">
        <f>Parcellaire!A9</f>
        <v>8</v>
      </c>
      <c r="AW11" s="30">
        <f>Parcellaire!B9</f>
        <v>1</v>
      </c>
      <c r="AX11" s="30" t="str">
        <f>Parcellaire!D9</f>
        <v>proche</v>
      </c>
      <c r="AY11" s="30">
        <f>Parcellaire!F9</f>
        <v>266</v>
      </c>
      <c r="AZ11" s="30">
        <f>Parcellaire!G9</f>
        <v>0.7</v>
      </c>
      <c r="BA11" s="30">
        <f>ROUND(Parcellaire!S9,0)</f>
        <v>0</v>
      </c>
      <c r="BB11" s="30">
        <f>ROUND(Parcellaire!T9,0)</f>
        <v>293</v>
      </c>
      <c r="BC11" s="30">
        <f>ROUND(Parcellaire!U9,0)</f>
        <v>195</v>
      </c>
      <c r="BD11" s="30" t="str">
        <f>IF(AW11=2,"",VLOOKUP(AY11,[1]MEP!$X$5:$AA$250,4))</f>
        <v>PP</v>
      </c>
      <c r="BE11" s="30" t="str">
        <f>IF(AW11=2,"",VLOOKUP(BD11,[1]MEP!$AC$5:$AD$10,2))</f>
        <v>P</v>
      </c>
      <c r="BF11" s="30" t="str">
        <f t="shared" si="10"/>
        <v>PF</v>
      </c>
      <c r="BG11" s="173">
        <f t="shared" si="11"/>
        <v>0</v>
      </c>
      <c r="BH11" s="173">
        <f t="shared" si="4"/>
        <v>293</v>
      </c>
      <c r="BI11" s="173">
        <f t="shared" si="5"/>
        <v>0</v>
      </c>
      <c r="BJ11" s="173">
        <f t="shared" si="6"/>
        <v>0</v>
      </c>
      <c r="BK11" s="173">
        <f t="shared" si="7"/>
        <v>0.7</v>
      </c>
      <c r="BL11" s="173">
        <f t="shared" si="8"/>
        <v>0</v>
      </c>
    </row>
    <row r="12" spans="1:64" x14ac:dyDescent="0.25">
      <c r="A12" s="14" t="s">
        <v>696</v>
      </c>
      <c r="B12" t="s">
        <v>568</v>
      </c>
      <c r="C12" s="177">
        <f>C7*[1]Protect!$B$15</f>
        <v>0</v>
      </c>
      <c r="D12" s="177">
        <f>D7*[1]Protect!$B$15</f>
        <v>0</v>
      </c>
      <c r="E12" s="177">
        <f>E7*[1]Protect!$B$15</f>
        <v>0</v>
      </c>
      <c r="F12" s="177">
        <f>F7*[1]Protect!$B$15</f>
        <v>0</v>
      </c>
      <c r="G12" s="177">
        <f>G7*[1]Protect!$B$15</f>
        <v>0</v>
      </c>
      <c r="H12" s="177">
        <f>H7*[1]Protect!$B$15</f>
        <v>0</v>
      </c>
      <c r="I12" s="177">
        <f>I7*[1]Protect!$B$15</f>
        <v>0</v>
      </c>
      <c r="J12" s="177">
        <f>J7*[1]Protect!$B$15</f>
        <v>0</v>
      </c>
      <c r="K12" s="177">
        <f>K7*[1]Protect!$B$15</f>
        <v>0</v>
      </c>
      <c r="L12" s="177">
        <f>L7*[1]Protect!$B$15</f>
        <v>0</v>
      </c>
      <c r="M12" s="177">
        <f>M7*[1]Protect!$B$15</f>
        <v>0</v>
      </c>
      <c r="N12" s="177">
        <f>N7*[1]Protect!$B$15</f>
        <v>8</v>
      </c>
      <c r="O12" s="177">
        <f>O7*[1]Protect!$B$15</f>
        <v>8</v>
      </c>
      <c r="P12" s="177">
        <f>P7*[1]Protect!$B$15</f>
        <v>8</v>
      </c>
      <c r="Q12" s="177">
        <f>Q7*[1]Protect!$B$15</f>
        <v>8</v>
      </c>
      <c r="R12" s="177">
        <f>R7*[1]Protect!$B$15</f>
        <v>8</v>
      </c>
      <c r="S12" s="177">
        <f>S7*[1]Protect!$B$15</f>
        <v>8</v>
      </c>
      <c r="T12" s="177">
        <f>T7*[1]Protect!$B$15</f>
        <v>8</v>
      </c>
      <c r="U12" s="177">
        <f>U7*[1]Protect!$B$15</f>
        <v>0</v>
      </c>
      <c r="V12" s="177">
        <f>V7*[1]Protect!$B$15</f>
        <v>0</v>
      </c>
      <c r="W12" s="177">
        <f>W7*[1]Protect!$B$15</f>
        <v>0</v>
      </c>
      <c r="X12" s="177">
        <f>X7*[1]Protect!$B$15</f>
        <v>0</v>
      </c>
      <c r="Y12" s="177">
        <f>Y7*[1]Protect!$B$15</f>
        <v>0</v>
      </c>
      <c r="Z12" s="177">
        <f>Z7*[1]Protect!$B$15</f>
        <v>0</v>
      </c>
      <c r="AB12" t="s">
        <v>697</v>
      </c>
      <c r="AV12" s="30">
        <f>Parcellaire!A10</f>
        <v>9</v>
      </c>
      <c r="AW12" s="30">
        <f>Parcellaire!B10</f>
        <v>1</v>
      </c>
      <c r="AX12" s="30" t="str">
        <f>Parcellaire!D10</f>
        <v>proche</v>
      </c>
      <c r="AY12" s="30">
        <f>Parcellaire!F10</f>
        <v>241</v>
      </c>
      <c r="AZ12" s="30">
        <f>Parcellaire!G10</f>
        <v>2</v>
      </c>
      <c r="BA12" s="30">
        <f>ROUND(Parcellaire!S10,0)</f>
        <v>0</v>
      </c>
      <c r="BB12" s="30">
        <f>ROUND(Parcellaire!T10,0)</f>
        <v>495</v>
      </c>
      <c r="BC12" s="30">
        <f>ROUND(Parcellaire!U10,0)</f>
        <v>330</v>
      </c>
      <c r="BD12" s="30" t="str">
        <f>IF(AW12=2,"",VLOOKUP(AY12,[1]MEP!$X$5:$AA$250,4))</f>
        <v>PP</v>
      </c>
      <c r="BE12" s="30" t="str">
        <f>IF(AW12=2,"",VLOOKUP(BD12,[1]MEP!$AC$5:$AD$10,2))</f>
        <v>P</v>
      </c>
      <c r="BF12" s="30" t="str">
        <f t="shared" si="10"/>
        <v>PF</v>
      </c>
      <c r="BG12" s="173">
        <f t="shared" si="11"/>
        <v>0</v>
      </c>
      <c r="BH12" s="173">
        <f t="shared" si="4"/>
        <v>495</v>
      </c>
      <c r="BI12" s="173">
        <f t="shared" si="5"/>
        <v>0</v>
      </c>
      <c r="BJ12" s="173">
        <f t="shared" si="6"/>
        <v>0</v>
      </c>
      <c r="BK12" s="173">
        <f t="shared" si="7"/>
        <v>2</v>
      </c>
      <c r="BL12" s="173">
        <f t="shared" si="8"/>
        <v>0</v>
      </c>
    </row>
    <row r="13" spans="1:64" x14ac:dyDescent="0.25">
      <c r="A13" s="14" t="s">
        <v>698</v>
      </c>
      <c r="B13" t="s">
        <v>568</v>
      </c>
      <c r="C13" s="177">
        <f>C11+C12</f>
        <v>4</v>
      </c>
      <c r="D13" s="177">
        <f t="shared" ref="D13:Z13" si="15">D11+D12</f>
        <v>4</v>
      </c>
      <c r="E13" s="177">
        <f t="shared" si="15"/>
        <v>6</v>
      </c>
      <c r="F13" s="177">
        <f t="shared" si="15"/>
        <v>8</v>
      </c>
      <c r="G13" s="177">
        <f t="shared" si="15"/>
        <v>9</v>
      </c>
      <c r="H13" s="177">
        <f t="shared" si="15"/>
        <v>9</v>
      </c>
      <c r="I13" s="177">
        <f t="shared" si="15"/>
        <v>9</v>
      </c>
      <c r="J13" s="177">
        <f t="shared" si="15"/>
        <v>9</v>
      </c>
      <c r="K13" s="177">
        <f t="shared" si="15"/>
        <v>9</v>
      </c>
      <c r="L13" s="177">
        <f t="shared" si="15"/>
        <v>4</v>
      </c>
      <c r="M13" s="177">
        <f t="shared" si="15"/>
        <v>4</v>
      </c>
      <c r="N13" s="177">
        <f t="shared" si="15"/>
        <v>10</v>
      </c>
      <c r="O13" s="177">
        <f t="shared" si="15"/>
        <v>10</v>
      </c>
      <c r="P13" s="177">
        <f t="shared" si="15"/>
        <v>10</v>
      </c>
      <c r="Q13" s="177">
        <f t="shared" si="15"/>
        <v>10</v>
      </c>
      <c r="R13" s="177">
        <f t="shared" si="15"/>
        <v>10</v>
      </c>
      <c r="S13" s="177">
        <f t="shared" si="15"/>
        <v>10</v>
      </c>
      <c r="T13" s="177">
        <f t="shared" si="15"/>
        <v>10</v>
      </c>
      <c r="U13" s="177">
        <f t="shared" si="15"/>
        <v>4</v>
      </c>
      <c r="V13" s="177">
        <f t="shared" si="15"/>
        <v>7</v>
      </c>
      <c r="W13" s="177">
        <f t="shared" si="15"/>
        <v>5</v>
      </c>
      <c r="X13" s="177">
        <f t="shared" si="15"/>
        <v>5</v>
      </c>
      <c r="Y13" s="177">
        <f t="shared" si="15"/>
        <v>5</v>
      </c>
      <c r="Z13" s="177">
        <f t="shared" si="15"/>
        <v>4</v>
      </c>
      <c r="AC13" s="14" t="s">
        <v>699</v>
      </c>
      <c r="AD13" s="30">
        <f>IF(AND(Troupeau!B3="OL",Scénario!K88=2),MAX(C3:Z4),0)</f>
        <v>0</v>
      </c>
      <c r="AV13" s="30">
        <f>Parcellaire!A11</f>
        <v>10</v>
      </c>
      <c r="AW13" s="30">
        <f>Parcellaire!B11</f>
        <v>1</v>
      </c>
      <c r="AX13" s="30" t="str">
        <f>Parcellaire!D11</f>
        <v>proche</v>
      </c>
      <c r="AY13" s="30">
        <f>Parcellaire!F11</f>
        <v>241</v>
      </c>
      <c r="AZ13" s="30">
        <f>Parcellaire!G11</f>
        <v>3.3</v>
      </c>
      <c r="BA13" s="30">
        <f>ROUND(Parcellaire!S11,0)</f>
        <v>0</v>
      </c>
      <c r="BB13" s="30">
        <f>ROUND(Parcellaire!T11,0)</f>
        <v>636</v>
      </c>
      <c r="BC13" s="30">
        <f>ROUND(Parcellaire!U11,0)</f>
        <v>424</v>
      </c>
      <c r="BD13" s="30" t="str">
        <f>IF(AW13=2,"",VLOOKUP(AY13,[1]MEP!$X$5:$AA$250,4))</f>
        <v>PP</v>
      </c>
      <c r="BE13" s="30" t="str">
        <f>IF(AW13=2,"",VLOOKUP(BD13,[1]MEP!$AC$5:$AD$10,2))</f>
        <v>P</v>
      </c>
      <c r="BF13" s="30" t="str">
        <f t="shared" si="10"/>
        <v>PF</v>
      </c>
      <c r="BG13" s="173">
        <f t="shared" si="11"/>
        <v>0</v>
      </c>
      <c r="BH13" s="173">
        <f t="shared" si="4"/>
        <v>636</v>
      </c>
      <c r="BI13" s="173">
        <f t="shared" si="5"/>
        <v>0</v>
      </c>
      <c r="BJ13" s="173">
        <f t="shared" si="6"/>
        <v>0</v>
      </c>
      <c r="BK13" s="173">
        <f t="shared" si="7"/>
        <v>3.3</v>
      </c>
      <c r="BL13" s="173">
        <f t="shared" si="8"/>
        <v>0</v>
      </c>
    </row>
    <row r="14" spans="1:64" x14ac:dyDescent="0.25">
      <c r="A14" s="43" t="s">
        <v>700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701</v>
      </c>
      <c r="AD14" s="30">
        <f>IF(AD13=0,0,AD13+1)</f>
        <v>0</v>
      </c>
      <c r="AV14" s="30">
        <f>Parcellaire!A12</f>
        <v>11</v>
      </c>
      <c r="AW14" s="30">
        <f>Parcellaire!B12</f>
        <v>1</v>
      </c>
      <c r="AX14" s="30" t="str">
        <f>Parcellaire!D12</f>
        <v>proche</v>
      </c>
      <c r="AY14" s="30">
        <f>Parcellaire!F12</f>
        <v>266</v>
      </c>
      <c r="AZ14" s="30">
        <f>Parcellaire!G12</f>
        <v>0</v>
      </c>
      <c r="BA14" s="30">
        <f>ROUND(Parcellaire!S12,0)</f>
        <v>0</v>
      </c>
      <c r="BB14" s="30">
        <f>ROUND(Parcellaire!T12,0)</f>
        <v>0</v>
      </c>
      <c r="BC14" s="30">
        <f>ROUND(Parcellaire!U12,0)</f>
        <v>0</v>
      </c>
      <c r="BD14" s="30" t="str">
        <f>IF(AW14=2,"",VLOOKUP(AY14,[1]MEP!$X$5:$AA$250,4))</f>
        <v>PP</v>
      </c>
      <c r="BE14" s="30" t="str">
        <f>IF(AW14=2,"",VLOOKUP(BD14,[1]MEP!$AC$5:$AD$10,2))</f>
        <v>P</v>
      </c>
      <c r="BF14" s="30" t="str">
        <f t="shared" si="10"/>
        <v>PF</v>
      </c>
      <c r="BG14" s="173">
        <f t="shared" si="11"/>
        <v>0</v>
      </c>
      <c r="BH14" s="173">
        <f t="shared" si="4"/>
        <v>0</v>
      </c>
      <c r="BI14" s="173">
        <f t="shared" si="5"/>
        <v>0</v>
      </c>
      <c r="BJ14" s="173">
        <f t="shared" si="6"/>
        <v>0</v>
      </c>
      <c r="BK14" s="173">
        <f t="shared" si="7"/>
        <v>0</v>
      </c>
      <c r="BL14" s="173">
        <f t="shared" si="8"/>
        <v>0</v>
      </c>
    </row>
    <row r="15" spans="1:64" x14ac:dyDescent="0.25">
      <c r="A15" s="178" t="s">
        <v>702</v>
      </c>
      <c r="B15" t="s">
        <v>568</v>
      </c>
      <c r="C15" s="173">
        <f t="shared" ref="C15:Z15" si="16">COUNTIF(C68:C77,0)</f>
        <v>0</v>
      </c>
      <c r="D15" s="173">
        <f t="shared" si="16"/>
        <v>0</v>
      </c>
      <c r="E15" s="173">
        <f t="shared" si="16"/>
        <v>0</v>
      </c>
      <c r="F15" s="173">
        <f t="shared" si="16"/>
        <v>0</v>
      </c>
      <c r="G15" s="173">
        <f t="shared" si="16"/>
        <v>0</v>
      </c>
      <c r="H15" s="173">
        <f t="shared" si="16"/>
        <v>0</v>
      </c>
      <c r="I15" s="173">
        <f t="shared" si="16"/>
        <v>0</v>
      </c>
      <c r="J15" s="173">
        <f t="shared" si="16"/>
        <v>0</v>
      </c>
      <c r="K15" s="173">
        <f t="shared" si="16"/>
        <v>0</v>
      </c>
      <c r="L15" s="173">
        <f t="shared" si="16"/>
        <v>0</v>
      </c>
      <c r="M15" s="173">
        <f t="shared" si="16"/>
        <v>0</v>
      </c>
      <c r="N15" s="173">
        <f t="shared" si="16"/>
        <v>0</v>
      </c>
      <c r="O15" s="173">
        <f t="shared" si="16"/>
        <v>0</v>
      </c>
      <c r="P15" s="173">
        <f t="shared" si="16"/>
        <v>0</v>
      </c>
      <c r="Q15" s="173">
        <f t="shared" si="16"/>
        <v>0</v>
      </c>
      <c r="R15" s="173">
        <f t="shared" si="16"/>
        <v>0</v>
      </c>
      <c r="S15" s="173">
        <f t="shared" si="16"/>
        <v>0</v>
      </c>
      <c r="T15" s="173">
        <f t="shared" si="16"/>
        <v>0</v>
      </c>
      <c r="U15" s="173">
        <f t="shared" si="16"/>
        <v>0</v>
      </c>
      <c r="V15" s="173">
        <f t="shared" si="16"/>
        <v>0</v>
      </c>
      <c r="W15" s="173">
        <f t="shared" si="16"/>
        <v>0</v>
      </c>
      <c r="X15" s="173">
        <f t="shared" si="16"/>
        <v>0</v>
      </c>
      <c r="Y15" s="173">
        <f t="shared" si="16"/>
        <v>0</v>
      </c>
      <c r="Z15" s="173">
        <f t="shared" si="16"/>
        <v>0</v>
      </c>
      <c r="AV15" s="30">
        <f>Parcellaire!A13</f>
        <v>12</v>
      </c>
      <c r="AW15" s="30">
        <f>Parcellaire!B13</f>
        <v>1</v>
      </c>
      <c r="AX15" s="30" t="str">
        <f>Parcellaire!D13</f>
        <v>proche</v>
      </c>
      <c r="AY15" s="30">
        <f>Parcellaire!F13</f>
        <v>242</v>
      </c>
      <c r="AZ15" s="30">
        <f>Parcellaire!G13</f>
        <v>3</v>
      </c>
      <c r="BA15" s="30">
        <f>ROUND(Parcellaire!S13,0)</f>
        <v>0</v>
      </c>
      <c r="BB15" s="30">
        <f>ROUND(Parcellaire!T13,0)</f>
        <v>551</v>
      </c>
      <c r="BC15" s="30">
        <f>ROUND(Parcellaire!U13,0)</f>
        <v>367</v>
      </c>
      <c r="BD15" s="30" t="str">
        <f>IF(AW15=2,"",VLOOKUP(AY15,[1]MEP!$X$5:$AA$250,4))</f>
        <v>PP</v>
      </c>
      <c r="BE15" s="30" t="str">
        <f>IF(AW15=2,"",VLOOKUP(BD15,[1]MEP!$AC$5:$AD$10,2))</f>
        <v>P</v>
      </c>
      <c r="BF15" s="30" t="str">
        <f t="shared" si="10"/>
        <v>PF</v>
      </c>
      <c r="BG15" s="173">
        <f t="shared" si="11"/>
        <v>0</v>
      </c>
      <c r="BH15" s="173">
        <f t="shared" si="4"/>
        <v>551</v>
      </c>
      <c r="BI15" s="173">
        <f t="shared" si="5"/>
        <v>0</v>
      </c>
      <c r="BJ15" s="173">
        <f t="shared" si="6"/>
        <v>0</v>
      </c>
      <c r="BK15" s="173">
        <f t="shared" si="7"/>
        <v>3</v>
      </c>
      <c r="BL15" s="173">
        <f t="shared" si="8"/>
        <v>0</v>
      </c>
    </row>
    <row r="16" spans="1:64" x14ac:dyDescent="0.25">
      <c r="A16" s="178" t="s">
        <v>703</v>
      </c>
      <c r="B16" t="s">
        <v>568</v>
      </c>
      <c r="C16" s="173">
        <f t="shared" ref="C16:Z16" si="17">COUNTIF(C68:C77,1)</f>
        <v>2</v>
      </c>
      <c r="D16" s="173">
        <f t="shared" si="17"/>
        <v>2</v>
      </c>
      <c r="E16" s="173">
        <f t="shared" si="17"/>
        <v>2</v>
      </c>
      <c r="F16" s="173">
        <f t="shared" si="17"/>
        <v>1</v>
      </c>
      <c r="G16" s="173">
        <f t="shared" si="17"/>
        <v>1</v>
      </c>
      <c r="H16" s="173">
        <f t="shared" si="17"/>
        <v>0</v>
      </c>
      <c r="I16" s="173">
        <f t="shared" si="17"/>
        <v>0</v>
      </c>
      <c r="J16" s="173">
        <f t="shared" si="17"/>
        <v>0</v>
      </c>
      <c r="K16" s="173">
        <f t="shared" si="17"/>
        <v>0</v>
      </c>
      <c r="L16" s="173">
        <f t="shared" si="17"/>
        <v>0</v>
      </c>
      <c r="M16" s="173">
        <f t="shared" si="17"/>
        <v>0</v>
      </c>
      <c r="N16" s="173">
        <f t="shared" si="17"/>
        <v>0</v>
      </c>
      <c r="O16" s="173">
        <f t="shared" si="17"/>
        <v>0</v>
      </c>
      <c r="P16" s="173">
        <f t="shared" si="17"/>
        <v>0</v>
      </c>
      <c r="Q16" s="173">
        <f t="shared" si="17"/>
        <v>0</v>
      </c>
      <c r="R16" s="173">
        <f t="shared" si="17"/>
        <v>0</v>
      </c>
      <c r="S16" s="173">
        <f t="shared" si="17"/>
        <v>0</v>
      </c>
      <c r="T16" s="173">
        <f t="shared" si="17"/>
        <v>0</v>
      </c>
      <c r="U16" s="173">
        <f t="shared" si="17"/>
        <v>0</v>
      </c>
      <c r="V16" s="173">
        <f t="shared" si="17"/>
        <v>0</v>
      </c>
      <c r="W16" s="173">
        <f t="shared" si="17"/>
        <v>1</v>
      </c>
      <c r="X16" s="173">
        <f t="shared" si="17"/>
        <v>2</v>
      </c>
      <c r="Y16" s="173">
        <f t="shared" si="17"/>
        <v>2</v>
      </c>
      <c r="Z16" s="173">
        <f t="shared" si="17"/>
        <v>2</v>
      </c>
      <c r="AB16" s="14"/>
      <c r="AV16" s="30">
        <f>Parcellaire!A14</f>
        <v>13</v>
      </c>
      <c r="AW16" s="30">
        <f>Parcellaire!B14</f>
        <v>1</v>
      </c>
      <c r="AX16" s="30" t="str">
        <f>Parcellaire!D14</f>
        <v>proche</v>
      </c>
      <c r="AY16" s="30">
        <f>Parcellaire!F14</f>
        <v>242</v>
      </c>
      <c r="AZ16" s="30">
        <f>Parcellaire!G14</f>
        <v>0</v>
      </c>
      <c r="BA16" s="30">
        <f>ROUND(Parcellaire!S14,0)</f>
        <v>0</v>
      </c>
      <c r="BB16" s="30">
        <f>ROUND(Parcellaire!T14,0)</f>
        <v>0</v>
      </c>
      <c r="BC16" s="30">
        <f>ROUND(Parcellaire!U14,0)</f>
        <v>0</v>
      </c>
      <c r="BD16" s="30" t="str">
        <f>IF(AW16=2,"",VLOOKUP(AY16,[1]MEP!$X$5:$AA$250,4))</f>
        <v>PP</v>
      </c>
      <c r="BE16" s="30" t="str">
        <f>IF(AW16=2,"",VLOOKUP(BD16,[1]MEP!$AC$5:$AD$10,2))</f>
        <v>P</v>
      </c>
      <c r="BF16" s="30" t="str">
        <f t="shared" si="10"/>
        <v>PF</v>
      </c>
      <c r="BG16" s="173">
        <f t="shared" si="11"/>
        <v>0</v>
      </c>
      <c r="BH16" s="173">
        <f t="shared" si="4"/>
        <v>0</v>
      </c>
      <c r="BI16" s="173">
        <f t="shared" si="5"/>
        <v>0</v>
      </c>
      <c r="BJ16" s="173">
        <f t="shared" si="6"/>
        <v>0</v>
      </c>
      <c r="BK16" s="173">
        <f t="shared" si="7"/>
        <v>0</v>
      </c>
      <c r="BL16" s="173">
        <f t="shared" si="8"/>
        <v>0</v>
      </c>
    </row>
    <row r="17" spans="1:64" x14ac:dyDescent="0.25">
      <c r="A17" s="178" t="s">
        <v>704</v>
      </c>
      <c r="B17" t="s">
        <v>568</v>
      </c>
      <c r="C17" s="173">
        <f t="shared" ref="C17:Z17" si="18">COUNTIF(C68:C77,0.5)</f>
        <v>2</v>
      </c>
      <c r="D17" s="173">
        <f t="shared" si="18"/>
        <v>2</v>
      </c>
      <c r="E17" s="173">
        <f t="shared" si="18"/>
        <v>2</v>
      </c>
      <c r="F17" s="173">
        <f t="shared" si="18"/>
        <v>3</v>
      </c>
      <c r="G17" s="173">
        <f t="shared" si="18"/>
        <v>3</v>
      </c>
      <c r="H17" s="173">
        <f t="shared" si="18"/>
        <v>4</v>
      </c>
      <c r="I17" s="173">
        <f t="shared" si="18"/>
        <v>4</v>
      </c>
      <c r="J17" s="173">
        <f t="shared" si="18"/>
        <v>4</v>
      </c>
      <c r="K17" s="173">
        <f t="shared" si="18"/>
        <v>4</v>
      </c>
      <c r="L17" s="173">
        <f t="shared" si="18"/>
        <v>2</v>
      </c>
      <c r="M17" s="173">
        <f t="shared" si="18"/>
        <v>2</v>
      </c>
      <c r="N17" s="173">
        <f t="shared" si="18"/>
        <v>1</v>
      </c>
      <c r="O17" s="173">
        <f t="shared" si="18"/>
        <v>1</v>
      </c>
      <c r="P17" s="173">
        <f t="shared" si="18"/>
        <v>1</v>
      </c>
      <c r="Q17" s="173">
        <f t="shared" si="18"/>
        <v>1</v>
      </c>
      <c r="R17" s="173">
        <f t="shared" si="18"/>
        <v>1</v>
      </c>
      <c r="S17" s="173">
        <f t="shared" si="18"/>
        <v>1</v>
      </c>
      <c r="T17" s="173">
        <f t="shared" si="18"/>
        <v>1</v>
      </c>
      <c r="U17" s="173">
        <f t="shared" si="18"/>
        <v>2</v>
      </c>
      <c r="V17" s="173">
        <f t="shared" si="18"/>
        <v>3</v>
      </c>
      <c r="W17" s="173">
        <f t="shared" si="18"/>
        <v>2</v>
      </c>
      <c r="X17" s="173">
        <f t="shared" si="18"/>
        <v>2</v>
      </c>
      <c r="Y17" s="173">
        <f t="shared" si="18"/>
        <v>2</v>
      </c>
      <c r="Z17" s="173">
        <f t="shared" si="18"/>
        <v>2</v>
      </c>
      <c r="AB17" s="2" t="s">
        <v>705</v>
      </c>
      <c r="AD17" s="102" t="s">
        <v>706</v>
      </c>
      <c r="AE17" s="81"/>
      <c r="AF17" s="81"/>
      <c r="AH17" s="2" t="s">
        <v>707</v>
      </c>
      <c r="AK17" t="s">
        <v>708</v>
      </c>
      <c r="AV17" s="30">
        <f>Parcellaire!A15</f>
        <v>14</v>
      </c>
      <c r="AW17" s="30">
        <f>Parcellaire!B15</f>
        <v>1</v>
      </c>
      <c r="AX17" s="30" t="str">
        <f>Parcellaire!D15</f>
        <v>proche</v>
      </c>
      <c r="AY17" s="30">
        <f>Parcellaire!F15</f>
        <v>290</v>
      </c>
      <c r="AZ17" s="30">
        <f>Parcellaire!G15</f>
        <v>1</v>
      </c>
      <c r="BA17" s="30">
        <f>ROUND(Parcellaire!S15,0)</f>
        <v>0</v>
      </c>
      <c r="BB17" s="30">
        <f>ROUND(Parcellaire!T15,0)</f>
        <v>334</v>
      </c>
      <c r="BC17" s="30">
        <f>ROUND(Parcellaire!U15,0)</f>
        <v>222</v>
      </c>
      <c r="BD17" s="30" t="str">
        <f>IF(AW17=2,"",VLOOKUP(AY17,[1]MEP!$X$5:$AA$250,4))</f>
        <v>PP</v>
      </c>
      <c r="BE17" s="30" t="str">
        <f>IF(AW17=2,"",VLOOKUP(BD17,[1]MEP!$AC$5:$AD$10,2))</f>
        <v>P</v>
      </c>
      <c r="BF17" s="30" t="str">
        <f t="shared" si="10"/>
        <v>PF</v>
      </c>
      <c r="BG17" s="173">
        <f t="shared" si="11"/>
        <v>0</v>
      </c>
      <c r="BH17" s="173">
        <f t="shared" si="4"/>
        <v>334</v>
      </c>
      <c r="BI17" s="173">
        <f t="shared" si="5"/>
        <v>0</v>
      </c>
      <c r="BJ17" s="173">
        <f t="shared" si="6"/>
        <v>0</v>
      </c>
      <c r="BK17" s="173">
        <f t="shared" si="7"/>
        <v>1</v>
      </c>
      <c r="BL17" s="173">
        <f t="shared" si="8"/>
        <v>0</v>
      </c>
    </row>
    <row r="18" spans="1:64" x14ac:dyDescent="0.25">
      <c r="A18" s="178" t="s">
        <v>709</v>
      </c>
      <c r="B18" t="s">
        <v>568</v>
      </c>
      <c r="C18" s="62">
        <f>IF(AND(C15=0,(C16+C17)&gt;0),1,IF(AND(C15&gt;0,(C16+C17)&gt;0),C15+1,C15))</f>
        <v>1</v>
      </c>
      <c r="D18" s="62">
        <f t="shared" ref="D18:Z18" si="19">IF(AND(D15=0,(D16+D17)&gt;0),1,IF(AND(D15&gt;0,(D16+D17)&gt;0),D15+1,D15))</f>
        <v>1</v>
      </c>
      <c r="E18" s="62">
        <f t="shared" si="19"/>
        <v>1</v>
      </c>
      <c r="F18" s="62">
        <f t="shared" si="19"/>
        <v>1</v>
      </c>
      <c r="G18" s="62">
        <f t="shared" si="19"/>
        <v>1</v>
      </c>
      <c r="H18" s="62">
        <f t="shared" si="19"/>
        <v>1</v>
      </c>
      <c r="I18" s="62">
        <f t="shared" si="19"/>
        <v>1</v>
      </c>
      <c r="J18" s="62">
        <f t="shared" si="19"/>
        <v>1</v>
      </c>
      <c r="K18" s="62">
        <f t="shared" si="19"/>
        <v>1</v>
      </c>
      <c r="L18" s="62">
        <f t="shared" si="19"/>
        <v>1</v>
      </c>
      <c r="M18" s="62">
        <f t="shared" si="19"/>
        <v>1</v>
      </c>
      <c r="N18" s="62">
        <f t="shared" si="19"/>
        <v>1</v>
      </c>
      <c r="O18" s="62">
        <f t="shared" si="19"/>
        <v>1</v>
      </c>
      <c r="P18" s="62">
        <f t="shared" si="19"/>
        <v>1</v>
      </c>
      <c r="Q18" s="62">
        <f t="shared" si="19"/>
        <v>1</v>
      </c>
      <c r="R18" s="62">
        <f t="shared" si="19"/>
        <v>1</v>
      </c>
      <c r="S18" s="62">
        <f t="shared" si="19"/>
        <v>1</v>
      </c>
      <c r="T18" s="62">
        <f t="shared" si="19"/>
        <v>1</v>
      </c>
      <c r="U18" s="62">
        <f t="shared" si="19"/>
        <v>1</v>
      </c>
      <c r="V18" s="62">
        <f t="shared" si="19"/>
        <v>1</v>
      </c>
      <c r="W18" s="62">
        <f t="shared" si="19"/>
        <v>1</v>
      </c>
      <c r="X18" s="62">
        <f t="shared" si="19"/>
        <v>1</v>
      </c>
      <c r="Y18" s="62">
        <f t="shared" si="19"/>
        <v>1</v>
      </c>
      <c r="Z18" s="62">
        <f t="shared" si="19"/>
        <v>1</v>
      </c>
      <c r="AB18" s="22" t="s">
        <v>710</v>
      </c>
      <c r="AD18" s="120" t="s">
        <v>472</v>
      </c>
      <c r="AE18" s="81" t="s">
        <v>711</v>
      </c>
      <c r="AF18" s="120" t="s">
        <v>712</v>
      </c>
      <c r="AK18" t="s">
        <v>713</v>
      </c>
      <c r="AV18" s="30">
        <f>Parcellaire!A16</f>
        <v>15</v>
      </c>
      <c r="AW18" s="30">
        <f>Parcellaire!B16</f>
        <v>1</v>
      </c>
      <c r="AX18" s="30" t="str">
        <f>Parcellaire!D16</f>
        <v>proche</v>
      </c>
      <c r="AY18" s="30">
        <f>Parcellaire!F16</f>
        <v>241</v>
      </c>
      <c r="AZ18" s="30">
        <f>Parcellaire!G16</f>
        <v>2</v>
      </c>
      <c r="BA18" s="30">
        <f>ROUND(Parcellaire!S16,0)</f>
        <v>0</v>
      </c>
      <c r="BB18" s="30">
        <f>ROUND(Parcellaire!T16,0)</f>
        <v>472</v>
      </c>
      <c r="BC18" s="30">
        <f>ROUND(Parcellaire!U16,0)</f>
        <v>315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10"/>
        <v>PF</v>
      </c>
      <c r="BG18" s="173">
        <f t="shared" si="11"/>
        <v>0</v>
      </c>
      <c r="BH18" s="173">
        <f t="shared" si="4"/>
        <v>472</v>
      </c>
      <c r="BI18" s="173">
        <f t="shared" si="5"/>
        <v>0</v>
      </c>
      <c r="BJ18" s="173">
        <f t="shared" si="6"/>
        <v>0</v>
      </c>
      <c r="BK18" s="173">
        <f t="shared" si="7"/>
        <v>2</v>
      </c>
      <c r="BL18" s="173">
        <f t="shared" si="8"/>
        <v>0</v>
      </c>
    </row>
    <row r="19" spans="1:64" x14ac:dyDescent="0.25">
      <c r="A19" s="178" t="s">
        <v>714</v>
      </c>
      <c r="B19" t="s">
        <v>568</v>
      </c>
      <c r="C19" s="62">
        <f>IF(COUNTIF(C81:C90,4)&gt;0,1,0)</f>
        <v>0</v>
      </c>
      <c r="D19" s="62">
        <f t="shared" ref="D19:Z19" si="20">IF(COUNTIF(D68:D77,4)&gt;0,1,0)</f>
        <v>0</v>
      </c>
      <c r="E19" s="62">
        <f t="shared" si="20"/>
        <v>0</v>
      </c>
      <c r="F19" s="62">
        <f t="shared" si="20"/>
        <v>0</v>
      </c>
      <c r="G19" s="62">
        <f t="shared" si="20"/>
        <v>0</v>
      </c>
      <c r="H19" s="62">
        <f t="shared" si="20"/>
        <v>0</v>
      </c>
      <c r="I19" s="62">
        <f t="shared" si="20"/>
        <v>0</v>
      </c>
      <c r="J19" s="62">
        <f t="shared" si="20"/>
        <v>0</v>
      </c>
      <c r="K19" s="62">
        <f t="shared" si="20"/>
        <v>0</v>
      </c>
      <c r="L19" s="62">
        <f t="shared" si="20"/>
        <v>0</v>
      </c>
      <c r="M19" s="62">
        <f t="shared" si="20"/>
        <v>0</v>
      </c>
      <c r="N19" s="62">
        <f t="shared" si="20"/>
        <v>0</v>
      </c>
      <c r="O19" s="62">
        <f t="shared" si="20"/>
        <v>0</v>
      </c>
      <c r="P19" s="62">
        <f t="shared" si="20"/>
        <v>0</v>
      </c>
      <c r="Q19" s="62">
        <f t="shared" si="20"/>
        <v>0</v>
      </c>
      <c r="R19" s="62">
        <f t="shared" si="20"/>
        <v>0</v>
      </c>
      <c r="S19" s="62">
        <f t="shared" si="20"/>
        <v>0</v>
      </c>
      <c r="T19" s="62">
        <f t="shared" si="20"/>
        <v>0</v>
      </c>
      <c r="U19" s="62">
        <f t="shared" si="20"/>
        <v>0</v>
      </c>
      <c r="V19" s="62">
        <f t="shared" si="20"/>
        <v>0</v>
      </c>
      <c r="W19" s="62">
        <f t="shared" si="20"/>
        <v>0</v>
      </c>
      <c r="X19" s="62">
        <f t="shared" si="20"/>
        <v>0</v>
      </c>
      <c r="Y19" s="62">
        <f t="shared" si="20"/>
        <v>0</v>
      </c>
      <c r="Z19" s="62">
        <f t="shared" si="20"/>
        <v>0</v>
      </c>
      <c r="AC19" s="14" t="s">
        <v>715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706</v>
      </c>
      <c r="AK19" s="171" t="s">
        <v>716</v>
      </c>
      <c r="AV19" s="30">
        <f>Parcellaire!A17</f>
        <v>16</v>
      </c>
      <c r="AW19" s="30">
        <f>Parcellaire!B17</f>
        <v>1</v>
      </c>
      <c r="AX19" s="30" t="str">
        <f>Parcellaire!D17</f>
        <v>proche</v>
      </c>
      <c r="AY19" s="30">
        <f>Parcellaire!F17</f>
        <v>241</v>
      </c>
      <c r="AZ19" s="30">
        <f>Parcellaire!G17</f>
        <v>1.7</v>
      </c>
      <c r="BA19" s="30">
        <f>ROUND(Parcellaire!S17,0)</f>
        <v>0</v>
      </c>
      <c r="BB19" s="30">
        <f>ROUND(Parcellaire!T17,0)</f>
        <v>435</v>
      </c>
      <c r="BC19" s="30">
        <f>ROUND(Parcellaire!U17,0)</f>
        <v>290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10"/>
        <v>PF</v>
      </c>
      <c r="BG19" s="173">
        <f t="shared" si="11"/>
        <v>0</v>
      </c>
      <c r="BH19" s="173">
        <f t="shared" si="4"/>
        <v>435</v>
      </c>
      <c r="BI19" s="173">
        <f t="shared" si="5"/>
        <v>0</v>
      </c>
      <c r="BJ19" s="173">
        <f t="shared" si="6"/>
        <v>0</v>
      </c>
      <c r="BK19" s="173">
        <f t="shared" si="7"/>
        <v>1.7</v>
      </c>
      <c r="BL19" s="173">
        <f t="shared" si="8"/>
        <v>0</v>
      </c>
    </row>
    <row r="20" spans="1:64" x14ac:dyDescent="0.25">
      <c r="A20" s="178" t="s">
        <v>717</v>
      </c>
      <c r="B20" t="s">
        <v>568</v>
      </c>
      <c r="C20" s="173">
        <f>COUNTIF(C81:C90,5)</f>
        <v>0</v>
      </c>
      <c r="D20" s="173">
        <f t="shared" ref="D20:Z20" si="21">COUNTIF(D81:D90,5)</f>
        <v>0</v>
      </c>
      <c r="E20" s="173">
        <f t="shared" si="21"/>
        <v>0</v>
      </c>
      <c r="F20" s="173">
        <f t="shared" si="21"/>
        <v>0</v>
      </c>
      <c r="G20" s="173">
        <f t="shared" si="21"/>
        <v>0</v>
      </c>
      <c r="H20" s="173">
        <f t="shared" si="21"/>
        <v>0</v>
      </c>
      <c r="I20" s="173">
        <f t="shared" si="21"/>
        <v>0</v>
      </c>
      <c r="J20" s="173">
        <f t="shared" si="21"/>
        <v>0</v>
      </c>
      <c r="K20" s="173">
        <f t="shared" si="21"/>
        <v>0</v>
      </c>
      <c r="L20" s="173">
        <f t="shared" si="21"/>
        <v>0</v>
      </c>
      <c r="M20" s="173">
        <f t="shared" si="21"/>
        <v>0</v>
      </c>
      <c r="N20" s="173">
        <f t="shared" si="21"/>
        <v>1</v>
      </c>
      <c r="O20" s="173">
        <f t="shared" si="21"/>
        <v>1</v>
      </c>
      <c r="P20" s="173">
        <f t="shared" si="21"/>
        <v>1</v>
      </c>
      <c r="Q20" s="173">
        <f t="shared" si="21"/>
        <v>1</v>
      </c>
      <c r="R20" s="173">
        <f t="shared" si="21"/>
        <v>1</v>
      </c>
      <c r="S20" s="173">
        <f t="shared" si="21"/>
        <v>1</v>
      </c>
      <c r="T20" s="173">
        <f t="shared" si="21"/>
        <v>1</v>
      </c>
      <c r="U20" s="173">
        <f t="shared" si="21"/>
        <v>0</v>
      </c>
      <c r="V20" s="173">
        <f t="shared" si="21"/>
        <v>0</v>
      </c>
      <c r="W20" s="173">
        <f t="shared" si="21"/>
        <v>0</v>
      </c>
      <c r="X20" s="173">
        <f t="shared" si="21"/>
        <v>0</v>
      </c>
      <c r="Y20" s="173">
        <f t="shared" si="21"/>
        <v>0</v>
      </c>
      <c r="Z20" s="173">
        <f t="shared" si="21"/>
        <v>0</v>
      </c>
      <c r="AC20" s="14" t="s">
        <v>718</v>
      </c>
      <c r="AD20" s="64">
        <f>IF(AND(Troupeau!B3="OL",Scénario!K88=1),Protection!AP4,0)</f>
        <v>9365</v>
      </c>
      <c r="AE20" s="64">
        <v>0</v>
      </c>
      <c r="AF20" s="64">
        <f>SUM(AD20:AE20)</f>
        <v>9365</v>
      </c>
      <c r="AH20" s="30">
        <v>0</v>
      </c>
      <c r="AJ20" s="14" t="s">
        <v>719</v>
      </c>
      <c r="AK20" s="64">
        <f>IF(OR(Scénario!K87=1,Scénario!K87=2),AF19,0)</f>
        <v>0</v>
      </c>
      <c r="AV20" s="30">
        <f>Parcellaire!A18</f>
        <v>17</v>
      </c>
      <c r="AW20" s="30">
        <f>Parcellaire!B18</f>
        <v>1</v>
      </c>
      <c r="AX20" s="30" t="str">
        <f>Parcellaire!D18</f>
        <v>proche</v>
      </c>
      <c r="AY20" s="30">
        <f>Parcellaire!F18</f>
        <v>241</v>
      </c>
      <c r="AZ20" s="30">
        <f>Parcellaire!G18</f>
        <v>3</v>
      </c>
      <c r="BA20" s="30">
        <f>ROUND(Parcellaire!S18,0)</f>
        <v>0</v>
      </c>
      <c r="BB20" s="30">
        <f>ROUND(Parcellaire!T18,0)</f>
        <v>606</v>
      </c>
      <c r="BC20" s="30">
        <f>ROUND(Parcellaire!U18,0)</f>
        <v>404</v>
      </c>
      <c r="BD20" s="30" t="str">
        <f>IF(AW20=2,"",VLOOKUP(AY20,[1]MEP!$X$5:$AA$250,4))</f>
        <v>PP</v>
      </c>
      <c r="BE20" s="30" t="str">
        <f>IF(AW20=2,"",VLOOKUP(BD20,[1]MEP!$AC$5:$AD$10,2))</f>
        <v>P</v>
      </c>
      <c r="BF20" s="30" t="str">
        <f t="shared" si="10"/>
        <v>PF</v>
      </c>
      <c r="BG20" s="173">
        <f t="shared" si="11"/>
        <v>0</v>
      </c>
      <c r="BH20" s="173">
        <f t="shared" si="4"/>
        <v>606</v>
      </c>
      <c r="BI20" s="173">
        <f t="shared" si="5"/>
        <v>0</v>
      </c>
      <c r="BJ20" s="173">
        <f t="shared" si="6"/>
        <v>0</v>
      </c>
      <c r="BK20" s="173">
        <f t="shared" si="7"/>
        <v>3</v>
      </c>
      <c r="BL20" s="173">
        <f t="shared" si="8"/>
        <v>0</v>
      </c>
    </row>
    <row r="21" spans="1:64" x14ac:dyDescent="0.25">
      <c r="A21" s="178" t="s">
        <v>720</v>
      </c>
      <c r="B21" t="s">
        <v>568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2</v>
      </c>
      <c r="O21" s="62">
        <f>IF(Protection!O20&gt;0,Scénario!$K$58,0)</f>
        <v>2</v>
      </c>
      <c r="P21" s="62">
        <f>IF(Protection!P20&gt;0,Scénario!$K$58,0)</f>
        <v>2</v>
      </c>
      <c r="Q21" s="62">
        <f>IF(Protection!Q20&gt;0,Scénario!$K$58,0)</f>
        <v>2</v>
      </c>
      <c r="R21" s="62">
        <f>IF(Protection!R20&gt;0,Scénario!$K$58,0)</f>
        <v>2</v>
      </c>
      <c r="S21" s="62">
        <f>IF(Protection!S20&gt;0,Scénario!$K$58,0)</f>
        <v>2</v>
      </c>
      <c r="T21" s="62">
        <f>IF(Protection!T20&gt;0,Scénario!$K$58,0)</f>
        <v>2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9" t="s">
        <v>721</v>
      </c>
      <c r="AC21" s="14"/>
      <c r="AD21" s="64"/>
      <c r="AE21" s="64"/>
      <c r="AF21" s="64"/>
      <c r="AJ21" s="14" t="s">
        <v>722</v>
      </c>
      <c r="AK21" s="64">
        <f>IF(OR(Scénario!K87=1,Scénario!K87=2),Protection!AF20,IF(OR(Scénario!K87=3,Scénario!K87=4),Protection!AF22,0))</f>
        <v>9365</v>
      </c>
      <c r="AV21" s="30">
        <f>Parcellaire!A19</f>
        <v>18</v>
      </c>
      <c r="AW21" s="30">
        <f>Parcellaire!B19</f>
        <v>1</v>
      </c>
      <c r="AX21" s="30" t="str">
        <f>Parcellaire!D19</f>
        <v>éloigné</v>
      </c>
      <c r="AY21" s="30">
        <f>Parcellaire!F19</f>
        <v>194</v>
      </c>
      <c r="AZ21" s="30">
        <f>Parcellaire!G19</f>
        <v>1</v>
      </c>
      <c r="BA21" s="30">
        <f>ROUND(Parcellaire!S19,0)</f>
        <v>0</v>
      </c>
      <c r="BB21" s="30">
        <f>ROUND(Parcellaire!T19,0)</f>
        <v>350</v>
      </c>
      <c r="BC21" s="30">
        <f>ROUND(Parcellaire!U19,0)</f>
        <v>233</v>
      </c>
      <c r="BD21" s="30" t="str">
        <f>IF(AW21=2,"",VLOOKUP(AY21,[1]MEP!$X$5:$AA$250,4))</f>
        <v>PT</v>
      </c>
      <c r="BE21" s="30" t="str">
        <f>IF(AW21=2,"",VLOOKUP(BD21,[1]MEP!$AC$5:$AD$10,2))</f>
        <v>P</v>
      </c>
      <c r="BF21" s="30" t="str">
        <f t="shared" si="10"/>
        <v>PE</v>
      </c>
      <c r="BG21" s="173">
        <f t="shared" si="11"/>
        <v>0</v>
      </c>
      <c r="BH21" s="173">
        <f t="shared" si="4"/>
        <v>0</v>
      </c>
      <c r="BI21" s="173">
        <f t="shared" si="5"/>
        <v>350</v>
      </c>
      <c r="BJ21" s="173">
        <f t="shared" si="6"/>
        <v>0</v>
      </c>
      <c r="BK21" s="173">
        <f t="shared" si="7"/>
        <v>0</v>
      </c>
      <c r="BL21" s="173">
        <f t="shared" si="8"/>
        <v>1</v>
      </c>
    </row>
    <row r="22" spans="1:64" x14ac:dyDescent="0.25">
      <c r="A22" s="178" t="s">
        <v>723</v>
      </c>
      <c r="B22" t="s">
        <v>568</v>
      </c>
      <c r="C22" s="62">
        <f>C18+C19+C21</f>
        <v>1</v>
      </c>
      <c r="D22" s="62">
        <f t="shared" ref="D22:Z22" si="22">D18+D19+D21</f>
        <v>1</v>
      </c>
      <c r="E22" s="62">
        <f t="shared" si="22"/>
        <v>1</v>
      </c>
      <c r="F22" s="62">
        <f t="shared" si="22"/>
        <v>1</v>
      </c>
      <c r="G22" s="62">
        <f t="shared" si="22"/>
        <v>1</v>
      </c>
      <c r="H22" s="62">
        <f t="shared" si="22"/>
        <v>1</v>
      </c>
      <c r="I22" s="62">
        <f t="shared" si="22"/>
        <v>1</v>
      </c>
      <c r="J22" s="62">
        <f t="shared" si="22"/>
        <v>1</v>
      </c>
      <c r="K22" s="62">
        <f t="shared" si="22"/>
        <v>1</v>
      </c>
      <c r="L22" s="62">
        <f t="shared" si="22"/>
        <v>1</v>
      </c>
      <c r="M22" s="62">
        <f t="shared" si="22"/>
        <v>1</v>
      </c>
      <c r="N22" s="62">
        <f t="shared" si="22"/>
        <v>3</v>
      </c>
      <c r="O22" s="62">
        <f t="shared" si="22"/>
        <v>3</v>
      </c>
      <c r="P22" s="62">
        <f t="shared" si="22"/>
        <v>3</v>
      </c>
      <c r="Q22" s="62">
        <f t="shared" si="22"/>
        <v>3</v>
      </c>
      <c r="R22" s="62">
        <f t="shared" si="22"/>
        <v>3</v>
      </c>
      <c r="S22" s="62">
        <f t="shared" si="22"/>
        <v>3</v>
      </c>
      <c r="T22" s="62">
        <f t="shared" si="22"/>
        <v>3</v>
      </c>
      <c r="U22" s="62">
        <f t="shared" si="22"/>
        <v>1</v>
      </c>
      <c r="V22" s="62">
        <f t="shared" si="22"/>
        <v>1</v>
      </c>
      <c r="W22" s="62">
        <f t="shared" si="22"/>
        <v>1</v>
      </c>
      <c r="X22" s="62">
        <f t="shared" si="22"/>
        <v>1</v>
      </c>
      <c r="Y22" s="62">
        <f t="shared" si="22"/>
        <v>1</v>
      </c>
      <c r="Z22" s="62">
        <f t="shared" si="22"/>
        <v>1</v>
      </c>
      <c r="AC22" s="14" t="s">
        <v>718</v>
      </c>
      <c r="AD22" s="64">
        <f>IF(AND(Scénario!K88=1,Troupeau!B3="OL"),Protection!AP6,0)</f>
        <v>4317</v>
      </c>
      <c r="AE22" s="64">
        <f>IF(AND(LEFT(Scénario!K12,2)="OL",Troupeau!C3&lt;&gt;"",Scénario!K91=1),Protection!AP5+Protection!AP3,0)</f>
        <v>0</v>
      </c>
      <c r="AF22" s="64">
        <f>SUM(AD22:AE22)</f>
        <v>4317</v>
      </c>
      <c r="AH22" s="30">
        <f>IF(AND(Troupeau!B3&lt;&gt;"OL",Scénario!K91=1),AP4,0)</f>
        <v>0</v>
      </c>
      <c r="AJ22" s="14" t="s">
        <v>707</v>
      </c>
      <c r="AK22" s="64">
        <f>IF(OR(Scénario!K87=3,Scénario!K87=4),Protection!AH22,0)</f>
        <v>0</v>
      </c>
      <c r="AV22" s="30">
        <f>Parcellaire!A20</f>
        <v>19</v>
      </c>
      <c r="AW22" s="30">
        <f>Parcellaire!B20</f>
        <v>1</v>
      </c>
      <c r="AX22" s="30" t="str">
        <f>Parcellaire!D20</f>
        <v>proche</v>
      </c>
      <c r="AY22" s="30">
        <f>Parcellaire!F20</f>
        <v>17</v>
      </c>
      <c r="AZ22" s="30">
        <f>Parcellaire!G20</f>
        <v>4.3</v>
      </c>
      <c r="BA22" s="30">
        <f>ROUND(Parcellaire!S20,0)</f>
        <v>0</v>
      </c>
      <c r="BB22" s="30">
        <f>ROUND(Parcellaire!T20,0)</f>
        <v>1011</v>
      </c>
      <c r="BC22" s="30">
        <f>ROUND(Parcellaire!U20,0)</f>
        <v>0</v>
      </c>
      <c r="BD22" s="30" t="str">
        <f>IF(AW22=2,"",VLOOKUP(AY22,[1]MEP!$X$5:$AA$250,4))</f>
        <v>lande</v>
      </c>
      <c r="BE22" s="30" t="str">
        <f>IF(AW22=2,"",VLOOKUP(BD22,[1]MEP!$AC$5:$AD$10,2))</f>
        <v>LP</v>
      </c>
      <c r="BF22" s="30" t="str">
        <f t="shared" si="10"/>
        <v>LP</v>
      </c>
      <c r="BG22" s="173">
        <f t="shared" si="11"/>
        <v>1011</v>
      </c>
      <c r="BH22" s="173">
        <f t="shared" si="4"/>
        <v>0</v>
      </c>
      <c r="BI22" s="173">
        <f t="shared" si="5"/>
        <v>0</v>
      </c>
      <c r="BJ22" s="173">
        <f t="shared" si="6"/>
        <v>4.3</v>
      </c>
      <c r="BK22" s="173">
        <f t="shared" si="7"/>
        <v>0</v>
      </c>
      <c r="BL22" s="173">
        <f t="shared" si="8"/>
        <v>0</v>
      </c>
    </row>
    <row r="23" spans="1:64" x14ac:dyDescent="0.25">
      <c r="A23" s="178"/>
      <c r="AC23" s="14"/>
      <c r="AV23" s="30">
        <f>Parcellaire!A21</f>
        <v>20</v>
      </c>
      <c r="AW23" s="30">
        <f>Parcellaire!B21</f>
        <v>1</v>
      </c>
      <c r="AX23" s="30" t="str">
        <f>Parcellaire!D21</f>
        <v>éloigné</v>
      </c>
      <c r="AY23" s="30">
        <f>Parcellaire!F21</f>
        <v>172</v>
      </c>
      <c r="AZ23" s="30">
        <f>Parcellaire!G21</f>
        <v>6.8</v>
      </c>
      <c r="BA23" s="30">
        <f>ROUND(Parcellaire!S21,0)</f>
        <v>0</v>
      </c>
      <c r="BB23" s="30">
        <f>ROUND(Parcellaire!T21,0)</f>
        <v>1271</v>
      </c>
      <c r="BC23" s="30">
        <f>ROUND(Parcellaire!U21,0)</f>
        <v>0</v>
      </c>
      <c r="BD23" s="30" t="str">
        <f>IF(AW23=2,"",VLOOKUP(AY23,[1]MEP!$X$5:$AA$250,4))</f>
        <v>lande</v>
      </c>
      <c r="BE23" s="30" t="str">
        <f>IF(AW23=2,"",VLOOKUP(BD23,[1]MEP!$AC$5:$AD$10,2))</f>
        <v>LP</v>
      </c>
      <c r="BF23" s="30" t="str">
        <f t="shared" si="10"/>
        <v>LP</v>
      </c>
      <c r="BG23" s="173">
        <f t="shared" si="11"/>
        <v>1271</v>
      </c>
      <c r="BH23" s="173">
        <f t="shared" si="4"/>
        <v>0</v>
      </c>
      <c r="BI23" s="173">
        <f t="shared" si="5"/>
        <v>0</v>
      </c>
      <c r="BJ23" s="173">
        <f t="shared" si="6"/>
        <v>6.8</v>
      </c>
      <c r="BK23" s="173">
        <f t="shared" si="7"/>
        <v>0</v>
      </c>
      <c r="BL23" s="173">
        <f t="shared" si="8"/>
        <v>0</v>
      </c>
    </row>
    <row r="24" spans="1:64" x14ac:dyDescent="0.25">
      <c r="A24" s="43" t="s">
        <v>724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Parcellaire!A22</f>
        <v>21</v>
      </c>
      <c r="AW24" s="30">
        <f>Parcellaire!B22</f>
        <v>1</v>
      </c>
      <c r="AX24" s="30" t="str">
        <f>Parcellaire!D22</f>
        <v>éloigné</v>
      </c>
      <c r="AY24" s="30">
        <f>Parcellaire!F22</f>
        <v>194</v>
      </c>
      <c r="AZ24" s="30">
        <f>Parcellaire!G22</f>
        <v>2</v>
      </c>
      <c r="BA24" s="30">
        <f>ROUND(Parcellaire!S22,0)</f>
        <v>0</v>
      </c>
      <c r="BB24" s="30">
        <f>ROUND(Parcellaire!T22,0)</f>
        <v>495</v>
      </c>
      <c r="BC24" s="30">
        <f>ROUND(Parcellaire!U22,0)</f>
        <v>330</v>
      </c>
      <c r="BD24" s="30" t="str">
        <f>IF(AW24=2,"",VLOOKUP(AY24,[1]MEP!$X$5:$AA$250,4))</f>
        <v>PT</v>
      </c>
      <c r="BE24" s="30" t="str">
        <f>IF(AW24=2,"",VLOOKUP(BD24,[1]MEP!$AC$5:$AD$10,2))</f>
        <v>P</v>
      </c>
      <c r="BF24" s="30" t="str">
        <f t="shared" si="10"/>
        <v>PE</v>
      </c>
      <c r="BG24" s="173">
        <f t="shared" si="11"/>
        <v>0</v>
      </c>
      <c r="BH24" s="173">
        <f t="shared" si="4"/>
        <v>0</v>
      </c>
      <c r="BI24" s="173">
        <f t="shared" si="5"/>
        <v>495</v>
      </c>
      <c r="BJ24" s="173">
        <f t="shared" si="6"/>
        <v>0</v>
      </c>
      <c r="BK24" s="173">
        <f t="shared" si="7"/>
        <v>0</v>
      </c>
      <c r="BL24" s="173">
        <f t="shared" si="8"/>
        <v>2</v>
      </c>
    </row>
    <row r="25" spans="1:64" x14ac:dyDescent="0.25">
      <c r="A25" s="14" t="s">
        <v>725</v>
      </c>
      <c r="B25" t="s">
        <v>601</v>
      </c>
      <c r="C25" s="177">
        <f t="shared" ref="C25:Z25" si="23">COUNTIF(C123:C132,1)+COUNTIF(C123:C132,2)</f>
        <v>0</v>
      </c>
      <c r="D25" s="177">
        <f t="shared" si="23"/>
        <v>0</v>
      </c>
      <c r="E25" s="177">
        <f t="shared" si="23"/>
        <v>1</v>
      </c>
      <c r="F25" s="177">
        <f t="shared" si="23"/>
        <v>1</v>
      </c>
      <c r="G25" s="177">
        <f t="shared" si="23"/>
        <v>1</v>
      </c>
      <c r="H25" s="177">
        <f t="shared" si="23"/>
        <v>2</v>
      </c>
      <c r="I25" s="177">
        <f t="shared" si="23"/>
        <v>3</v>
      </c>
      <c r="J25" s="177">
        <f t="shared" si="23"/>
        <v>3</v>
      </c>
      <c r="K25" s="177">
        <f t="shared" si="23"/>
        <v>3</v>
      </c>
      <c r="L25" s="177">
        <f t="shared" si="23"/>
        <v>3</v>
      </c>
      <c r="M25" s="177">
        <f t="shared" si="23"/>
        <v>3</v>
      </c>
      <c r="N25" s="177">
        <f t="shared" si="23"/>
        <v>3</v>
      </c>
      <c r="O25" s="177">
        <f t="shared" si="23"/>
        <v>3</v>
      </c>
      <c r="P25" s="177">
        <f t="shared" si="23"/>
        <v>3</v>
      </c>
      <c r="Q25" s="177">
        <f t="shared" si="23"/>
        <v>3</v>
      </c>
      <c r="R25" s="177">
        <f t="shared" si="23"/>
        <v>3</v>
      </c>
      <c r="S25" s="177">
        <f t="shared" si="23"/>
        <v>3</v>
      </c>
      <c r="T25" s="177">
        <f t="shared" si="23"/>
        <v>3</v>
      </c>
      <c r="U25" s="177">
        <f t="shared" si="23"/>
        <v>1</v>
      </c>
      <c r="V25" s="177">
        <f t="shared" si="23"/>
        <v>2</v>
      </c>
      <c r="W25" s="177">
        <f t="shared" si="23"/>
        <v>3</v>
      </c>
      <c r="X25" s="177">
        <f t="shared" si="23"/>
        <v>3</v>
      </c>
      <c r="Y25" s="177">
        <f t="shared" si="23"/>
        <v>0</v>
      </c>
      <c r="Z25" s="177">
        <f t="shared" si="23"/>
        <v>0</v>
      </c>
      <c r="AC25" s="14"/>
      <c r="AJ25" s="40" t="s">
        <v>726</v>
      </c>
      <c r="AK25" s="30">
        <f>IF(Troupeau!B3&lt;&gt;"OL",Protection!AK22,IF(AND(Troupeau!B3="OL",Scénario!K88=1),Protection!AK21,IF(AND(Troupeau!B3="OL",Scénario!K88=2),Protection!AK20,0)))</f>
        <v>9365</v>
      </c>
      <c r="AV25" s="30">
        <f>Parcellaire!A23</f>
        <v>22</v>
      </c>
      <c r="AW25" s="30">
        <f>Parcellaire!B23</f>
        <v>1</v>
      </c>
      <c r="AX25" s="30" t="str">
        <f>Parcellaire!D23</f>
        <v>éloigné</v>
      </c>
      <c r="AY25" s="30">
        <f>Parcellaire!F23</f>
        <v>194</v>
      </c>
      <c r="AZ25" s="30">
        <f>Parcellaire!G23</f>
        <v>2</v>
      </c>
      <c r="BA25" s="30">
        <f>ROUND(Parcellaire!S23,0)</f>
        <v>0</v>
      </c>
      <c r="BB25" s="30">
        <f>ROUND(Parcellaire!T23,0)</f>
        <v>495</v>
      </c>
      <c r="BC25" s="30">
        <f>ROUND(Parcellaire!U23,0)</f>
        <v>330</v>
      </c>
      <c r="BD25" s="30" t="str">
        <f>IF(AW25=2,"",VLOOKUP(AY25,[1]MEP!$X$5:$AA$250,4))</f>
        <v>PT</v>
      </c>
      <c r="BE25" s="30" t="str">
        <f>IF(AW25=2,"",VLOOKUP(BD25,[1]MEP!$AC$5:$AD$10,2))</f>
        <v>P</v>
      </c>
      <c r="BF25" s="30" t="str">
        <f t="shared" si="10"/>
        <v>PE</v>
      </c>
      <c r="BG25" s="173">
        <f t="shared" si="11"/>
        <v>0</v>
      </c>
      <c r="BH25" s="173">
        <f t="shared" si="4"/>
        <v>0</v>
      </c>
      <c r="BI25" s="173">
        <f t="shared" si="5"/>
        <v>495</v>
      </c>
      <c r="BJ25" s="173">
        <f t="shared" si="6"/>
        <v>0</v>
      </c>
      <c r="BK25" s="173">
        <f t="shared" si="7"/>
        <v>0</v>
      </c>
      <c r="BL25" s="173">
        <f t="shared" si="8"/>
        <v>2</v>
      </c>
    </row>
    <row r="26" spans="1:64" x14ac:dyDescent="0.25">
      <c r="A26" s="14" t="s">
        <v>684</v>
      </c>
      <c r="B26" t="s">
        <v>601</v>
      </c>
      <c r="C26" s="177">
        <f t="shared" ref="C26:Z26" si="24">COUNTIF(C123:C132,3)</f>
        <v>0</v>
      </c>
      <c r="D26" s="177">
        <f t="shared" si="24"/>
        <v>0</v>
      </c>
      <c r="E26" s="177">
        <f t="shared" si="24"/>
        <v>0</v>
      </c>
      <c r="F26" s="177">
        <f t="shared" si="24"/>
        <v>0</v>
      </c>
      <c r="G26" s="177">
        <f t="shared" si="24"/>
        <v>0</v>
      </c>
      <c r="H26" s="177">
        <f t="shared" si="24"/>
        <v>0</v>
      </c>
      <c r="I26" s="177">
        <f t="shared" si="24"/>
        <v>0</v>
      </c>
      <c r="J26" s="177">
        <f t="shared" si="24"/>
        <v>0</v>
      </c>
      <c r="K26" s="177">
        <f t="shared" si="24"/>
        <v>0</v>
      </c>
      <c r="L26" s="177">
        <f t="shared" si="24"/>
        <v>0</v>
      </c>
      <c r="M26" s="177">
        <f t="shared" si="24"/>
        <v>0</v>
      </c>
      <c r="N26" s="177">
        <f t="shared" si="24"/>
        <v>0</v>
      </c>
      <c r="O26" s="177">
        <f t="shared" si="24"/>
        <v>0</v>
      </c>
      <c r="P26" s="177">
        <f t="shared" si="24"/>
        <v>0</v>
      </c>
      <c r="Q26" s="177">
        <f t="shared" si="24"/>
        <v>0</v>
      </c>
      <c r="R26" s="177">
        <f t="shared" si="24"/>
        <v>0</v>
      </c>
      <c r="S26" s="177">
        <f t="shared" si="24"/>
        <v>0</v>
      </c>
      <c r="T26" s="177">
        <f t="shared" si="24"/>
        <v>0</v>
      </c>
      <c r="U26" s="177">
        <f t="shared" si="24"/>
        <v>2</v>
      </c>
      <c r="V26" s="177">
        <f t="shared" si="24"/>
        <v>1</v>
      </c>
      <c r="W26" s="177">
        <f t="shared" si="24"/>
        <v>0</v>
      </c>
      <c r="X26" s="177">
        <f t="shared" si="24"/>
        <v>0</v>
      </c>
      <c r="Y26" s="177">
        <f t="shared" si="24"/>
        <v>0</v>
      </c>
      <c r="Z26" s="177">
        <f t="shared" si="24"/>
        <v>0</v>
      </c>
      <c r="AB26" s="2" t="s">
        <v>727</v>
      </c>
      <c r="AC26" s="14"/>
      <c r="AD26" s="171" t="s">
        <v>472</v>
      </c>
      <c r="AE26" t="s">
        <v>728</v>
      </c>
      <c r="AJ26" s="14" t="s">
        <v>668</v>
      </c>
      <c r="AK26" s="30">
        <f>IF(AK25=AP3,AQ3,IF(AK25=AP4,AQ4,IF(AK25=AP6,AQ6,0)))</f>
        <v>39.099999999999994</v>
      </c>
      <c r="AV26" s="30">
        <f>Parcellaire!A24</f>
        <v>21</v>
      </c>
      <c r="AW26" s="30">
        <f>Parcellaire!B24</f>
        <v>0</v>
      </c>
      <c r="AX26" s="30">
        <f>Parcellaire!D24</f>
        <v>0</v>
      </c>
      <c r="AY26" s="30">
        <f>Parcellaire!F24</f>
        <v>0</v>
      </c>
      <c r="AZ26" s="30">
        <f>Parcellaire!G24</f>
        <v>0</v>
      </c>
      <c r="BA26" s="30">
        <f>ROUND(Parcellaire!S24,0)</f>
        <v>0</v>
      </c>
      <c r="BB26" s="30" t="e">
        <f>ROUND(Parcellaire!T24,0)</f>
        <v>#VALUE!</v>
      </c>
      <c r="BC26" s="30">
        <f>ROUND(Parcellaire!U24,0)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10"/>
        <v>#N/A</v>
      </c>
      <c r="BG26" s="173">
        <f t="shared" si="11"/>
        <v>0</v>
      </c>
      <c r="BH26" s="173">
        <f t="shared" si="4"/>
        <v>0</v>
      </c>
      <c r="BI26" s="173">
        <f t="shared" si="5"/>
        <v>0</v>
      </c>
      <c r="BJ26" s="173">
        <f t="shared" si="6"/>
        <v>0</v>
      </c>
      <c r="BK26" s="173">
        <f t="shared" si="7"/>
        <v>0</v>
      </c>
      <c r="BL26" s="173">
        <f t="shared" si="8"/>
        <v>0</v>
      </c>
    </row>
    <row r="27" spans="1:64" x14ac:dyDescent="0.25">
      <c r="A27" s="14" t="s">
        <v>686</v>
      </c>
      <c r="B27" t="s">
        <v>601</v>
      </c>
      <c r="C27" s="177">
        <f t="shared" ref="C27:Z27" si="25">C40</f>
        <v>0</v>
      </c>
      <c r="D27" s="177">
        <f t="shared" si="25"/>
        <v>0</v>
      </c>
      <c r="E27" s="177">
        <f t="shared" si="25"/>
        <v>0</v>
      </c>
      <c r="F27" s="177">
        <f t="shared" si="25"/>
        <v>0</v>
      </c>
      <c r="G27" s="177">
        <f t="shared" si="25"/>
        <v>0</v>
      </c>
      <c r="H27" s="177">
        <f t="shared" si="25"/>
        <v>0</v>
      </c>
      <c r="I27" s="177">
        <f t="shared" si="25"/>
        <v>0</v>
      </c>
      <c r="J27" s="177">
        <f t="shared" si="25"/>
        <v>0</v>
      </c>
      <c r="K27" s="177">
        <f t="shared" si="25"/>
        <v>0</v>
      </c>
      <c r="L27" s="177">
        <f t="shared" si="25"/>
        <v>0</v>
      </c>
      <c r="M27" s="177">
        <f t="shared" si="25"/>
        <v>0</v>
      </c>
      <c r="N27" s="177">
        <f t="shared" si="25"/>
        <v>0</v>
      </c>
      <c r="O27" s="177">
        <f t="shared" si="25"/>
        <v>0</v>
      </c>
      <c r="P27" s="177">
        <f t="shared" si="25"/>
        <v>0</v>
      </c>
      <c r="Q27" s="177">
        <f t="shared" si="25"/>
        <v>0</v>
      </c>
      <c r="R27" s="177">
        <f t="shared" si="25"/>
        <v>0</v>
      </c>
      <c r="S27" s="177">
        <f t="shared" si="25"/>
        <v>0</v>
      </c>
      <c r="T27" s="177">
        <f t="shared" si="25"/>
        <v>0</v>
      </c>
      <c r="U27" s="177">
        <f t="shared" si="25"/>
        <v>0</v>
      </c>
      <c r="V27" s="177">
        <f t="shared" si="25"/>
        <v>0</v>
      </c>
      <c r="W27" s="177">
        <f t="shared" si="25"/>
        <v>0</v>
      </c>
      <c r="X27" s="177">
        <f t="shared" si="25"/>
        <v>0</v>
      </c>
      <c r="Y27" s="177">
        <f t="shared" si="25"/>
        <v>0</v>
      </c>
      <c r="Z27" s="177">
        <f t="shared" si="25"/>
        <v>0</v>
      </c>
      <c r="AC27" s="180" t="s">
        <v>729</v>
      </c>
      <c r="AV27" s="30">
        <f>Parcellaire!A25</f>
        <v>22</v>
      </c>
      <c r="AW27" s="30">
        <f>Parcellaire!B25</f>
        <v>0</v>
      </c>
      <c r="AX27" s="30">
        <f>Parcellaire!D25</f>
        <v>0</v>
      </c>
      <c r="AY27" s="30">
        <f>Parcellaire!F25</f>
        <v>0</v>
      </c>
      <c r="AZ27" s="30">
        <f>Parcellaire!G25</f>
        <v>0</v>
      </c>
      <c r="BA27" s="30">
        <f>ROUND(Parcellaire!S25,0)</f>
        <v>0</v>
      </c>
      <c r="BB27" s="30" t="e">
        <f>ROUND(Parcellaire!T25,0)</f>
        <v>#VALUE!</v>
      </c>
      <c r="BC27" s="30">
        <f>ROUND(Parcellaire!U25,0)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10"/>
        <v>#N/A</v>
      </c>
      <c r="BG27" s="173">
        <f t="shared" si="11"/>
        <v>0</v>
      </c>
      <c r="BH27" s="173">
        <f t="shared" si="4"/>
        <v>0</v>
      </c>
      <c r="BI27" s="173">
        <f t="shared" si="5"/>
        <v>0</v>
      </c>
      <c r="BJ27" s="173">
        <f t="shared" si="6"/>
        <v>0</v>
      </c>
      <c r="BK27" s="173">
        <f t="shared" si="7"/>
        <v>0</v>
      </c>
      <c r="BL27" s="173">
        <f t="shared" si="8"/>
        <v>0</v>
      </c>
    </row>
    <row r="28" spans="1:64" x14ac:dyDescent="0.25">
      <c r="A28" s="14" t="s">
        <v>688</v>
      </c>
      <c r="B28" t="s">
        <v>601</v>
      </c>
      <c r="C28" s="177">
        <f t="shared" ref="C28:Z28" si="26">C42</f>
        <v>0</v>
      </c>
      <c r="D28" s="177">
        <f t="shared" si="26"/>
        <v>0</v>
      </c>
      <c r="E28" s="177">
        <f t="shared" si="26"/>
        <v>0</v>
      </c>
      <c r="F28" s="177">
        <f t="shared" si="26"/>
        <v>0</v>
      </c>
      <c r="G28" s="177">
        <f t="shared" si="26"/>
        <v>0</v>
      </c>
      <c r="H28" s="177">
        <f t="shared" si="26"/>
        <v>0</v>
      </c>
      <c r="I28" s="177">
        <f t="shared" si="26"/>
        <v>0</v>
      </c>
      <c r="J28" s="177">
        <f t="shared" si="26"/>
        <v>0</v>
      </c>
      <c r="K28" s="177">
        <f t="shared" si="26"/>
        <v>0</v>
      </c>
      <c r="L28" s="177">
        <f t="shared" si="26"/>
        <v>0</v>
      </c>
      <c r="M28" s="177">
        <f t="shared" si="26"/>
        <v>0</v>
      </c>
      <c r="N28" s="177">
        <f t="shared" si="26"/>
        <v>0</v>
      </c>
      <c r="O28" s="177">
        <f t="shared" si="26"/>
        <v>0</v>
      </c>
      <c r="P28" s="177">
        <f t="shared" si="26"/>
        <v>0</v>
      </c>
      <c r="Q28" s="177">
        <f t="shared" si="26"/>
        <v>0</v>
      </c>
      <c r="R28" s="177">
        <f t="shared" si="26"/>
        <v>0</v>
      </c>
      <c r="S28" s="177">
        <f t="shared" si="26"/>
        <v>0</v>
      </c>
      <c r="T28" s="177">
        <f t="shared" si="26"/>
        <v>0</v>
      </c>
      <c r="U28" s="177">
        <f t="shared" si="26"/>
        <v>0</v>
      </c>
      <c r="V28" s="177">
        <f t="shared" si="26"/>
        <v>0</v>
      </c>
      <c r="W28" s="177">
        <f t="shared" si="26"/>
        <v>0</v>
      </c>
      <c r="X28" s="177">
        <f t="shared" si="26"/>
        <v>0</v>
      </c>
      <c r="Y28" s="177">
        <f t="shared" si="26"/>
        <v>0</v>
      </c>
      <c r="Z28" s="177">
        <f t="shared" si="26"/>
        <v>0</v>
      </c>
      <c r="AC28" s="14" t="s">
        <v>730</v>
      </c>
      <c r="AD28" s="173">
        <f>IF(AND(Troupeau!B3="OL",Scénario!K54&gt;0),Scénario!K59,0)</f>
        <v>1</v>
      </c>
      <c r="AJ28" s="14"/>
      <c r="AV28" s="30">
        <f>Parcellaire!A26</f>
        <v>23</v>
      </c>
      <c r="AW28" s="30">
        <f>Parcellaire!B26</f>
        <v>0</v>
      </c>
      <c r="AX28" s="30">
        <f>Parcellaire!D26</f>
        <v>0</v>
      </c>
      <c r="AY28" s="30">
        <f>Parcellaire!F26</f>
        <v>0</v>
      </c>
      <c r="AZ28" s="30">
        <f>Parcellaire!G26</f>
        <v>0</v>
      </c>
      <c r="BA28" s="30">
        <f>ROUND(Parcellaire!S26,0)</f>
        <v>0</v>
      </c>
      <c r="BB28" s="30" t="e">
        <f>ROUND(Parcellaire!T26,0)</f>
        <v>#VALUE!</v>
      </c>
      <c r="BC28" s="30">
        <f>ROUND(Parcellaire!U26,0)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10"/>
        <v>#N/A</v>
      </c>
      <c r="BG28" s="173">
        <f t="shared" si="11"/>
        <v>0</v>
      </c>
      <c r="BH28" s="173">
        <f t="shared" si="4"/>
        <v>0</v>
      </c>
      <c r="BI28" s="173">
        <f t="shared" si="5"/>
        <v>0</v>
      </c>
      <c r="BJ28" s="173">
        <f t="shared" si="6"/>
        <v>0</v>
      </c>
      <c r="BK28" s="173">
        <f t="shared" si="7"/>
        <v>0</v>
      </c>
      <c r="BL28" s="173">
        <f t="shared" si="8"/>
        <v>0</v>
      </c>
    </row>
    <row r="29" spans="1:64" x14ac:dyDescent="0.25">
      <c r="A29" s="14" t="s">
        <v>690</v>
      </c>
      <c r="B29" t="s">
        <v>601</v>
      </c>
      <c r="C29" s="177">
        <f>C25*[1]Protect!$B$12</f>
        <v>0</v>
      </c>
      <c r="D29" s="177">
        <f>D25*[1]Protect!$B$12</f>
        <v>0</v>
      </c>
      <c r="E29" s="177">
        <f>E25*[1]Protect!$B$12</f>
        <v>2</v>
      </c>
      <c r="F29" s="177">
        <f>F25*[1]Protect!$B$12</f>
        <v>2</v>
      </c>
      <c r="G29" s="177">
        <f>G25*[1]Protect!$B$12</f>
        <v>2</v>
      </c>
      <c r="H29" s="177">
        <f>H25*[1]Protect!$B$12</f>
        <v>4</v>
      </c>
      <c r="I29" s="177">
        <f>I25*[1]Protect!$B$12</f>
        <v>6</v>
      </c>
      <c r="J29" s="177">
        <f>J25*[1]Protect!$B$12</f>
        <v>6</v>
      </c>
      <c r="K29" s="177">
        <f>K25*[1]Protect!$B$12</f>
        <v>6</v>
      </c>
      <c r="L29" s="177">
        <f>L25*[1]Protect!$B$12</f>
        <v>6</v>
      </c>
      <c r="M29" s="177">
        <f>M25*[1]Protect!$B$12</f>
        <v>6</v>
      </c>
      <c r="N29" s="177">
        <f>N25*[1]Protect!$B$12</f>
        <v>6</v>
      </c>
      <c r="O29" s="177">
        <f>O25*[1]Protect!$B$12</f>
        <v>6</v>
      </c>
      <c r="P29" s="177">
        <f>P25*[1]Protect!$B$12</f>
        <v>6</v>
      </c>
      <c r="Q29" s="177">
        <f>Q25*[1]Protect!$B$12</f>
        <v>6</v>
      </c>
      <c r="R29" s="177">
        <f>R25*[1]Protect!$B$12</f>
        <v>6</v>
      </c>
      <c r="S29" s="177">
        <f>S25*[1]Protect!$B$12</f>
        <v>6</v>
      </c>
      <c r="T29" s="177">
        <f>T25*[1]Protect!$B$12</f>
        <v>6</v>
      </c>
      <c r="U29" s="177">
        <f>U25*[1]Protect!$B$12</f>
        <v>2</v>
      </c>
      <c r="V29" s="177">
        <f>V25*[1]Protect!$B$12</f>
        <v>4</v>
      </c>
      <c r="W29" s="177">
        <f>W25*[1]Protect!$B$12</f>
        <v>6</v>
      </c>
      <c r="X29" s="177">
        <f>X25*[1]Protect!$B$12</f>
        <v>6</v>
      </c>
      <c r="Y29" s="177">
        <f>Y25*[1]Protect!$B$12</f>
        <v>0</v>
      </c>
      <c r="Z29" s="177">
        <f>Z25*[1]Protect!$B$12</f>
        <v>0</v>
      </c>
      <c r="AC29" s="14" t="s">
        <v>731</v>
      </c>
      <c r="AD29" s="173">
        <f>IF(AND(Troupeau!B3="OL",Scénario!K54&gt;0),Scénario!K59-1,0)</f>
        <v>0</v>
      </c>
      <c r="AV29" s="30">
        <f>Parcellaire!A27</f>
        <v>24</v>
      </c>
      <c r="AW29" s="30">
        <f>Parcellaire!B27</f>
        <v>0</v>
      </c>
      <c r="AX29" s="30">
        <f>Parcellaire!D27</f>
        <v>0</v>
      </c>
      <c r="AY29" s="30">
        <f>Parcellaire!F27</f>
        <v>0</v>
      </c>
      <c r="AZ29" s="30">
        <f>Parcellaire!G27</f>
        <v>0</v>
      </c>
      <c r="BA29" s="30">
        <f>ROUND(Parcellaire!S27,0)</f>
        <v>0</v>
      </c>
      <c r="BB29" s="30" t="e">
        <f>ROUND(Parcellaire!T27,0)</f>
        <v>#VALUE!</v>
      </c>
      <c r="BC29" s="30">
        <f>ROUND(Parcellaire!U27,0)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10"/>
        <v>#N/A</v>
      </c>
      <c r="BG29" s="173">
        <f t="shared" si="11"/>
        <v>0</v>
      </c>
      <c r="BH29" s="173">
        <f t="shared" si="4"/>
        <v>0</v>
      </c>
      <c r="BI29" s="173">
        <f t="shared" si="5"/>
        <v>0</v>
      </c>
      <c r="BJ29" s="173">
        <f t="shared" si="6"/>
        <v>0</v>
      </c>
      <c r="BK29" s="173">
        <f t="shared" si="7"/>
        <v>0</v>
      </c>
      <c r="BL29" s="173">
        <f t="shared" si="8"/>
        <v>0</v>
      </c>
    </row>
    <row r="30" spans="1:64" x14ac:dyDescent="0.25">
      <c r="A30" s="14" t="s">
        <v>692</v>
      </c>
      <c r="B30" t="s">
        <v>601</v>
      </c>
      <c r="C30" s="177">
        <f>C26*[1]Protect!$B$13</f>
        <v>0</v>
      </c>
      <c r="D30" s="177">
        <f>D26*[1]Protect!$B$13</f>
        <v>0</v>
      </c>
      <c r="E30" s="177">
        <f>E26*[1]Protect!$B$13</f>
        <v>0</v>
      </c>
      <c r="F30" s="177">
        <f>F26*[1]Protect!$B$13</f>
        <v>0</v>
      </c>
      <c r="G30" s="177">
        <f>G26*[1]Protect!$B$13</f>
        <v>0</v>
      </c>
      <c r="H30" s="177">
        <f>H26*[1]Protect!$B$13</f>
        <v>0</v>
      </c>
      <c r="I30" s="177">
        <f>I26*[1]Protect!$B$13</f>
        <v>0</v>
      </c>
      <c r="J30" s="177">
        <f>J26*[1]Protect!$B$13</f>
        <v>0</v>
      </c>
      <c r="K30" s="177">
        <f>K26*[1]Protect!$B$13</f>
        <v>0</v>
      </c>
      <c r="L30" s="177">
        <f>L26*[1]Protect!$B$13</f>
        <v>0</v>
      </c>
      <c r="M30" s="177">
        <f>M26*[1]Protect!$B$13</f>
        <v>0</v>
      </c>
      <c r="N30" s="177">
        <f>N26*[1]Protect!$B$13</f>
        <v>0</v>
      </c>
      <c r="O30" s="177">
        <f>O26*[1]Protect!$B$13</f>
        <v>0</v>
      </c>
      <c r="P30" s="177">
        <f>P26*[1]Protect!$B$13</f>
        <v>0</v>
      </c>
      <c r="Q30" s="177">
        <f>Q26*[1]Protect!$B$13</f>
        <v>0</v>
      </c>
      <c r="R30" s="177">
        <f>R26*[1]Protect!$B$13</f>
        <v>0</v>
      </c>
      <c r="S30" s="177">
        <f>S26*[1]Protect!$B$13</f>
        <v>0</v>
      </c>
      <c r="T30" s="177">
        <f>T26*[1]Protect!$B$13</f>
        <v>0</v>
      </c>
      <c r="U30" s="177">
        <f>U26*[1]Protect!$B$13</f>
        <v>6</v>
      </c>
      <c r="V30" s="177">
        <f>V26*[1]Protect!$B$13</f>
        <v>3</v>
      </c>
      <c r="W30" s="177">
        <f>W26*[1]Protect!$B$13</f>
        <v>0</v>
      </c>
      <c r="X30" s="177">
        <f>X26*[1]Protect!$B$13</f>
        <v>0</v>
      </c>
      <c r="Y30" s="177">
        <f>Y26*[1]Protect!$B$13</f>
        <v>0</v>
      </c>
      <c r="Z30" s="177">
        <f>Z26*[1]Protect!$B$13</f>
        <v>0</v>
      </c>
      <c r="AC30" s="14" t="s">
        <v>732</v>
      </c>
      <c r="AD30" s="173">
        <f>IF(AND(Troupeau!B3="OL",SUM(Protection!C6:Z6)&gt;0),1,0)</f>
        <v>0</v>
      </c>
      <c r="AV30" s="30">
        <f>Parcellaire!A28</f>
        <v>25</v>
      </c>
      <c r="AW30" s="30">
        <f>Parcellaire!B28</f>
        <v>0</v>
      </c>
      <c r="AX30" s="30">
        <f>Parcellaire!D28</f>
        <v>0</v>
      </c>
      <c r="AY30" s="30">
        <f>Parcellaire!F28</f>
        <v>0</v>
      </c>
      <c r="AZ30" s="30">
        <f>Parcellaire!G28</f>
        <v>0</v>
      </c>
      <c r="BA30" s="30">
        <f>ROUND(Parcellaire!S28,0)</f>
        <v>0</v>
      </c>
      <c r="BB30" s="30" t="e">
        <f>ROUND(Parcellaire!T28,0)</f>
        <v>#VALUE!</v>
      </c>
      <c r="BC30" s="30">
        <f>ROUND(Parcellaire!U28,0)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10"/>
        <v>#N/A</v>
      </c>
      <c r="BG30" s="173">
        <f t="shared" si="11"/>
        <v>0</v>
      </c>
      <c r="BH30" s="173">
        <f t="shared" si="4"/>
        <v>0</v>
      </c>
      <c r="BI30" s="173">
        <f t="shared" si="5"/>
        <v>0</v>
      </c>
      <c r="BJ30" s="173">
        <f t="shared" si="6"/>
        <v>0</v>
      </c>
      <c r="BK30" s="173">
        <f t="shared" si="7"/>
        <v>0</v>
      </c>
      <c r="BL30" s="173">
        <f t="shared" si="8"/>
        <v>0</v>
      </c>
    </row>
    <row r="31" spans="1:64" x14ac:dyDescent="0.25">
      <c r="A31" s="14" t="s">
        <v>693</v>
      </c>
      <c r="B31" t="s">
        <v>601</v>
      </c>
      <c r="C31" s="177">
        <f>C27*[1]Protect!$B$14</f>
        <v>0</v>
      </c>
      <c r="D31" s="177">
        <f>D27*[1]Protect!$B$14</f>
        <v>0</v>
      </c>
      <c r="E31" s="177">
        <f>E27*[1]Protect!$B$14</f>
        <v>0</v>
      </c>
      <c r="F31" s="177">
        <f>F27*[1]Protect!$B$14</f>
        <v>0</v>
      </c>
      <c r="G31" s="177">
        <f>G27*[1]Protect!$B$14</f>
        <v>0</v>
      </c>
      <c r="H31" s="177">
        <f>H27*[1]Protect!$B$14</f>
        <v>0</v>
      </c>
      <c r="I31" s="177">
        <f>I27*[1]Protect!$B$14</f>
        <v>0</v>
      </c>
      <c r="J31" s="177">
        <f>J27*[1]Protect!$B$14</f>
        <v>0</v>
      </c>
      <c r="K31" s="177">
        <f>K27*[1]Protect!$B$14</f>
        <v>0</v>
      </c>
      <c r="L31" s="177">
        <f>L27*[1]Protect!$B$14</f>
        <v>0</v>
      </c>
      <c r="M31" s="177">
        <f>M27*[1]Protect!$B$14</f>
        <v>0</v>
      </c>
      <c r="N31" s="177">
        <f>N27*[1]Protect!$B$14</f>
        <v>0</v>
      </c>
      <c r="O31" s="177">
        <f>O27*[1]Protect!$B$14</f>
        <v>0</v>
      </c>
      <c r="P31" s="177">
        <f>P27*[1]Protect!$B$14</f>
        <v>0</v>
      </c>
      <c r="Q31" s="177">
        <f>Q27*[1]Protect!$B$14</f>
        <v>0</v>
      </c>
      <c r="R31" s="177">
        <f>R27*[1]Protect!$B$14</f>
        <v>0</v>
      </c>
      <c r="S31" s="177">
        <f>S27*[1]Protect!$B$14</f>
        <v>0</v>
      </c>
      <c r="T31" s="177">
        <f>T27*[1]Protect!$B$14</f>
        <v>0</v>
      </c>
      <c r="U31" s="177">
        <f>U27*[1]Protect!$B$14</f>
        <v>0</v>
      </c>
      <c r="V31" s="177">
        <f>V27*[1]Protect!$B$14</f>
        <v>0</v>
      </c>
      <c r="W31" s="177">
        <f>W27*[1]Protect!$B$14</f>
        <v>0</v>
      </c>
      <c r="X31" s="177">
        <f>X27*[1]Protect!$B$14</f>
        <v>0</v>
      </c>
      <c r="Y31" s="177">
        <f>Y27*[1]Protect!$B$14</f>
        <v>0</v>
      </c>
      <c r="Z31" s="177">
        <f>Z27*[1]Protect!$B$14</f>
        <v>0</v>
      </c>
      <c r="AC31" s="14" t="s">
        <v>733</v>
      </c>
      <c r="AD31" s="173">
        <f>IF(AD30=0,0,1)</f>
        <v>0</v>
      </c>
      <c r="BG31" s="62">
        <f>SUM(BG3:BG30)</f>
        <v>2282</v>
      </c>
      <c r="BH31" s="62">
        <f t="shared" ref="BH31:BK31" si="27">SUM(BH3:BH30)</f>
        <v>4317</v>
      </c>
      <c r="BI31" s="62">
        <f t="shared" si="27"/>
        <v>2766</v>
      </c>
      <c r="BJ31" s="62">
        <f t="shared" si="27"/>
        <v>11.1</v>
      </c>
      <c r="BK31" s="62">
        <f t="shared" si="27"/>
        <v>18.7</v>
      </c>
      <c r="BL31" s="62">
        <f>SUM(BL3:BL30)</f>
        <v>9.3000000000000007</v>
      </c>
    </row>
    <row r="32" spans="1:64" x14ac:dyDescent="0.25">
      <c r="A32" s="14" t="s">
        <v>694</v>
      </c>
      <c r="B32" t="s">
        <v>601</v>
      </c>
      <c r="C32" s="177">
        <f>SUM(C29:C31)</f>
        <v>0</v>
      </c>
      <c r="D32" s="177">
        <f t="shared" ref="D32:Z32" si="28">SUM(D29:D31)</f>
        <v>0</v>
      </c>
      <c r="E32" s="177">
        <f t="shared" si="28"/>
        <v>2</v>
      </c>
      <c r="F32" s="177">
        <f t="shared" si="28"/>
        <v>2</v>
      </c>
      <c r="G32" s="177">
        <f t="shared" si="28"/>
        <v>2</v>
      </c>
      <c r="H32" s="177">
        <f t="shared" si="28"/>
        <v>4</v>
      </c>
      <c r="I32" s="177">
        <f t="shared" si="28"/>
        <v>6</v>
      </c>
      <c r="J32" s="177">
        <f t="shared" si="28"/>
        <v>6</v>
      </c>
      <c r="K32" s="177">
        <f t="shared" si="28"/>
        <v>6</v>
      </c>
      <c r="L32" s="177">
        <f t="shared" si="28"/>
        <v>6</v>
      </c>
      <c r="M32" s="177">
        <f t="shared" si="28"/>
        <v>6</v>
      </c>
      <c r="N32" s="177">
        <f t="shared" si="28"/>
        <v>6</v>
      </c>
      <c r="O32" s="177">
        <f t="shared" si="28"/>
        <v>6</v>
      </c>
      <c r="P32" s="177">
        <f t="shared" si="28"/>
        <v>6</v>
      </c>
      <c r="Q32" s="177">
        <f t="shared" si="28"/>
        <v>6</v>
      </c>
      <c r="R32" s="177">
        <f t="shared" si="28"/>
        <v>6</v>
      </c>
      <c r="S32" s="177">
        <f t="shared" si="28"/>
        <v>6</v>
      </c>
      <c r="T32" s="177">
        <f t="shared" si="28"/>
        <v>6</v>
      </c>
      <c r="U32" s="177">
        <f t="shared" si="28"/>
        <v>8</v>
      </c>
      <c r="V32" s="177">
        <f t="shared" si="28"/>
        <v>7</v>
      </c>
      <c r="W32" s="177">
        <f t="shared" si="28"/>
        <v>6</v>
      </c>
      <c r="X32" s="177">
        <f t="shared" si="28"/>
        <v>6</v>
      </c>
      <c r="Y32" s="177">
        <f t="shared" si="28"/>
        <v>0</v>
      </c>
      <c r="Z32" s="177">
        <f t="shared" si="28"/>
        <v>0</v>
      </c>
      <c r="AC32" s="180" t="s">
        <v>734</v>
      </c>
    </row>
    <row r="33" spans="1:49" x14ac:dyDescent="0.25">
      <c r="A33" s="14" t="s">
        <v>696</v>
      </c>
      <c r="B33" t="s">
        <v>601</v>
      </c>
      <c r="C33" s="177">
        <f>C28*[1]Protect!$B$15</f>
        <v>0</v>
      </c>
      <c r="D33" s="177">
        <f>D28*[1]Protect!$B$15</f>
        <v>0</v>
      </c>
      <c r="E33" s="177">
        <f>E28*[1]Protect!$B$15</f>
        <v>0</v>
      </c>
      <c r="F33" s="177">
        <f>F28*[1]Protect!$B$15</f>
        <v>0</v>
      </c>
      <c r="G33" s="177">
        <f>G28*[1]Protect!$B$15</f>
        <v>0</v>
      </c>
      <c r="H33" s="177">
        <f>H28*[1]Protect!$B$15</f>
        <v>0</v>
      </c>
      <c r="I33" s="177">
        <f>I28*[1]Protect!$B$15</f>
        <v>0</v>
      </c>
      <c r="J33" s="177">
        <f>J28*[1]Protect!$B$15</f>
        <v>0</v>
      </c>
      <c r="K33" s="177">
        <f>K28*[1]Protect!$B$15</f>
        <v>0</v>
      </c>
      <c r="L33" s="177">
        <f>L28*[1]Protect!$B$15</f>
        <v>0</v>
      </c>
      <c r="M33" s="177">
        <f>M28*[1]Protect!$B$15</f>
        <v>0</v>
      </c>
      <c r="N33" s="177">
        <f>N28*[1]Protect!$B$15</f>
        <v>0</v>
      </c>
      <c r="O33" s="177">
        <f>O28*[1]Protect!$B$15</f>
        <v>0</v>
      </c>
      <c r="P33" s="177">
        <f>P28*[1]Protect!$B$15</f>
        <v>0</v>
      </c>
      <c r="Q33" s="177">
        <f>Q28*[1]Protect!$B$15</f>
        <v>0</v>
      </c>
      <c r="R33" s="177">
        <f>R28*[1]Protect!$B$15</f>
        <v>0</v>
      </c>
      <c r="S33" s="177">
        <f>S28*[1]Protect!$B$15</f>
        <v>0</v>
      </c>
      <c r="T33" s="177">
        <f>T28*[1]Protect!$B$15</f>
        <v>0</v>
      </c>
      <c r="U33" s="177">
        <f>U28*[1]Protect!$B$15</f>
        <v>0</v>
      </c>
      <c r="V33" s="177">
        <f>V28*[1]Protect!$B$15</f>
        <v>0</v>
      </c>
      <c r="W33" s="177">
        <f>W28*[1]Protect!$B$15</f>
        <v>0</v>
      </c>
      <c r="X33" s="177">
        <f>X28*[1]Protect!$B$15</f>
        <v>0</v>
      </c>
      <c r="Y33" s="177">
        <f>Y28*[1]Protect!$B$15</f>
        <v>0</v>
      </c>
      <c r="Z33" s="177">
        <f>Z28*[1]Protect!$B$15</f>
        <v>0</v>
      </c>
      <c r="AC33" s="14" t="s">
        <v>735</v>
      </c>
      <c r="AE33" s="173">
        <f>IF(OR(Scénario!K12="OL/BV",Scénario!K12="OL/EQ",Scénario!K12="BV",Scénario!K12="OL/BV/EQ"),Protection!AP7,0)</f>
        <v>0</v>
      </c>
    </row>
    <row r="34" spans="1:49" x14ac:dyDescent="0.25">
      <c r="A34" s="14" t="s">
        <v>698</v>
      </c>
      <c r="B34" t="s">
        <v>601</v>
      </c>
      <c r="C34" s="177">
        <f>C33+C32</f>
        <v>0</v>
      </c>
      <c r="D34" s="177">
        <f t="shared" ref="D34:Z34" si="29">IF(SUM(D29:D31)=0,D33,SUM(D29:D33))</f>
        <v>0</v>
      </c>
      <c r="E34" s="177">
        <f t="shared" si="29"/>
        <v>4</v>
      </c>
      <c r="F34" s="177">
        <f t="shared" si="29"/>
        <v>4</v>
      </c>
      <c r="G34" s="177">
        <f t="shared" si="29"/>
        <v>4</v>
      </c>
      <c r="H34" s="177">
        <f t="shared" si="29"/>
        <v>8</v>
      </c>
      <c r="I34" s="177">
        <f t="shared" si="29"/>
        <v>12</v>
      </c>
      <c r="J34" s="177">
        <f t="shared" si="29"/>
        <v>12</v>
      </c>
      <c r="K34" s="177">
        <f t="shared" si="29"/>
        <v>12</v>
      </c>
      <c r="L34" s="177">
        <f t="shared" si="29"/>
        <v>12</v>
      </c>
      <c r="M34" s="177">
        <f t="shared" si="29"/>
        <v>12</v>
      </c>
      <c r="N34" s="177">
        <f t="shared" si="29"/>
        <v>12</v>
      </c>
      <c r="O34" s="177">
        <f t="shared" si="29"/>
        <v>12</v>
      </c>
      <c r="P34" s="177">
        <f t="shared" si="29"/>
        <v>12</v>
      </c>
      <c r="Q34" s="177">
        <f t="shared" si="29"/>
        <v>12</v>
      </c>
      <c r="R34" s="177">
        <f t="shared" si="29"/>
        <v>12</v>
      </c>
      <c r="S34" s="177">
        <f t="shared" si="29"/>
        <v>12</v>
      </c>
      <c r="T34" s="177">
        <f t="shared" si="29"/>
        <v>12</v>
      </c>
      <c r="U34" s="177">
        <f t="shared" si="29"/>
        <v>16</v>
      </c>
      <c r="V34" s="177">
        <f t="shared" si="29"/>
        <v>14</v>
      </c>
      <c r="W34" s="177">
        <f t="shared" si="29"/>
        <v>12</v>
      </c>
      <c r="X34" s="177">
        <f t="shared" si="29"/>
        <v>12</v>
      </c>
      <c r="Y34" s="177">
        <f t="shared" si="29"/>
        <v>0</v>
      </c>
      <c r="Z34" s="177">
        <f t="shared" si="29"/>
        <v>0</v>
      </c>
    </row>
    <row r="35" spans="1:49" x14ac:dyDescent="0.25">
      <c r="A35" s="43" t="s">
        <v>736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49" x14ac:dyDescent="0.25">
      <c r="A36" s="178" t="s">
        <v>702</v>
      </c>
      <c r="B36" t="s">
        <v>601</v>
      </c>
      <c r="C36" s="173">
        <f t="shared" ref="C36:Z36" si="30">COUNTIF(C110:C119,0)</f>
        <v>0</v>
      </c>
      <c r="D36" s="173">
        <f t="shared" si="30"/>
        <v>0</v>
      </c>
      <c r="E36" s="173">
        <f t="shared" si="30"/>
        <v>1</v>
      </c>
      <c r="F36" s="173">
        <f t="shared" si="30"/>
        <v>1</v>
      </c>
      <c r="G36" s="173">
        <f t="shared" si="30"/>
        <v>1</v>
      </c>
      <c r="H36" s="173">
        <f t="shared" si="30"/>
        <v>2</v>
      </c>
      <c r="I36" s="173">
        <f t="shared" si="30"/>
        <v>2</v>
      </c>
      <c r="J36" s="173">
        <f t="shared" si="30"/>
        <v>2</v>
      </c>
      <c r="K36" s="173">
        <f t="shared" si="30"/>
        <v>2</v>
      </c>
      <c r="L36" s="173">
        <f t="shared" si="30"/>
        <v>2</v>
      </c>
      <c r="M36" s="173">
        <f t="shared" si="30"/>
        <v>3</v>
      </c>
      <c r="N36" s="173">
        <f t="shared" si="30"/>
        <v>3</v>
      </c>
      <c r="O36" s="173">
        <f t="shared" si="30"/>
        <v>3</v>
      </c>
      <c r="P36" s="173">
        <f t="shared" si="30"/>
        <v>3</v>
      </c>
      <c r="Q36" s="173">
        <f t="shared" si="30"/>
        <v>3</v>
      </c>
      <c r="R36" s="173">
        <f t="shared" si="30"/>
        <v>3</v>
      </c>
      <c r="S36" s="173">
        <f t="shared" si="30"/>
        <v>3</v>
      </c>
      <c r="T36" s="173">
        <f t="shared" si="30"/>
        <v>3</v>
      </c>
      <c r="U36" s="173">
        <f t="shared" si="30"/>
        <v>2</v>
      </c>
      <c r="V36" s="173">
        <f t="shared" si="30"/>
        <v>2</v>
      </c>
      <c r="W36" s="173">
        <f t="shared" si="30"/>
        <v>1</v>
      </c>
      <c r="X36" s="173">
        <f t="shared" si="30"/>
        <v>1</v>
      </c>
      <c r="Y36" s="173">
        <f t="shared" si="30"/>
        <v>0</v>
      </c>
      <c r="Z36" s="173">
        <f t="shared" si="30"/>
        <v>0</v>
      </c>
    </row>
    <row r="37" spans="1:49" x14ac:dyDescent="0.25">
      <c r="A37" s="178" t="s">
        <v>703</v>
      </c>
      <c r="B37" t="s">
        <v>601</v>
      </c>
      <c r="C37" s="173">
        <f t="shared" ref="C37:Z37" si="31">COUNTIF(C110:C119,1)</f>
        <v>2</v>
      </c>
      <c r="D37" s="173">
        <f t="shared" si="31"/>
        <v>2</v>
      </c>
      <c r="E37" s="173">
        <f t="shared" si="31"/>
        <v>1</v>
      </c>
      <c r="F37" s="173">
        <f t="shared" si="31"/>
        <v>1</v>
      </c>
      <c r="G37" s="173">
        <f t="shared" si="31"/>
        <v>1</v>
      </c>
      <c r="H37" s="173">
        <f t="shared" si="31"/>
        <v>1</v>
      </c>
      <c r="I37" s="173">
        <f t="shared" si="31"/>
        <v>0</v>
      </c>
      <c r="J37" s="173">
        <f t="shared" si="31"/>
        <v>0</v>
      </c>
      <c r="K37" s="173">
        <f t="shared" si="31"/>
        <v>0</v>
      </c>
      <c r="L37" s="173">
        <f t="shared" si="31"/>
        <v>0</v>
      </c>
      <c r="M37" s="173">
        <f t="shared" si="31"/>
        <v>0</v>
      </c>
      <c r="N37" s="173">
        <f t="shared" si="31"/>
        <v>0</v>
      </c>
      <c r="O37" s="173">
        <f t="shared" si="31"/>
        <v>0</v>
      </c>
      <c r="P37" s="173">
        <f t="shared" si="31"/>
        <v>0</v>
      </c>
      <c r="Q37" s="173">
        <f t="shared" si="31"/>
        <v>0</v>
      </c>
      <c r="R37" s="173">
        <f t="shared" si="31"/>
        <v>0</v>
      </c>
      <c r="S37" s="173">
        <f t="shared" si="31"/>
        <v>0</v>
      </c>
      <c r="T37" s="173">
        <f t="shared" si="31"/>
        <v>0</v>
      </c>
      <c r="U37" s="173">
        <f t="shared" si="31"/>
        <v>0</v>
      </c>
      <c r="V37" s="173">
        <f t="shared" si="31"/>
        <v>0</v>
      </c>
      <c r="W37" s="173">
        <f t="shared" si="31"/>
        <v>0</v>
      </c>
      <c r="X37" s="173">
        <f t="shared" si="31"/>
        <v>0</v>
      </c>
      <c r="Y37" s="173">
        <f t="shared" si="31"/>
        <v>2</v>
      </c>
      <c r="Z37" s="173">
        <f t="shared" si="31"/>
        <v>2</v>
      </c>
    </row>
    <row r="38" spans="1:49" x14ac:dyDescent="0.25">
      <c r="A38" s="178" t="s">
        <v>704</v>
      </c>
      <c r="B38" t="s">
        <v>601</v>
      </c>
      <c r="C38" s="173">
        <f t="shared" ref="C38:Z38" si="32">COUNTIF(C110:C119,0.5)</f>
        <v>0</v>
      </c>
      <c r="D38" s="173">
        <f t="shared" si="32"/>
        <v>0</v>
      </c>
      <c r="E38" s="173">
        <f t="shared" si="32"/>
        <v>0</v>
      </c>
      <c r="F38" s="173">
        <f t="shared" si="32"/>
        <v>0</v>
      </c>
      <c r="G38" s="173">
        <f t="shared" si="32"/>
        <v>0</v>
      </c>
      <c r="H38" s="173">
        <f t="shared" si="32"/>
        <v>0</v>
      </c>
      <c r="I38" s="173">
        <f t="shared" si="32"/>
        <v>1</v>
      </c>
      <c r="J38" s="173">
        <f t="shared" si="32"/>
        <v>1</v>
      </c>
      <c r="K38" s="173">
        <f t="shared" si="32"/>
        <v>1</v>
      </c>
      <c r="L38" s="173">
        <f t="shared" si="32"/>
        <v>1</v>
      </c>
      <c r="M38" s="173">
        <f t="shared" si="32"/>
        <v>0</v>
      </c>
      <c r="N38" s="173">
        <f t="shared" si="32"/>
        <v>0</v>
      </c>
      <c r="O38" s="173">
        <f t="shared" si="32"/>
        <v>0</v>
      </c>
      <c r="P38" s="173">
        <f t="shared" si="32"/>
        <v>0</v>
      </c>
      <c r="Q38" s="173">
        <f t="shared" si="32"/>
        <v>0</v>
      </c>
      <c r="R38" s="173">
        <f t="shared" si="32"/>
        <v>0</v>
      </c>
      <c r="S38" s="173">
        <f t="shared" si="32"/>
        <v>0</v>
      </c>
      <c r="T38" s="173">
        <f t="shared" si="32"/>
        <v>0</v>
      </c>
      <c r="U38" s="173">
        <f t="shared" si="32"/>
        <v>1</v>
      </c>
      <c r="V38" s="173">
        <f t="shared" si="32"/>
        <v>1</v>
      </c>
      <c r="W38" s="173">
        <f t="shared" si="32"/>
        <v>2</v>
      </c>
      <c r="X38" s="173">
        <f t="shared" si="32"/>
        <v>2</v>
      </c>
      <c r="Y38" s="173">
        <f t="shared" si="32"/>
        <v>0</v>
      </c>
      <c r="Z38" s="173">
        <f t="shared" si="32"/>
        <v>0</v>
      </c>
    </row>
    <row r="39" spans="1:49" x14ac:dyDescent="0.25">
      <c r="A39" s="178" t="s">
        <v>709</v>
      </c>
      <c r="B39" t="s">
        <v>601</v>
      </c>
      <c r="C39" s="62">
        <f>IF(AND(C36=0,(C37+C38)&gt;0),1,IF(AND(C36&gt;0,(C37+C38)&gt;0),C36+1,C36))</f>
        <v>1</v>
      </c>
      <c r="D39" s="62">
        <f t="shared" ref="D39:Z39" si="33">IF(AND(D36=0,(D37+D38)&gt;0),1,IF(AND(D36&gt;0,(D37+D38)&gt;0),D36+1,D36))</f>
        <v>1</v>
      </c>
      <c r="E39" s="62">
        <f t="shared" si="33"/>
        <v>2</v>
      </c>
      <c r="F39" s="62">
        <f t="shared" si="33"/>
        <v>2</v>
      </c>
      <c r="G39" s="62">
        <f t="shared" si="33"/>
        <v>2</v>
      </c>
      <c r="H39" s="62">
        <f t="shared" si="33"/>
        <v>3</v>
      </c>
      <c r="I39" s="62">
        <f t="shared" si="33"/>
        <v>3</v>
      </c>
      <c r="J39" s="62">
        <f t="shared" si="33"/>
        <v>3</v>
      </c>
      <c r="K39" s="62">
        <f t="shared" si="33"/>
        <v>3</v>
      </c>
      <c r="L39" s="62">
        <f t="shared" si="33"/>
        <v>3</v>
      </c>
      <c r="M39" s="62">
        <f t="shared" si="33"/>
        <v>3</v>
      </c>
      <c r="N39" s="62">
        <f t="shared" si="33"/>
        <v>3</v>
      </c>
      <c r="O39" s="62">
        <f t="shared" si="33"/>
        <v>3</v>
      </c>
      <c r="P39" s="62">
        <f t="shared" si="33"/>
        <v>3</v>
      </c>
      <c r="Q39" s="62">
        <f t="shared" si="33"/>
        <v>3</v>
      </c>
      <c r="R39" s="62">
        <f t="shared" si="33"/>
        <v>3</v>
      </c>
      <c r="S39" s="62">
        <f t="shared" si="33"/>
        <v>3</v>
      </c>
      <c r="T39" s="62">
        <f t="shared" si="33"/>
        <v>3</v>
      </c>
      <c r="U39" s="62">
        <f t="shared" si="33"/>
        <v>3</v>
      </c>
      <c r="V39" s="62">
        <f t="shared" si="33"/>
        <v>3</v>
      </c>
      <c r="W39" s="62">
        <f t="shared" si="33"/>
        <v>2</v>
      </c>
      <c r="X39" s="62">
        <f t="shared" si="33"/>
        <v>2</v>
      </c>
      <c r="Y39" s="62">
        <f t="shared" si="33"/>
        <v>1</v>
      </c>
      <c r="Z39" s="62">
        <f t="shared" si="33"/>
        <v>1</v>
      </c>
    </row>
    <row r="40" spans="1:49" x14ac:dyDescent="0.25">
      <c r="A40" s="178" t="s">
        <v>714</v>
      </c>
      <c r="B40" t="s">
        <v>601</v>
      </c>
      <c r="C40" s="62">
        <f>IF(COUNTIF(C123:C132,4)&gt;0,1,0)</f>
        <v>0</v>
      </c>
      <c r="D40" s="62">
        <f t="shared" ref="D40:Z40" si="34">IF(COUNTIF(D110:D119,4)&gt;0,1,0)</f>
        <v>0</v>
      </c>
      <c r="E40" s="62">
        <f t="shared" si="34"/>
        <v>0</v>
      </c>
      <c r="F40" s="62">
        <f t="shared" si="34"/>
        <v>0</v>
      </c>
      <c r="G40" s="62">
        <f t="shared" si="34"/>
        <v>0</v>
      </c>
      <c r="H40" s="62">
        <f t="shared" si="34"/>
        <v>0</v>
      </c>
      <c r="I40" s="62">
        <f t="shared" si="34"/>
        <v>0</v>
      </c>
      <c r="J40" s="62">
        <f t="shared" si="34"/>
        <v>0</v>
      </c>
      <c r="K40" s="62">
        <f t="shared" si="34"/>
        <v>0</v>
      </c>
      <c r="L40" s="62">
        <f t="shared" si="34"/>
        <v>0</v>
      </c>
      <c r="M40" s="62">
        <f t="shared" si="34"/>
        <v>0</v>
      </c>
      <c r="N40" s="62">
        <f t="shared" si="34"/>
        <v>0</v>
      </c>
      <c r="O40" s="62">
        <f t="shared" si="34"/>
        <v>0</v>
      </c>
      <c r="P40" s="62">
        <f t="shared" si="34"/>
        <v>0</v>
      </c>
      <c r="Q40" s="62">
        <f t="shared" si="34"/>
        <v>0</v>
      </c>
      <c r="R40" s="62">
        <f t="shared" si="34"/>
        <v>0</v>
      </c>
      <c r="S40" s="62">
        <f t="shared" si="34"/>
        <v>0</v>
      </c>
      <c r="T40" s="62">
        <f t="shared" si="34"/>
        <v>0</v>
      </c>
      <c r="U40" s="62">
        <f t="shared" si="34"/>
        <v>0</v>
      </c>
      <c r="V40" s="62">
        <f t="shared" si="34"/>
        <v>0</v>
      </c>
      <c r="W40" s="62">
        <f t="shared" si="34"/>
        <v>0</v>
      </c>
      <c r="X40" s="62">
        <f t="shared" si="34"/>
        <v>0</v>
      </c>
      <c r="Y40" s="62">
        <f t="shared" si="34"/>
        <v>0</v>
      </c>
      <c r="Z40" s="62">
        <f t="shared" si="34"/>
        <v>0</v>
      </c>
      <c r="AB40" s="181"/>
    </row>
    <row r="41" spans="1:49" x14ac:dyDescent="0.25">
      <c r="A41" s="178" t="s">
        <v>717</v>
      </c>
      <c r="B41" t="s">
        <v>601</v>
      </c>
      <c r="C41" s="173">
        <f>COUNTIF(C123:C132,5)</f>
        <v>0</v>
      </c>
      <c r="D41" s="173">
        <f t="shared" ref="D41:Z41" si="35">COUNTIF(D110:D119,5)</f>
        <v>0</v>
      </c>
      <c r="E41" s="173">
        <f t="shared" si="35"/>
        <v>0</v>
      </c>
      <c r="F41" s="173">
        <f t="shared" si="35"/>
        <v>0</v>
      </c>
      <c r="G41" s="173">
        <f t="shared" si="35"/>
        <v>0</v>
      </c>
      <c r="H41" s="173">
        <f t="shared" si="35"/>
        <v>0</v>
      </c>
      <c r="I41" s="173">
        <f t="shared" si="35"/>
        <v>0</v>
      </c>
      <c r="J41" s="173">
        <f t="shared" si="35"/>
        <v>0</v>
      </c>
      <c r="K41" s="173">
        <f t="shared" si="35"/>
        <v>0</v>
      </c>
      <c r="L41" s="173">
        <f t="shared" si="35"/>
        <v>0</v>
      </c>
      <c r="M41" s="173">
        <f t="shared" si="35"/>
        <v>0</v>
      </c>
      <c r="N41" s="173">
        <f t="shared" si="35"/>
        <v>0</v>
      </c>
      <c r="O41" s="173">
        <f t="shared" si="35"/>
        <v>0</v>
      </c>
      <c r="P41" s="173">
        <f t="shared" si="35"/>
        <v>0</v>
      </c>
      <c r="Q41" s="173">
        <f t="shared" si="35"/>
        <v>0</v>
      </c>
      <c r="R41" s="173">
        <f t="shared" si="35"/>
        <v>0</v>
      </c>
      <c r="S41" s="173">
        <f t="shared" si="35"/>
        <v>0</v>
      </c>
      <c r="T41" s="173">
        <f t="shared" si="35"/>
        <v>0</v>
      </c>
      <c r="U41" s="173">
        <f t="shared" si="35"/>
        <v>0</v>
      </c>
      <c r="V41" s="173">
        <f t="shared" si="35"/>
        <v>0</v>
      </c>
      <c r="W41" s="173">
        <f t="shared" si="35"/>
        <v>0</v>
      </c>
      <c r="X41" s="173">
        <f t="shared" si="35"/>
        <v>0</v>
      </c>
      <c r="Y41" s="173">
        <f t="shared" si="35"/>
        <v>0</v>
      </c>
      <c r="Z41" s="173">
        <f t="shared" si="35"/>
        <v>0</v>
      </c>
    </row>
    <row r="42" spans="1:49" x14ac:dyDescent="0.25">
      <c r="A42" s="178" t="s">
        <v>720</v>
      </c>
      <c r="B42" t="s">
        <v>601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82"/>
    </row>
    <row r="43" spans="1:49" x14ac:dyDescent="0.25">
      <c r="A43" s="178" t="s">
        <v>723</v>
      </c>
      <c r="B43" t="s">
        <v>601</v>
      </c>
      <c r="C43" s="62">
        <f>C39+C40+C42</f>
        <v>1</v>
      </c>
      <c r="D43" s="62">
        <f t="shared" ref="D43:Z43" si="36">D39+D40+D42</f>
        <v>1</v>
      </c>
      <c r="E43" s="62">
        <f t="shared" si="36"/>
        <v>2</v>
      </c>
      <c r="F43" s="62">
        <f t="shared" si="36"/>
        <v>2</v>
      </c>
      <c r="G43" s="62">
        <f t="shared" si="36"/>
        <v>2</v>
      </c>
      <c r="H43" s="62">
        <f t="shared" si="36"/>
        <v>3</v>
      </c>
      <c r="I43" s="62">
        <f t="shared" si="36"/>
        <v>3</v>
      </c>
      <c r="J43" s="62">
        <f t="shared" si="36"/>
        <v>3</v>
      </c>
      <c r="K43" s="62">
        <f t="shared" si="36"/>
        <v>3</v>
      </c>
      <c r="L43" s="62">
        <f t="shared" si="36"/>
        <v>3</v>
      </c>
      <c r="M43" s="62">
        <f t="shared" si="36"/>
        <v>3</v>
      </c>
      <c r="N43" s="62">
        <f t="shared" si="36"/>
        <v>3</v>
      </c>
      <c r="O43" s="62">
        <f t="shared" si="36"/>
        <v>3</v>
      </c>
      <c r="P43" s="62">
        <f t="shared" si="36"/>
        <v>3</v>
      </c>
      <c r="Q43" s="62">
        <f t="shared" si="36"/>
        <v>3</v>
      </c>
      <c r="R43" s="62">
        <f t="shared" si="36"/>
        <v>3</v>
      </c>
      <c r="S43" s="62">
        <f t="shared" si="36"/>
        <v>3</v>
      </c>
      <c r="T43" s="62">
        <f t="shared" si="36"/>
        <v>3</v>
      </c>
      <c r="U43" s="62">
        <f t="shared" si="36"/>
        <v>3</v>
      </c>
      <c r="V43" s="62">
        <f t="shared" si="36"/>
        <v>3</v>
      </c>
      <c r="W43" s="62">
        <f t="shared" si="36"/>
        <v>2</v>
      </c>
      <c r="X43" s="62">
        <f t="shared" si="36"/>
        <v>2</v>
      </c>
      <c r="Y43" s="62">
        <f t="shared" si="36"/>
        <v>1</v>
      </c>
      <c r="Z43" s="62">
        <f t="shared" si="36"/>
        <v>1</v>
      </c>
      <c r="AB43" s="182"/>
    </row>
    <row r="44" spans="1:49" x14ac:dyDescent="0.25">
      <c r="A44" s="178"/>
      <c r="AB44" s="182"/>
      <c r="AV44" s="182"/>
      <c r="AW44" s="182"/>
    </row>
    <row r="45" spans="1:49" x14ac:dyDescent="0.25">
      <c r="A45" s="43" t="s">
        <v>737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82"/>
      <c r="AV45" s="182"/>
      <c r="AW45" s="182"/>
    </row>
    <row r="46" spans="1:49" x14ac:dyDescent="0.25">
      <c r="A46" s="14" t="s">
        <v>725</v>
      </c>
      <c r="B46" t="s">
        <v>738</v>
      </c>
      <c r="C46" s="177">
        <f t="shared" ref="C46:Z46" si="37">COUNTIF(C166:C175,1)+COUNTIF(C166:C175,2)</f>
        <v>0</v>
      </c>
      <c r="D46" s="177">
        <f t="shared" si="37"/>
        <v>0</v>
      </c>
      <c r="E46" s="177">
        <f t="shared" si="37"/>
        <v>0</v>
      </c>
      <c r="F46" s="177">
        <f t="shared" si="37"/>
        <v>0</v>
      </c>
      <c r="G46" s="177">
        <f t="shared" si="37"/>
        <v>0</v>
      </c>
      <c r="H46" s="177">
        <f t="shared" si="37"/>
        <v>0</v>
      </c>
      <c r="I46" s="177">
        <f t="shared" si="37"/>
        <v>0</v>
      </c>
      <c r="J46" s="177">
        <f t="shared" si="37"/>
        <v>0</v>
      </c>
      <c r="K46" s="177">
        <f t="shared" si="37"/>
        <v>0</v>
      </c>
      <c r="L46" s="177">
        <f t="shared" si="37"/>
        <v>0</v>
      </c>
      <c r="M46" s="177">
        <f t="shared" si="37"/>
        <v>0</v>
      </c>
      <c r="N46" s="177">
        <f t="shared" si="37"/>
        <v>0</v>
      </c>
      <c r="O46" s="177">
        <f t="shared" si="37"/>
        <v>0</v>
      </c>
      <c r="P46" s="177">
        <f t="shared" si="37"/>
        <v>0</v>
      </c>
      <c r="Q46" s="177">
        <f t="shared" si="37"/>
        <v>0</v>
      </c>
      <c r="R46" s="177">
        <f t="shared" si="37"/>
        <v>0</v>
      </c>
      <c r="S46" s="177">
        <f t="shared" si="37"/>
        <v>0</v>
      </c>
      <c r="T46" s="177">
        <f t="shared" si="37"/>
        <v>0</v>
      </c>
      <c r="U46" s="177">
        <f t="shared" si="37"/>
        <v>0</v>
      </c>
      <c r="V46" s="177">
        <f t="shared" si="37"/>
        <v>0</v>
      </c>
      <c r="W46" s="177">
        <f t="shared" si="37"/>
        <v>0</v>
      </c>
      <c r="X46" s="177">
        <f t="shared" si="37"/>
        <v>0</v>
      </c>
      <c r="Y46" s="177">
        <f t="shared" si="37"/>
        <v>0</v>
      </c>
      <c r="Z46" s="177">
        <f t="shared" si="37"/>
        <v>0</v>
      </c>
      <c r="AB46" s="182"/>
      <c r="AV46" s="182"/>
      <c r="AW46" s="182"/>
    </row>
    <row r="47" spans="1:49" x14ac:dyDescent="0.25">
      <c r="A47" s="14" t="s">
        <v>684</v>
      </c>
      <c r="B47" t="s">
        <v>738</v>
      </c>
      <c r="C47" s="177">
        <f t="shared" ref="C47:Z47" si="38">COUNTIF(C166:C175,3)</f>
        <v>0</v>
      </c>
      <c r="D47" s="177">
        <f t="shared" si="38"/>
        <v>0</v>
      </c>
      <c r="E47" s="177">
        <f t="shared" si="38"/>
        <v>0</v>
      </c>
      <c r="F47" s="177">
        <f t="shared" si="38"/>
        <v>0</v>
      </c>
      <c r="G47" s="177">
        <f t="shared" si="38"/>
        <v>0</v>
      </c>
      <c r="H47" s="177">
        <f t="shared" si="38"/>
        <v>0</v>
      </c>
      <c r="I47" s="177">
        <f t="shared" si="38"/>
        <v>0</v>
      </c>
      <c r="J47" s="177">
        <f t="shared" si="38"/>
        <v>0</v>
      </c>
      <c r="K47" s="177">
        <f t="shared" si="38"/>
        <v>0</v>
      </c>
      <c r="L47" s="177">
        <f t="shared" si="38"/>
        <v>0</v>
      </c>
      <c r="M47" s="177">
        <f t="shared" si="38"/>
        <v>0</v>
      </c>
      <c r="N47" s="177">
        <f t="shared" si="38"/>
        <v>0</v>
      </c>
      <c r="O47" s="177">
        <f t="shared" si="38"/>
        <v>0</v>
      </c>
      <c r="P47" s="177">
        <f t="shared" si="38"/>
        <v>0</v>
      </c>
      <c r="Q47" s="177">
        <f t="shared" si="38"/>
        <v>0</v>
      </c>
      <c r="R47" s="177">
        <f t="shared" si="38"/>
        <v>0</v>
      </c>
      <c r="S47" s="177">
        <f t="shared" si="38"/>
        <v>0</v>
      </c>
      <c r="T47" s="177">
        <f t="shared" si="38"/>
        <v>0</v>
      </c>
      <c r="U47" s="177">
        <f t="shared" si="38"/>
        <v>0</v>
      </c>
      <c r="V47" s="177">
        <f t="shared" si="38"/>
        <v>0</v>
      </c>
      <c r="W47" s="177">
        <f t="shared" si="38"/>
        <v>0</v>
      </c>
      <c r="X47" s="177">
        <f t="shared" si="38"/>
        <v>0</v>
      </c>
      <c r="Y47" s="177">
        <f t="shared" si="38"/>
        <v>0</v>
      </c>
      <c r="Z47" s="177">
        <f t="shared" si="38"/>
        <v>0</v>
      </c>
      <c r="AB47" s="182"/>
      <c r="AV47" s="182"/>
      <c r="AW47" s="182"/>
    </row>
    <row r="48" spans="1:49" x14ac:dyDescent="0.25">
      <c r="A48" s="14" t="s">
        <v>686</v>
      </c>
      <c r="B48" t="s">
        <v>738</v>
      </c>
      <c r="C48" s="177">
        <f>C61</f>
        <v>0</v>
      </c>
      <c r="D48" s="177">
        <f t="shared" ref="D48:Z48" si="39">D61</f>
        <v>0</v>
      </c>
      <c r="E48" s="177">
        <f t="shared" si="39"/>
        <v>0</v>
      </c>
      <c r="F48" s="177">
        <f t="shared" si="39"/>
        <v>0</v>
      </c>
      <c r="G48" s="177">
        <f t="shared" si="39"/>
        <v>0</v>
      </c>
      <c r="H48" s="177">
        <f t="shared" si="39"/>
        <v>0</v>
      </c>
      <c r="I48" s="177">
        <f t="shared" si="39"/>
        <v>0</v>
      </c>
      <c r="J48" s="177">
        <f t="shared" si="39"/>
        <v>0</v>
      </c>
      <c r="K48" s="177">
        <f t="shared" si="39"/>
        <v>0</v>
      </c>
      <c r="L48" s="177">
        <f t="shared" si="39"/>
        <v>0</v>
      </c>
      <c r="M48" s="177">
        <f t="shared" si="39"/>
        <v>0</v>
      </c>
      <c r="N48" s="177">
        <f t="shared" si="39"/>
        <v>0</v>
      </c>
      <c r="O48" s="177">
        <f t="shared" si="39"/>
        <v>0</v>
      </c>
      <c r="P48" s="177">
        <f t="shared" si="39"/>
        <v>0</v>
      </c>
      <c r="Q48" s="177">
        <f t="shared" si="39"/>
        <v>0</v>
      </c>
      <c r="R48" s="177">
        <f t="shared" si="39"/>
        <v>0</v>
      </c>
      <c r="S48" s="177">
        <f t="shared" si="39"/>
        <v>0</v>
      </c>
      <c r="T48" s="177">
        <f t="shared" si="39"/>
        <v>0</v>
      </c>
      <c r="U48" s="177">
        <f t="shared" si="39"/>
        <v>0</v>
      </c>
      <c r="V48" s="177">
        <f t="shared" si="39"/>
        <v>0</v>
      </c>
      <c r="W48" s="177">
        <f t="shared" si="39"/>
        <v>0</v>
      </c>
      <c r="X48" s="177">
        <f t="shared" si="39"/>
        <v>0</v>
      </c>
      <c r="Y48" s="177">
        <f t="shared" si="39"/>
        <v>0</v>
      </c>
      <c r="Z48" s="177">
        <f t="shared" si="39"/>
        <v>0</v>
      </c>
      <c r="AB48" s="182"/>
      <c r="AV48" s="182"/>
      <c r="AW48" s="182"/>
    </row>
    <row r="49" spans="1:49" x14ac:dyDescent="0.25">
      <c r="A49" s="14" t="s">
        <v>688</v>
      </c>
      <c r="B49" t="s">
        <v>738</v>
      </c>
      <c r="C49" s="177">
        <f>C63</f>
        <v>0</v>
      </c>
      <c r="D49" s="177">
        <f t="shared" ref="D49:Z49" si="40">D63</f>
        <v>0</v>
      </c>
      <c r="E49" s="177">
        <f t="shared" si="40"/>
        <v>0</v>
      </c>
      <c r="F49" s="177">
        <f t="shared" si="40"/>
        <v>0</v>
      </c>
      <c r="G49" s="177">
        <f t="shared" si="40"/>
        <v>0</v>
      </c>
      <c r="H49" s="177">
        <f t="shared" si="40"/>
        <v>0</v>
      </c>
      <c r="I49" s="177">
        <f t="shared" si="40"/>
        <v>0</v>
      </c>
      <c r="J49" s="177">
        <f t="shared" si="40"/>
        <v>0</v>
      </c>
      <c r="K49" s="177">
        <f t="shared" si="40"/>
        <v>0</v>
      </c>
      <c r="L49" s="177">
        <f t="shared" si="40"/>
        <v>0</v>
      </c>
      <c r="M49" s="177">
        <f t="shared" si="40"/>
        <v>0</v>
      </c>
      <c r="N49" s="177">
        <f t="shared" si="40"/>
        <v>0</v>
      </c>
      <c r="O49" s="177">
        <f t="shared" si="40"/>
        <v>0</v>
      </c>
      <c r="P49" s="177">
        <f t="shared" si="40"/>
        <v>0</v>
      </c>
      <c r="Q49" s="177">
        <f t="shared" si="40"/>
        <v>0</v>
      </c>
      <c r="R49" s="177">
        <f t="shared" si="40"/>
        <v>0</v>
      </c>
      <c r="S49" s="177">
        <f t="shared" si="40"/>
        <v>0</v>
      </c>
      <c r="T49" s="177">
        <f t="shared" si="40"/>
        <v>0</v>
      </c>
      <c r="U49" s="177">
        <f t="shared" si="40"/>
        <v>0</v>
      </c>
      <c r="V49" s="177">
        <f t="shared" si="40"/>
        <v>0</v>
      </c>
      <c r="W49" s="177">
        <f t="shared" si="40"/>
        <v>0</v>
      </c>
      <c r="X49" s="177">
        <f t="shared" si="40"/>
        <v>0</v>
      </c>
      <c r="Y49" s="177">
        <f t="shared" si="40"/>
        <v>0</v>
      </c>
      <c r="Z49" s="177">
        <f t="shared" si="40"/>
        <v>0</v>
      </c>
      <c r="AB49" s="182"/>
      <c r="AV49" s="182"/>
      <c r="AW49" s="182"/>
    </row>
    <row r="50" spans="1:49" x14ac:dyDescent="0.25">
      <c r="A50" s="14" t="s">
        <v>690</v>
      </c>
      <c r="B50" t="s">
        <v>738</v>
      </c>
      <c r="C50" s="177">
        <f>C46*[1]Protect!$B$12</f>
        <v>0</v>
      </c>
      <c r="D50" s="177">
        <f>D46*[1]Protect!$B$12</f>
        <v>0</v>
      </c>
      <c r="E50" s="177">
        <f>E46*[1]Protect!$B$12</f>
        <v>0</v>
      </c>
      <c r="F50" s="177">
        <f>F46*[1]Protect!$B$12</f>
        <v>0</v>
      </c>
      <c r="G50" s="177">
        <f>G46*[1]Protect!$B$12</f>
        <v>0</v>
      </c>
      <c r="H50" s="177">
        <f>H46*[1]Protect!$B$12</f>
        <v>0</v>
      </c>
      <c r="I50" s="177">
        <f>I46*[1]Protect!$B$12</f>
        <v>0</v>
      </c>
      <c r="J50" s="177">
        <f>J46*[1]Protect!$B$12</f>
        <v>0</v>
      </c>
      <c r="K50" s="177">
        <f>K46*[1]Protect!$B$12</f>
        <v>0</v>
      </c>
      <c r="L50" s="177">
        <f>L46*[1]Protect!$B$12</f>
        <v>0</v>
      </c>
      <c r="M50" s="177">
        <f>M46*[1]Protect!$B$12</f>
        <v>0</v>
      </c>
      <c r="N50" s="177">
        <f>N46*[1]Protect!$B$12</f>
        <v>0</v>
      </c>
      <c r="O50" s="177">
        <f>O46*[1]Protect!$B$12</f>
        <v>0</v>
      </c>
      <c r="P50" s="177">
        <f>P46*[1]Protect!$B$12</f>
        <v>0</v>
      </c>
      <c r="Q50" s="177">
        <f>Q46*[1]Protect!$B$12</f>
        <v>0</v>
      </c>
      <c r="R50" s="177">
        <f>R46*[1]Protect!$B$12</f>
        <v>0</v>
      </c>
      <c r="S50" s="177">
        <f>S46*[1]Protect!$B$12</f>
        <v>0</v>
      </c>
      <c r="T50" s="177">
        <f>T46*[1]Protect!$B$12</f>
        <v>0</v>
      </c>
      <c r="U50" s="177">
        <f>U46*[1]Protect!$B$12</f>
        <v>0</v>
      </c>
      <c r="V50" s="177">
        <f>V46*[1]Protect!$B$12</f>
        <v>0</v>
      </c>
      <c r="W50" s="177">
        <f>W46*[1]Protect!$B$12</f>
        <v>0</v>
      </c>
      <c r="X50" s="177">
        <f>X46*[1]Protect!$B$12</f>
        <v>0</v>
      </c>
      <c r="Y50" s="177">
        <f>Y46*[1]Protect!$B$12</f>
        <v>0</v>
      </c>
      <c r="Z50" s="177">
        <f>Z46*[1]Protect!$B$12</f>
        <v>0</v>
      </c>
      <c r="AB50" s="182"/>
      <c r="AV50" s="182"/>
      <c r="AW50" s="182"/>
    </row>
    <row r="51" spans="1:49" x14ac:dyDescent="0.25">
      <c r="A51" s="14" t="s">
        <v>692</v>
      </c>
      <c r="B51" t="s">
        <v>738</v>
      </c>
      <c r="C51" s="177">
        <f>C47*[1]Protect!$B$13</f>
        <v>0</v>
      </c>
      <c r="D51" s="177">
        <f>D47*[1]Protect!$B$13</f>
        <v>0</v>
      </c>
      <c r="E51" s="177">
        <f>E47*[1]Protect!$B$13</f>
        <v>0</v>
      </c>
      <c r="F51" s="177">
        <f>F47*[1]Protect!$B$13</f>
        <v>0</v>
      </c>
      <c r="G51" s="177">
        <f>G47*[1]Protect!$B$13</f>
        <v>0</v>
      </c>
      <c r="H51" s="177">
        <f>H47*[1]Protect!$B$13</f>
        <v>0</v>
      </c>
      <c r="I51" s="177">
        <f>I47*[1]Protect!$B$13</f>
        <v>0</v>
      </c>
      <c r="J51" s="177">
        <f>J47*[1]Protect!$B$13</f>
        <v>0</v>
      </c>
      <c r="K51" s="177">
        <f>K47*[1]Protect!$B$13</f>
        <v>0</v>
      </c>
      <c r="L51" s="177">
        <f>L47*[1]Protect!$B$13</f>
        <v>0</v>
      </c>
      <c r="M51" s="177">
        <f>M47*[1]Protect!$B$13</f>
        <v>0</v>
      </c>
      <c r="N51" s="177">
        <f>N47*[1]Protect!$B$13</f>
        <v>0</v>
      </c>
      <c r="O51" s="177">
        <f>O47*[1]Protect!$B$13</f>
        <v>0</v>
      </c>
      <c r="P51" s="177">
        <f>P47*[1]Protect!$B$13</f>
        <v>0</v>
      </c>
      <c r="Q51" s="177">
        <f>Q47*[1]Protect!$B$13</f>
        <v>0</v>
      </c>
      <c r="R51" s="177">
        <f>R47*[1]Protect!$B$13</f>
        <v>0</v>
      </c>
      <c r="S51" s="177">
        <f>S47*[1]Protect!$B$13</f>
        <v>0</v>
      </c>
      <c r="T51" s="177">
        <f>T47*[1]Protect!$B$13</f>
        <v>0</v>
      </c>
      <c r="U51" s="177">
        <f>U47*[1]Protect!$B$13</f>
        <v>0</v>
      </c>
      <c r="V51" s="177">
        <f>V47*[1]Protect!$B$13</f>
        <v>0</v>
      </c>
      <c r="W51" s="177">
        <f>W47*[1]Protect!$B$13</f>
        <v>0</v>
      </c>
      <c r="X51" s="177">
        <f>X47*[1]Protect!$B$13</f>
        <v>0</v>
      </c>
      <c r="Y51" s="177">
        <f>Y47*[1]Protect!$B$13</f>
        <v>0</v>
      </c>
      <c r="Z51" s="177">
        <f>Z47*[1]Protect!$B$13</f>
        <v>0</v>
      </c>
      <c r="AB51" s="182"/>
      <c r="AV51" s="182"/>
      <c r="AW51" s="182"/>
    </row>
    <row r="52" spans="1:49" x14ac:dyDescent="0.25">
      <c r="A52" s="14" t="s">
        <v>693</v>
      </c>
      <c r="B52" t="s">
        <v>738</v>
      </c>
      <c r="C52" s="177">
        <f>C48*[1]Protect!$B$14</f>
        <v>0</v>
      </c>
      <c r="D52" s="177">
        <f>D48*[1]Protect!$B$14</f>
        <v>0</v>
      </c>
      <c r="E52" s="177">
        <f>E48*[1]Protect!$B$14</f>
        <v>0</v>
      </c>
      <c r="F52" s="177">
        <f>F48*[1]Protect!$B$14</f>
        <v>0</v>
      </c>
      <c r="G52" s="177">
        <f>G48*[1]Protect!$B$14</f>
        <v>0</v>
      </c>
      <c r="H52" s="177">
        <f>H48*[1]Protect!$B$14</f>
        <v>0</v>
      </c>
      <c r="I52" s="177">
        <f>I48*[1]Protect!$B$14</f>
        <v>0</v>
      </c>
      <c r="J52" s="177">
        <f>J48*[1]Protect!$B$14</f>
        <v>0</v>
      </c>
      <c r="K52" s="177">
        <f>K48*[1]Protect!$B$14</f>
        <v>0</v>
      </c>
      <c r="L52" s="177">
        <f>L48*[1]Protect!$B$14</f>
        <v>0</v>
      </c>
      <c r="M52" s="177">
        <f>M48*[1]Protect!$B$14</f>
        <v>0</v>
      </c>
      <c r="N52" s="177">
        <f>N48*[1]Protect!$B$14</f>
        <v>0</v>
      </c>
      <c r="O52" s="177">
        <f>O48*[1]Protect!$B$14</f>
        <v>0</v>
      </c>
      <c r="P52" s="177">
        <f>P48*[1]Protect!$B$14</f>
        <v>0</v>
      </c>
      <c r="Q52" s="177">
        <f>Q48*[1]Protect!$B$14</f>
        <v>0</v>
      </c>
      <c r="R52" s="177">
        <f>R48*[1]Protect!$B$14</f>
        <v>0</v>
      </c>
      <c r="S52" s="177">
        <f>S48*[1]Protect!$B$14</f>
        <v>0</v>
      </c>
      <c r="T52" s="177">
        <f>T48*[1]Protect!$B$14</f>
        <v>0</v>
      </c>
      <c r="U52" s="177">
        <f>U48*[1]Protect!$B$14</f>
        <v>0</v>
      </c>
      <c r="V52" s="177">
        <f>V48*[1]Protect!$B$14</f>
        <v>0</v>
      </c>
      <c r="W52" s="177">
        <f>W48*[1]Protect!$B$14</f>
        <v>0</v>
      </c>
      <c r="X52" s="177">
        <f>X48*[1]Protect!$B$14</f>
        <v>0</v>
      </c>
      <c r="Y52" s="177">
        <f>Y48*[1]Protect!$B$14</f>
        <v>0</v>
      </c>
      <c r="Z52" s="177">
        <f>Z48*[1]Protect!$B$14</f>
        <v>0</v>
      </c>
      <c r="AV52" s="182"/>
      <c r="AW52" s="182"/>
    </row>
    <row r="53" spans="1:49" x14ac:dyDescent="0.25">
      <c r="A53" s="14" t="s">
        <v>694</v>
      </c>
      <c r="B53" t="s">
        <v>738</v>
      </c>
      <c r="C53" s="177">
        <f>SUM(C50:C52)</f>
        <v>0</v>
      </c>
      <c r="D53" s="177">
        <f t="shared" ref="D53:Z53" si="41">SUM(D50:D52)</f>
        <v>0</v>
      </c>
      <c r="E53" s="177">
        <f t="shared" si="41"/>
        <v>0</v>
      </c>
      <c r="F53" s="177">
        <f t="shared" si="41"/>
        <v>0</v>
      </c>
      <c r="G53" s="177">
        <f t="shared" si="41"/>
        <v>0</v>
      </c>
      <c r="H53" s="177">
        <f t="shared" si="41"/>
        <v>0</v>
      </c>
      <c r="I53" s="177">
        <f t="shared" si="41"/>
        <v>0</v>
      </c>
      <c r="J53" s="177">
        <f t="shared" si="41"/>
        <v>0</v>
      </c>
      <c r="K53" s="177">
        <f t="shared" si="41"/>
        <v>0</v>
      </c>
      <c r="L53" s="177">
        <f t="shared" si="41"/>
        <v>0</v>
      </c>
      <c r="M53" s="177">
        <f t="shared" si="41"/>
        <v>0</v>
      </c>
      <c r="N53" s="177">
        <f t="shared" si="41"/>
        <v>0</v>
      </c>
      <c r="O53" s="177">
        <f t="shared" si="41"/>
        <v>0</v>
      </c>
      <c r="P53" s="177">
        <f t="shared" si="41"/>
        <v>0</v>
      </c>
      <c r="Q53" s="177">
        <f t="shared" si="41"/>
        <v>0</v>
      </c>
      <c r="R53" s="177">
        <f t="shared" si="41"/>
        <v>0</v>
      </c>
      <c r="S53" s="177">
        <f t="shared" si="41"/>
        <v>0</v>
      </c>
      <c r="T53" s="177">
        <f t="shared" si="41"/>
        <v>0</v>
      </c>
      <c r="U53" s="177">
        <f t="shared" si="41"/>
        <v>0</v>
      </c>
      <c r="V53" s="177">
        <f t="shared" si="41"/>
        <v>0</v>
      </c>
      <c r="W53" s="177">
        <f t="shared" si="41"/>
        <v>0</v>
      </c>
      <c r="X53" s="177">
        <f t="shared" si="41"/>
        <v>0</v>
      </c>
      <c r="Y53" s="177">
        <f t="shared" si="41"/>
        <v>0</v>
      </c>
      <c r="Z53" s="177">
        <f t="shared" si="41"/>
        <v>0</v>
      </c>
      <c r="AV53" s="182"/>
      <c r="AW53" s="182"/>
    </row>
    <row r="54" spans="1:49" x14ac:dyDescent="0.25">
      <c r="A54" s="14" t="s">
        <v>696</v>
      </c>
      <c r="B54" t="s">
        <v>738</v>
      </c>
      <c r="C54" s="177">
        <f>C49*[1]Protect!$B$15</f>
        <v>0</v>
      </c>
      <c r="D54" s="177">
        <f>D49*[1]Protect!$B$15</f>
        <v>0</v>
      </c>
      <c r="E54" s="177">
        <f>E49*[1]Protect!$B$15</f>
        <v>0</v>
      </c>
      <c r="F54" s="177">
        <f>F49*[1]Protect!$B$15</f>
        <v>0</v>
      </c>
      <c r="G54" s="177">
        <f>G49*[1]Protect!$B$15</f>
        <v>0</v>
      </c>
      <c r="H54" s="177">
        <f>H49*[1]Protect!$B$15</f>
        <v>0</v>
      </c>
      <c r="I54" s="177">
        <f>I49*[1]Protect!$B$15</f>
        <v>0</v>
      </c>
      <c r="J54" s="177">
        <f>J49*[1]Protect!$B$15</f>
        <v>0</v>
      </c>
      <c r="K54" s="177">
        <f>K49*[1]Protect!$B$15</f>
        <v>0</v>
      </c>
      <c r="L54" s="177">
        <f>L49*[1]Protect!$B$15</f>
        <v>0</v>
      </c>
      <c r="M54" s="177">
        <f>M49*[1]Protect!$B$15</f>
        <v>0</v>
      </c>
      <c r="N54" s="177">
        <f>N49*[1]Protect!$B$15</f>
        <v>0</v>
      </c>
      <c r="O54" s="177">
        <f>O49*[1]Protect!$B$15</f>
        <v>0</v>
      </c>
      <c r="P54" s="177">
        <f>P49*[1]Protect!$B$15</f>
        <v>0</v>
      </c>
      <c r="Q54" s="177">
        <f>Q49*[1]Protect!$B$15</f>
        <v>0</v>
      </c>
      <c r="R54" s="177">
        <f>R49*[1]Protect!$B$15</f>
        <v>0</v>
      </c>
      <c r="S54" s="177">
        <f>S49*[1]Protect!$B$15</f>
        <v>0</v>
      </c>
      <c r="T54" s="177">
        <f>T49*[1]Protect!$B$15</f>
        <v>0</v>
      </c>
      <c r="U54" s="177">
        <f>U49*[1]Protect!$B$15</f>
        <v>0</v>
      </c>
      <c r="V54" s="177">
        <f>V49*[1]Protect!$B$15</f>
        <v>0</v>
      </c>
      <c r="W54" s="177">
        <f>W49*[1]Protect!$B$15</f>
        <v>0</v>
      </c>
      <c r="X54" s="177">
        <f>X49*[1]Protect!$B$15</f>
        <v>0</v>
      </c>
      <c r="Y54" s="177">
        <f>Y49*[1]Protect!$B$15</f>
        <v>0</v>
      </c>
      <c r="Z54" s="177">
        <f>Z49*[1]Protect!$B$15</f>
        <v>0</v>
      </c>
      <c r="AV54" s="182"/>
      <c r="AW54" s="182"/>
    </row>
    <row r="55" spans="1:49" x14ac:dyDescent="0.25">
      <c r="A55" s="14" t="s">
        <v>698</v>
      </c>
      <c r="B55" t="s">
        <v>738</v>
      </c>
      <c r="C55" s="177">
        <f>C54+C53</f>
        <v>0</v>
      </c>
      <c r="D55" s="177">
        <f t="shared" ref="D55:Z55" si="42">IF(SUM(D50:D52)=0,D54,SUM(D50:D54))</f>
        <v>0</v>
      </c>
      <c r="E55" s="177">
        <f t="shared" si="42"/>
        <v>0</v>
      </c>
      <c r="F55" s="177">
        <f t="shared" si="42"/>
        <v>0</v>
      </c>
      <c r="G55" s="177">
        <f t="shared" si="42"/>
        <v>0</v>
      </c>
      <c r="H55" s="177">
        <f t="shared" si="42"/>
        <v>0</v>
      </c>
      <c r="I55" s="177">
        <f t="shared" si="42"/>
        <v>0</v>
      </c>
      <c r="J55" s="177">
        <f t="shared" si="42"/>
        <v>0</v>
      </c>
      <c r="K55" s="177">
        <f t="shared" si="42"/>
        <v>0</v>
      </c>
      <c r="L55" s="177">
        <f t="shared" si="42"/>
        <v>0</v>
      </c>
      <c r="M55" s="177">
        <f t="shared" si="42"/>
        <v>0</v>
      </c>
      <c r="N55" s="177">
        <f t="shared" si="42"/>
        <v>0</v>
      </c>
      <c r="O55" s="177">
        <f t="shared" si="42"/>
        <v>0</v>
      </c>
      <c r="P55" s="177">
        <f t="shared" si="42"/>
        <v>0</v>
      </c>
      <c r="Q55" s="177">
        <f t="shared" si="42"/>
        <v>0</v>
      </c>
      <c r="R55" s="177">
        <f t="shared" si="42"/>
        <v>0</v>
      </c>
      <c r="S55" s="177">
        <f t="shared" si="42"/>
        <v>0</v>
      </c>
      <c r="T55" s="177">
        <f t="shared" si="42"/>
        <v>0</v>
      </c>
      <c r="U55" s="177">
        <f t="shared" si="42"/>
        <v>0</v>
      </c>
      <c r="V55" s="177">
        <f t="shared" si="42"/>
        <v>0</v>
      </c>
      <c r="W55" s="177">
        <f t="shared" si="42"/>
        <v>0</v>
      </c>
      <c r="X55" s="177">
        <f t="shared" si="42"/>
        <v>0</v>
      </c>
      <c r="Y55" s="177">
        <f t="shared" si="42"/>
        <v>0</v>
      </c>
      <c r="Z55" s="177">
        <f t="shared" si="42"/>
        <v>0</v>
      </c>
      <c r="AV55" s="182"/>
      <c r="AW55" s="182"/>
    </row>
    <row r="56" spans="1:49" x14ac:dyDescent="0.25">
      <c r="A56" s="43" t="s">
        <v>739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2"/>
      <c r="AW56" s="172"/>
    </row>
    <row r="57" spans="1:49" x14ac:dyDescent="0.25">
      <c r="A57" s="178" t="s">
        <v>702</v>
      </c>
      <c r="B57" t="s">
        <v>738</v>
      </c>
      <c r="C57" s="173">
        <f t="shared" ref="C57:Z57" si="43">COUNTIF(C153:C162,0)</f>
        <v>0</v>
      </c>
      <c r="D57" s="173">
        <f t="shared" si="43"/>
        <v>0</v>
      </c>
      <c r="E57" s="173">
        <f t="shared" si="43"/>
        <v>0</v>
      </c>
      <c r="F57" s="173">
        <f t="shared" si="43"/>
        <v>0</v>
      </c>
      <c r="G57" s="173">
        <f t="shared" si="43"/>
        <v>0</v>
      </c>
      <c r="H57" s="173">
        <f t="shared" si="43"/>
        <v>0</v>
      </c>
      <c r="I57" s="173">
        <f t="shared" si="43"/>
        <v>0</v>
      </c>
      <c r="J57" s="173">
        <f t="shared" si="43"/>
        <v>0</v>
      </c>
      <c r="K57" s="173">
        <f t="shared" si="43"/>
        <v>0</v>
      </c>
      <c r="L57" s="173">
        <f t="shared" si="43"/>
        <v>0</v>
      </c>
      <c r="M57" s="173">
        <f t="shared" si="43"/>
        <v>0</v>
      </c>
      <c r="N57" s="173">
        <f t="shared" si="43"/>
        <v>0</v>
      </c>
      <c r="O57" s="173">
        <f t="shared" si="43"/>
        <v>0</v>
      </c>
      <c r="P57" s="173">
        <f t="shared" si="43"/>
        <v>0</v>
      </c>
      <c r="Q57" s="173">
        <f t="shared" si="43"/>
        <v>0</v>
      </c>
      <c r="R57" s="173">
        <f t="shared" si="43"/>
        <v>0</v>
      </c>
      <c r="S57" s="173">
        <f t="shared" si="43"/>
        <v>0</v>
      </c>
      <c r="T57" s="173">
        <f t="shared" si="43"/>
        <v>0</v>
      </c>
      <c r="U57" s="173">
        <f t="shared" si="43"/>
        <v>0</v>
      </c>
      <c r="V57" s="173">
        <f t="shared" si="43"/>
        <v>0</v>
      </c>
      <c r="W57" s="173">
        <f t="shared" si="43"/>
        <v>0</v>
      </c>
      <c r="X57" s="173">
        <f t="shared" si="43"/>
        <v>0</v>
      </c>
      <c r="Y57" s="173">
        <f t="shared" si="43"/>
        <v>0</v>
      </c>
      <c r="Z57" s="173">
        <f t="shared" si="43"/>
        <v>0</v>
      </c>
      <c r="AV57" s="172"/>
      <c r="AW57" s="172"/>
    </row>
    <row r="58" spans="1:49" x14ac:dyDescent="0.25">
      <c r="A58" s="178" t="s">
        <v>703</v>
      </c>
      <c r="B58" t="s">
        <v>738</v>
      </c>
      <c r="C58" s="173">
        <f t="shared" ref="C58:Z58" si="44">COUNTIF(C153:C162,1)</f>
        <v>0</v>
      </c>
      <c r="D58" s="173">
        <f t="shared" si="44"/>
        <v>0</v>
      </c>
      <c r="E58" s="173">
        <f t="shared" si="44"/>
        <v>0</v>
      </c>
      <c r="F58" s="173">
        <f t="shared" si="44"/>
        <v>0</v>
      </c>
      <c r="G58" s="173">
        <f t="shared" si="44"/>
        <v>0</v>
      </c>
      <c r="H58" s="173">
        <f t="shared" si="44"/>
        <v>0</v>
      </c>
      <c r="I58" s="173">
        <f t="shared" si="44"/>
        <v>0</v>
      </c>
      <c r="J58" s="173">
        <f t="shared" si="44"/>
        <v>0</v>
      </c>
      <c r="K58" s="173">
        <f t="shared" si="44"/>
        <v>0</v>
      </c>
      <c r="L58" s="173">
        <f t="shared" si="44"/>
        <v>0</v>
      </c>
      <c r="M58" s="173">
        <f t="shared" si="44"/>
        <v>0</v>
      </c>
      <c r="N58" s="173">
        <f t="shared" si="44"/>
        <v>0</v>
      </c>
      <c r="O58" s="173">
        <f t="shared" si="44"/>
        <v>0</v>
      </c>
      <c r="P58" s="173">
        <f t="shared" si="44"/>
        <v>0</v>
      </c>
      <c r="Q58" s="173">
        <f t="shared" si="44"/>
        <v>0</v>
      </c>
      <c r="R58" s="173">
        <f t="shared" si="44"/>
        <v>0</v>
      </c>
      <c r="S58" s="173">
        <f t="shared" si="44"/>
        <v>0</v>
      </c>
      <c r="T58" s="173">
        <f t="shared" si="44"/>
        <v>0</v>
      </c>
      <c r="U58" s="173">
        <f t="shared" si="44"/>
        <v>0</v>
      </c>
      <c r="V58" s="173">
        <f t="shared" si="44"/>
        <v>0</v>
      </c>
      <c r="W58" s="173">
        <f t="shared" si="44"/>
        <v>0</v>
      </c>
      <c r="X58" s="173">
        <f t="shared" si="44"/>
        <v>0</v>
      </c>
      <c r="Y58" s="173">
        <f t="shared" si="44"/>
        <v>0</v>
      </c>
      <c r="Z58" s="173">
        <f t="shared" si="44"/>
        <v>0</v>
      </c>
      <c r="AV58" s="172"/>
      <c r="AW58" s="172"/>
    </row>
    <row r="59" spans="1:49" x14ac:dyDescent="0.25">
      <c r="A59" s="178" t="s">
        <v>704</v>
      </c>
      <c r="B59" t="s">
        <v>738</v>
      </c>
      <c r="C59" s="173">
        <f t="shared" ref="C59:Z59" si="45">COUNTIF(C153:C162,0.5)</f>
        <v>0</v>
      </c>
      <c r="D59" s="173">
        <f t="shared" si="45"/>
        <v>0</v>
      </c>
      <c r="E59" s="173">
        <f t="shared" si="45"/>
        <v>0</v>
      </c>
      <c r="F59" s="173">
        <f t="shared" si="45"/>
        <v>0</v>
      </c>
      <c r="G59" s="173">
        <f t="shared" si="45"/>
        <v>0</v>
      </c>
      <c r="H59" s="173">
        <f t="shared" si="45"/>
        <v>0</v>
      </c>
      <c r="I59" s="173">
        <f t="shared" si="45"/>
        <v>0</v>
      </c>
      <c r="J59" s="173">
        <f t="shared" si="45"/>
        <v>0</v>
      </c>
      <c r="K59" s="173">
        <f t="shared" si="45"/>
        <v>0</v>
      </c>
      <c r="L59" s="173">
        <f t="shared" si="45"/>
        <v>0</v>
      </c>
      <c r="M59" s="173">
        <f t="shared" si="45"/>
        <v>0</v>
      </c>
      <c r="N59" s="173">
        <f t="shared" si="45"/>
        <v>0</v>
      </c>
      <c r="O59" s="173">
        <f t="shared" si="45"/>
        <v>0</v>
      </c>
      <c r="P59" s="173">
        <f t="shared" si="45"/>
        <v>0</v>
      </c>
      <c r="Q59" s="173">
        <f t="shared" si="45"/>
        <v>0</v>
      </c>
      <c r="R59" s="173">
        <f t="shared" si="45"/>
        <v>0</v>
      </c>
      <c r="S59" s="173">
        <f t="shared" si="45"/>
        <v>0</v>
      </c>
      <c r="T59" s="173">
        <f t="shared" si="45"/>
        <v>0</v>
      </c>
      <c r="U59" s="173">
        <f t="shared" si="45"/>
        <v>0</v>
      </c>
      <c r="V59" s="173">
        <f t="shared" si="45"/>
        <v>0</v>
      </c>
      <c r="W59" s="173">
        <f t="shared" si="45"/>
        <v>0</v>
      </c>
      <c r="X59" s="173">
        <f t="shared" si="45"/>
        <v>0</v>
      </c>
      <c r="Y59" s="173">
        <f t="shared" si="45"/>
        <v>0</v>
      </c>
      <c r="Z59" s="173">
        <f t="shared" si="45"/>
        <v>0</v>
      </c>
      <c r="AV59" s="172"/>
      <c r="AW59" s="172"/>
    </row>
    <row r="60" spans="1:49" x14ac:dyDescent="0.25">
      <c r="A60" s="178" t="s">
        <v>709</v>
      </c>
      <c r="B60" t="s">
        <v>738</v>
      </c>
      <c r="C60" s="62">
        <f>IF(AND(C57=0,(C58+C59)&gt;0),1,IF(AND(C57&gt;0,(C58+C59)&gt;0),C57+1,C57))</f>
        <v>0</v>
      </c>
      <c r="D60" s="62">
        <f t="shared" ref="D60:Z60" si="46">IF(AND(D57=0,(D58+D59)&gt;0),1,IF(AND(D57&gt;0,(D58+D59)&gt;0),D57+1,D57))</f>
        <v>0</v>
      </c>
      <c r="E60" s="62">
        <f t="shared" si="46"/>
        <v>0</v>
      </c>
      <c r="F60" s="62">
        <f t="shared" si="46"/>
        <v>0</v>
      </c>
      <c r="G60" s="62">
        <f t="shared" si="46"/>
        <v>0</v>
      </c>
      <c r="H60" s="62">
        <f t="shared" si="46"/>
        <v>0</v>
      </c>
      <c r="I60" s="62">
        <f t="shared" si="46"/>
        <v>0</v>
      </c>
      <c r="J60" s="62">
        <f t="shared" si="46"/>
        <v>0</v>
      </c>
      <c r="K60" s="62">
        <f t="shared" si="46"/>
        <v>0</v>
      </c>
      <c r="L60" s="62">
        <f t="shared" si="46"/>
        <v>0</v>
      </c>
      <c r="M60" s="62">
        <f t="shared" si="46"/>
        <v>0</v>
      </c>
      <c r="N60" s="62">
        <f t="shared" si="46"/>
        <v>0</v>
      </c>
      <c r="O60" s="62">
        <f t="shared" si="46"/>
        <v>0</v>
      </c>
      <c r="P60" s="62">
        <f t="shared" si="46"/>
        <v>0</v>
      </c>
      <c r="Q60" s="62">
        <f t="shared" si="46"/>
        <v>0</v>
      </c>
      <c r="R60" s="62">
        <f t="shared" si="46"/>
        <v>0</v>
      </c>
      <c r="S60" s="62">
        <f t="shared" si="46"/>
        <v>0</v>
      </c>
      <c r="T60" s="62">
        <f t="shared" si="46"/>
        <v>0</v>
      </c>
      <c r="U60" s="62">
        <f t="shared" si="46"/>
        <v>0</v>
      </c>
      <c r="V60" s="62">
        <f t="shared" si="46"/>
        <v>0</v>
      </c>
      <c r="W60" s="62">
        <f t="shared" si="46"/>
        <v>0</v>
      </c>
      <c r="X60" s="62">
        <f t="shared" si="46"/>
        <v>0</v>
      </c>
      <c r="Y60" s="62">
        <f t="shared" si="46"/>
        <v>0</v>
      </c>
      <c r="Z60" s="62">
        <f t="shared" si="46"/>
        <v>0</v>
      </c>
      <c r="AV60" s="172"/>
      <c r="AW60" s="172"/>
    </row>
    <row r="61" spans="1:49" x14ac:dyDescent="0.25">
      <c r="A61" s="178" t="s">
        <v>714</v>
      </c>
      <c r="B61" t="s">
        <v>738</v>
      </c>
      <c r="C61" s="62">
        <f>IF(COUNTIF(C166:C175,4)&gt;0,1,0)</f>
        <v>0</v>
      </c>
      <c r="D61" s="62">
        <f t="shared" ref="D61:Z61" si="47">IF(COUNTIF(D153:D162,4)&gt;0,1,0)</f>
        <v>0</v>
      </c>
      <c r="E61" s="62">
        <f t="shared" si="47"/>
        <v>0</v>
      </c>
      <c r="F61" s="62">
        <f t="shared" si="47"/>
        <v>0</v>
      </c>
      <c r="G61" s="62">
        <f t="shared" si="47"/>
        <v>0</v>
      </c>
      <c r="H61" s="62">
        <f t="shared" si="47"/>
        <v>0</v>
      </c>
      <c r="I61" s="62">
        <f t="shared" si="47"/>
        <v>0</v>
      </c>
      <c r="J61" s="62">
        <f t="shared" si="47"/>
        <v>0</v>
      </c>
      <c r="K61" s="62">
        <f t="shared" si="47"/>
        <v>0</v>
      </c>
      <c r="L61" s="62">
        <f t="shared" si="47"/>
        <v>0</v>
      </c>
      <c r="M61" s="62">
        <f t="shared" si="47"/>
        <v>0</v>
      </c>
      <c r="N61" s="62">
        <f t="shared" si="47"/>
        <v>0</v>
      </c>
      <c r="O61" s="62">
        <f t="shared" si="47"/>
        <v>0</v>
      </c>
      <c r="P61" s="62">
        <f t="shared" si="47"/>
        <v>0</v>
      </c>
      <c r="Q61" s="62">
        <f t="shared" si="47"/>
        <v>0</v>
      </c>
      <c r="R61" s="62">
        <f t="shared" si="47"/>
        <v>0</v>
      </c>
      <c r="S61" s="62">
        <f t="shared" si="47"/>
        <v>0</v>
      </c>
      <c r="T61" s="62">
        <f t="shared" si="47"/>
        <v>0</v>
      </c>
      <c r="U61" s="62">
        <f t="shared" si="47"/>
        <v>0</v>
      </c>
      <c r="V61" s="62">
        <f t="shared" si="47"/>
        <v>0</v>
      </c>
      <c r="W61" s="62">
        <f t="shared" si="47"/>
        <v>0</v>
      </c>
      <c r="X61" s="62">
        <f t="shared" si="47"/>
        <v>0</v>
      </c>
      <c r="Y61" s="62">
        <f t="shared" si="47"/>
        <v>0</v>
      </c>
      <c r="Z61" s="62">
        <f t="shared" si="47"/>
        <v>0</v>
      </c>
      <c r="AV61" s="172"/>
      <c r="AW61" s="172"/>
    </row>
    <row r="62" spans="1:49" x14ac:dyDescent="0.25">
      <c r="A62" s="178" t="s">
        <v>717</v>
      </c>
      <c r="B62" t="s">
        <v>738</v>
      </c>
      <c r="C62" s="173">
        <f>COUNTIF(C166:C175,5)</f>
        <v>0</v>
      </c>
      <c r="D62" s="173">
        <f t="shared" ref="D62:Z62" si="48">COUNTIF(D153:D162,5)</f>
        <v>0</v>
      </c>
      <c r="E62" s="173">
        <f t="shared" si="48"/>
        <v>0</v>
      </c>
      <c r="F62" s="173">
        <f t="shared" si="48"/>
        <v>0</v>
      </c>
      <c r="G62" s="173">
        <f t="shared" si="48"/>
        <v>0</v>
      </c>
      <c r="H62" s="173">
        <f t="shared" si="48"/>
        <v>0</v>
      </c>
      <c r="I62" s="173">
        <f t="shared" si="48"/>
        <v>0</v>
      </c>
      <c r="J62" s="173">
        <f t="shared" si="48"/>
        <v>0</v>
      </c>
      <c r="K62" s="173">
        <f t="shared" si="48"/>
        <v>0</v>
      </c>
      <c r="L62" s="173">
        <f t="shared" si="48"/>
        <v>0</v>
      </c>
      <c r="M62" s="173">
        <f t="shared" si="48"/>
        <v>0</v>
      </c>
      <c r="N62" s="173">
        <f t="shared" si="48"/>
        <v>0</v>
      </c>
      <c r="O62" s="173">
        <f t="shared" si="48"/>
        <v>0</v>
      </c>
      <c r="P62" s="173">
        <f t="shared" si="48"/>
        <v>0</v>
      </c>
      <c r="Q62" s="173">
        <f t="shared" si="48"/>
        <v>0</v>
      </c>
      <c r="R62" s="173">
        <f t="shared" si="48"/>
        <v>0</v>
      </c>
      <c r="S62" s="173">
        <f t="shared" si="48"/>
        <v>0</v>
      </c>
      <c r="T62" s="173">
        <f t="shared" si="48"/>
        <v>0</v>
      </c>
      <c r="U62" s="173">
        <f t="shared" si="48"/>
        <v>0</v>
      </c>
      <c r="V62" s="173">
        <f t="shared" si="48"/>
        <v>0</v>
      </c>
      <c r="W62" s="173">
        <f t="shared" si="48"/>
        <v>0</v>
      </c>
      <c r="X62" s="173">
        <f t="shared" si="48"/>
        <v>0</v>
      </c>
      <c r="Y62" s="173">
        <f t="shared" si="48"/>
        <v>0</v>
      </c>
      <c r="Z62" s="173">
        <f t="shared" si="48"/>
        <v>0</v>
      </c>
      <c r="AV62" s="172"/>
      <c r="AW62" s="172"/>
    </row>
    <row r="63" spans="1:49" x14ac:dyDescent="0.25">
      <c r="A63" s="178" t="s">
        <v>720</v>
      </c>
      <c r="B63" t="s">
        <v>738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72"/>
      <c r="AW63" s="172"/>
    </row>
    <row r="64" spans="1:49" x14ac:dyDescent="0.25">
      <c r="A64" s="178" t="s">
        <v>723</v>
      </c>
      <c r="B64" t="s">
        <v>738</v>
      </c>
      <c r="C64" s="62">
        <f>C60+C61+C63</f>
        <v>0</v>
      </c>
      <c r="D64" s="62">
        <f t="shared" ref="D64:Z64" si="49">D60+D61+D63</f>
        <v>0</v>
      </c>
      <c r="E64" s="62">
        <f t="shared" si="49"/>
        <v>0</v>
      </c>
      <c r="F64" s="62">
        <f t="shared" si="49"/>
        <v>0</v>
      </c>
      <c r="G64" s="62">
        <f t="shared" si="49"/>
        <v>0</v>
      </c>
      <c r="H64" s="62">
        <f t="shared" si="49"/>
        <v>0</v>
      </c>
      <c r="I64" s="62">
        <f t="shared" si="49"/>
        <v>0</v>
      </c>
      <c r="J64" s="62">
        <f t="shared" si="49"/>
        <v>0</v>
      </c>
      <c r="K64" s="62">
        <f t="shared" si="49"/>
        <v>0</v>
      </c>
      <c r="L64" s="62">
        <f t="shared" si="49"/>
        <v>0</v>
      </c>
      <c r="M64" s="62">
        <f t="shared" si="49"/>
        <v>0</v>
      </c>
      <c r="N64" s="62">
        <f t="shared" si="49"/>
        <v>0</v>
      </c>
      <c r="O64" s="62">
        <f t="shared" si="49"/>
        <v>0</v>
      </c>
      <c r="P64" s="62">
        <f t="shared" si="49"/>
        <v>0</v>
      </c>
      <c r="Q64" s="62">
        <f t="shared" si="49"/>
        <v>0</v>
      </c>
      <c r="R64" s="62">
        <f t="shared" si="49"/>
        <v>0</v>
      </c>
      <c r="S64" s="62">
        <f t="shared" si="49"/>
        <v>0</v>
      </c>
      <c r="T64" s="62">
        <f t="shared" si="49"/>
        <v>0</v>
      </c>
      <c r="U64" s="62">
        <f t="shared" si="49"/>
        <v>0</v>
      </c>
      <c r="V64" s="62">
        <f t="shared" si="49"/>
        <v>0</v>
      </c>
      <c r="W64" s="62">
        <f t="shared" si="49"/>
        <v>0</v>
      </c>
      <c r="X64" s="62">
        <f t="shared" si="49"/>
        <v>0</v>
      </c>
      <c r="Y64" s="62">
        <f t="shared" si="49"/>
        <v>0</v>
      </c>
      <c r="Z64" s="62">
        <f t="shared" si="49"/>
        <v>0</v>
      </c>
      <c r="AV64" s="172"/>
      <c r="AW64" s="172"/>
    </row>
    <row r="65" spans="1:49" x14ac:dyDescent="0.25">
      <c r="A65" s="178"/>
      <c r="AV65" s="172"/>
      <c r="AW65" s="172"/>
    </row>
    <row r="66" spans="1:49" x14ac:dyDescent="0.25">
      <c r="B66" s="183"/>
      <c r="AV66" s="172"/>
      <c r="AW66" s="172"/>
    </row>
    <row r="67" spans="1:49" x14ac:dyDescent="0.25">
      <c r="A67" s="40" t="s">
        <v>94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81" t="s">
        <v>740</v>
      </c>
      <c r="AV67" s="172"/>
      <c r="AW67" s="172"/>
    </row>
    <row r="68" spans="1:49" x14ac:dyDescent="0.25">
      <c r="A68" s="40" t="s">
        <v>741</v>
      </c>
      <c r="B68" s="30" t="str">
        <f>CdTrp1!A52</f>
        <v>brebis</v>
      </c>
      <c r="C68" s="173">
        <f>IF($AA68=0,99,IF(C81&gt;3,CdTrp1!B76,CdTrp1!B52))</f>
        <v>1</v>
      </c>
      <c r="D68" s="173">
        <f>IF($AA68=0,99,IF(D81&gt;3,CdTrp1!C76,CdTrp1!C52))</f>
        <v>1</v>
      </c>
      <c r="E68" s="173">
        <f>IF($AA68=0,99,IF(E81&gt;3,CdTrp1!D76,CdTrp1!D52))</f>
        <v>1</v>
      </c>
      <c r="F68" s="173">
        <f>IF($AA68=0,99,IF(F81&gt;3,CdTrp1!E76,CdTrp1!E52))</f>
        <v>0.5</v>
      </c>
      <c r="G68" s="173">
        <f>IF($AA68=0,99,IF(G81&gt;3,CdTrp1!F76,CdTrp1!F52))</f>
        <v>0.5</v>
      </c>
      <c r="H68" s="173">
        <f>IF($AA68=0,99,IF(H81&gt;3,CdTrp1!G76,CdTrp1!G52))</f>
        <v>0.5</v>
      </c>
      <c r="I68" s="173">
        <f>IF($AA68=0,99,IF(I81&gt;3,CdTrp1!H76,CdTrp1!H52))</f>
        <v>0.5</v>
      </c>
      <c r="J68" s="173">
        <f>IF($AA68=0,99,IF(J81&gt;3,CdTrp1!I76,CdTrp1!I52))</f>
        <v>0.5</v>
      </c>
      <c r="K68" s="173">
        <f>IF($AA68=0,99,IF(K81&gt;3,CdTrp1!J76,CdTrp1!J52))</f>
        <v>0.5</v>
      </c>
      <c r="L68" s="173">
        <f>IF($AA68=0,99,IF(L81&gt;3,CdTrp1!K76,CdTrp1!K52))</f>
        <v>0.5</v>
      </c>
      <c r="M68" s="173">
        <f>IF($AA68=0,99,IF(M81&gt;3,CdTrp1!L76,CdTrp1!L52))</f>
        <v>0.5</v>
      </c>
      <c r="N68" s="173">
        <f>IF($AA68=0,99,IF(N81&gt;3,CdTrp1!M76,CdTrp1!M52))</f>
        <v>5</v>
      </c>
      <c r="O68" s="173">
        <f>IF($AA68=0,99,IF(O81&gt;3,CdTrp1!N76,CdTrp1!N52))</f>
        <v>5</v>
      </c>
      <c r="P68" s="173">
        <f>IF($AA68=0,99,IF(P81&gt;3,CdTrp1!O76,CdTrp1!O52))</f>
        <v>5</v>
      </c>
      <c r="Q68" s="173">
        <f>IF($AA68=0,99,IF(Q81&gt;3,CdTrp1!P76,CdTrp1!P52))</f>
        <v>5</v>
      </c>
      <c r="R68" s="173">
        <f>IF($AA68=0,99,IF(R81&gt;3,CdTrp1!Q76,CdTrp1!Q52))</f>
        <v>5</v>
      </c>
      <c r="S68" s="173">
        <f>IF($AA68=0,99,IF(S81&gt;3,CdTrp1!R76,CdTrp1!R52))</f>
        <v>5</v>
      </c>
      <c r="T68" s="173">
        <f>IF($AA68=0,99,IF(T81&gt;3,CdTrp1!S76,CdTrp1!S52))</f>
        <v>5</v>
      </c>
      <c r="U68" s="173">
        <f>IF($AA68=0,99,IF(U81&gt;3,CdTrp1!T76,CdTrp1!T52))</f>
        <v>0.5</v>
      </c>
      <c r="V68" s="173">
        <f>IF($AA68=0,99,IF(V81&gt;3,CdTrp1!U76,CdTrp1!U52))</f>
        <v>0.5</v>
      </c>
      <c r="W68" s="173">
        <f>IF($AA68=0,99,IF(W81&gt;3,CdTrp1!V76,CdTrp1!V52))</f>
        <v>1</v>
      </c>
      <c r="X68" s="173">
        <f>IF($AA68=0,99,IF(X81&gt;3,CdTrp1!W76,CdTrp1!W52))</f>
        <v>1</v>
      </c>
      <c r="Y68" s="173">
        <f>IF($AA68=0,99,IF(Y81&gt;3,CdTrp1!X76,CdTrp1!X52))</f>
        <v>1</v>
      </c>
      <c r="Z68" s="173">
        <f>IF($AA68=0,99,IF(Z81&gt;3,CdTrp1!Y76,CdTrp1!Y52))</f>
        <v>1</v>
      </c>
      <c r="AA68" s="182">
        <f>SUM(CdTrp1!B15:Y15)/24</f>
        <v>258.84057971014482</v>
      </c>
      <c r="AD68" s="15"/>
      <c r="AE68" s="182"/>
      <c r="AF68" s="182"/>
      <c r="AG68" s="182"/>
      <c r="AH68" s="182"/>
      <c r="AI68" s="182"/>
    </row>
    <row r="69" spans="1:49" x14ac:dyDescent="0.25">
      <c r="B69" s="186" t="str">
        <f>CdTrp1!A53</f>
        <v>vides</v>
      </c>
      <c r="C69" s="173">
        <f>IF($AA69=0,99,IF(C82&gt;3,CdTrp1!B77,CdTrp1!B53))</f>
        <v>0.5</v>
      </c>
      <c r="D69" s="173">
        <f>IF($AA69=0,99,IF(D82&gt;3,CdTrp1!C77,CdTrp1!C53))</f>
        <v>0.5</v>
      </c>
      <c r="E69" s="173">
        <f>IF($AA69=0,99,IF(E82&gt;3,CdTrp1!D77,CdTrp1!D53))</f>
        <v>0.5</v>
      </c>
      <c r="F69" s="173">
        <f>IF($AA69=0,99,IF(F82&gt;3,CdTrp1!E77,CdTrp1!E53))</f>
        <v>0.5</v>
      </c>
      <c r="G69" s="173">
        <f>IF($AA69=0,99,IF(G82&gt;3,CdTrp1!F77,CdTrp1!F53))</f>
        <v>0.5</v>
      </c>
      <c r="H69" s="173">
        <f>IF($AA69=0,99,IF(H82&gt;3,CdTrp1!G77,CdTrp1!G53))</f>
        <v>0.5</v>
      </c>
      <c r="I69" s="173">
        <f>IF($AA69=0,99,IF(I82&gt;3,CdTrp1!H77,CdTrp1!H53))</f>
        <v>0.5</v>
      </c>
      <c r="J69" s="173">
        <f>IF($AA69=0,99,IF(J82&gt;3,CdTrp1!I77,CdTrp1!I53))</f>
        <v>0.5</v>
      </c>
      <c r="K69" s="173">
        <f>IF($AA69=0,99,IF(K82&gt;3,CdTrp1!J77,CdTrp1!J53))</f>
        <v>0.5</v>
      </c>
      <c r="L69" s="173">
        <f>IF($AA69=0,99,IF(L82&gt;3,CdTrp1!K77,CdTrp1!K53))</f>
        <v>99</v>
      </c>
      <c r="M69" s="173">
        <f>IF($AA69=0,99,IF(M82&gt;3,CdTrp1!L77,CdTrp1!L53))</f>
        <v>99</v>
      </c>
      <c r="N69" s="173">
        <f>IF($AA69=0,99,IF(N82&gt;3,CdTrp1!M77,CdTrp1!M53))</f>
        <v>99</v>
      </c>
      <c r="O69" s="173">
        <f>IF($AA69=0,99,IF(O82&gt;3,CdTrp1!N77,CdTrp1!N53))</f>
        <v>99</v>
      </c>
      <c r="P69" s="173">
        <f>IF($AA69=0,99,IF(P82&gt;3,CdTrp1!O77,CdTrp1!O53))</f>
        <v>99</v>
      </c>
      <c r="Q69" s="173">
        <f>IF($AA69=0,99,IF(Q82&gt;3,CdTrp1!P77,CdTrp1!P53))</f>
        <v>99</v>
      </c>
      <c r="R69" s="173">
        <f>IF($AA69=0,99,IF(R82&gt;3,CdTrp1!Q77,CdTrp1!Q53))</f>
        <v>99</v>
      </c>
      <c r="S69" s="173">
        <f>IF($AA69=0,99,IF(S82&gt;3,CdTrp1!R77,CdTrp1!R53))</f>
        <v>99</v>
      </c>
      <c r="T69" s="173">
        <f>IF($AA69=0,99,IF(T82&gt;3,CdTrp1!S77,CdTrp1!S53))</f>
        <v>99</v>
      </c>
      <c r="U69" s="173">
        <f>IF($AA69=0,99,IF(U82&gt;3,CdTrp1!T77,CdTrp1!T53))</f>
        <v>99</v>
      </c>
      <c r="V69" s="173">
        <f>IF($AA69=0,99,IF(V82&gt;3,CdTrp1!U77,CdTrp1!U53))</f>
        <v>0.5</v>
      </c>
      <c r="W69" s="173">
        <f>IF($AA69=0,99,IF(W82&gt;3,CdTrp1!V77,CdTrp1!V53))</f>
        <v>0.5</v>
      </c>
      <c r="X69" s="173">
        <f>IF($AA69=0,99,IF(X82&gt;3,CdTrp1!W77,CdTrp1!W53))</f>
        <v>0.5</v>
      </c>
      <c r="Y69" s="173">
        <f>IF($AA69=0,99,IF(Y82&gt;3,CdTrp1!X77,CdTrp1!X53))</f>
        <v>0.5</v>
      </c>
      <c r="Z69" s="173">
        <f>IF($AA69=0,99,IF(Z82&gt;3,CdTrp1!Y77,CdTrp1!Y53))</f>
        <v>0.5</v>
      </c>
      <c r="AA69" s="182">
        <f>SUM(CdTrp1!B16:Y16)/24</f>
        <v>14.649275362318839</v>
      </c>
      <c r="AD69" s="15"/>
      <c r="AU69" s="184"/>
    </row>
    <row r="70" spans="1:49" x14ac:dyDescent="0.25">
      <c r="B70" s="186" t="str">
        <f>CdTrp1!A54</f>
        <v>agnelles</v>
      </c>
      <c r="C70" s="173">
        <f>IF($AA70=0,99,IF(C83&gt;3,CdTrp1!B78,CdTrp1!B54))</f>
        <v>1</v>
      </c>
      <c r="D70" s="173">
        <f>IF($AA70=0,99,IF(D83&gt;3,CdTrp1!C78,CdTrp1!C54))</f>
        <v>1</v>
      </c>
      <c r="E70" s="173">
        <f>IF($AA70=0,99,IF(E83&gt;3,CdTrp1!D78,CdTrp1!D54))</f>
        <v>1</v>
      </c>
      <c r="F70" s="173">
        <f>IF($AA70=0,99,IF(F83&gt;3,CdTrp1!E78,CdTrp1!E54))</f>
        <v>1</v>
      </c>
      <c r="G70" s="173">
        <f>IF($AA70=0,99,IF(G83&gt;3,CdTrp1!F78,CdTrp1!F54))</f>
        <v>1</v>
      </c>
      <c r="H70" s="173">
        <f>IF($AA70=0,99,IF(H83&gt;3,CdTrp1!G78,CdTrp1!G54))</f>
        <v>0.5</v>
      </c>
      <c r="I70" s="173">
        <f>IF($AA70=0,99,IF(I83&gt;3,CdTrp1!H78,CdTrp1!H54))</f>
        <v>0.5</v>
      </c>
      <c r="J70" s="173">
        <f>IF($AA70=0,99,IF(J83&gt;3,CdTrp1!I78,CdTrp1!I54))</f>
        <v>0.5</v>
      </c>
      <c r="K70" s="173">
        <f>IF($AA70=0,99,IF(K83&gt;3,CdTrp1!J78,CdTrp1!J54))</f>
        <v>0.5</v>
      </c>
      <c r="L70" s="173">
        <f>IF($AA70=0,99,IF(L83&gt;3,CdTrp1!K78,CdTrp1!K54))</f>
        <v>0.5</v>
      </c>
      <c r="M70" s="173">
        <f>IF($AA70=0,99,IF(M83&gt;3,CdTrp1!L78,CdTrp1!L54))</f>
        <v>0.5</v>
      </c>
      <c r="N70" s="173">
        <f>IF($AA70=0,99,IF(N83&gt;3,CdTrp1!M78,CdTrp1!M54))</f>
        <v>0.5</v>
      </c>
      <c r="O70" s="173">
        <f>IF($AA70=0,99,IF(O83&gt;3,CdTrp1!N78,CdTrp1!N54))</f>
        <v>0.5</v>
      </c>
      <c r="P70" s="173">
        <f>IF($AA70=0,99,IF(P83&gt;3,CdTrp1!O78,CdTrp1!O54))</f>
        <v>0.5</v>
      </c>
      <c r="Q70" s="173">
        <f>IF($AA70=0,99,IF(Q83&gt;3,CdTrp1!P78,CdTrp1!P54))</f>
        <v>0.5</v>
      </c>
      <c r="R70" s="173">
        <f>IF($AA70=0,99,IF(R83&gt;3,CdTrp1!Q78,CdTrp1!Q54))</f>
        <v>0.5</v>
      </c>
      <c r="S70" s="173">
        <f>IF($AA70=0,99,IF(S83&gt;3,CdTrp1!R78,CdTrp1!R54))</f>
        <v>0.5</v>
      </c>
      <c r="T70" s="173">
        <f>IF($AA70=0,99,IF(T83&gt;3,CdTrp1!S78,CdTrp1!S54))</f>
        <v>0.5</v>
      </c>
      <c r="U70" s="173">
        <f>IF($AA70=0,99,IF(U83&gt;3,CdTrp1!T78,CdTrp1!T54))</f>
        <v>0.5</v>
      </c>
      <c r="V70" s="173">
        <f>IF($AA70=0,99,IF(V83&gt;3,CdTrp1!U78,CdTrp1!U54))</f>
        <v>99</v>
      </c>
      <c r="W70" s="173">
        <f>IF($AA70=0,99,IF(W83&gt;3,CdTrp1!V78,CdTrp1!V54))</f>
        <v>99</v>
      </c>
      <c r="X70" s="173">
        <f>IF($AA70=0,99,IF(X83&gt;3,CdTrp1!W78,CdTrp1!W54))</f>
        <v>1</v>
      </c>
      <c r="Y70" s="173">
        <f>IF($AA70=0,99,IF(Y83&gt;3,CdTrp1!X78,CdTrp1!X54))</f>
        <v>1</v>
      </c>
      <c r="Z70" s="173">
        <f>IF($AA70=0,99,IF(Z83&gt;3,CdTrp1!Y78,CdTrp1!Y54))</f>
        <v>1</v>
      </c>
      <c r="AA70" s="182">
        <f>SUM(CdTrp1!B17:Y17)/24</f>
        <v>63.002898550724616</v>
      </c>
      <c r="AD70" s="15"/>
    </row>
    <row r="71" spans="1:49" x14ac:dyDescent="0.25">
      <c r="B71" s="30" t="str">
        <f>CdTrp1!A55</f>
        <v>beliers</v>
      </c>
      <c r="C71" s="173">
        <f>IF($AA71=0,99,IF(C84&gt;3,CdTrp1!B79,CdTrp1!B55))</f>
        <v>0.5</v>
      </c>
      <c r="D71" s="173">
        <f>IF($AA71=0,99,IF(D84&gt;3,CdTrp1!C79,CdTrp1!C55))</f>
        <v>0.5</v>
      </c>
      <c r="E71" s="173">
        <f>IF($AA71=0,99,IF(E84&gt;3,CdTrp1!D79,CdTrp1!D55))</f>
        <v>0.5</v>
      </c>
      <c r="F71" s="173">
        <f>IF($AA71=0,99,IF(F84&gt;3,CdTrp1!E79,CdTrp1!E55))</f>
        <v>0.5</v>
      </c>
      <c r="G71" s="173">
        <f>IF($AA71=0,99,IF(G84&gt;3,CdTrp1!F79,CdTrp1!F55))</f>
        <v>0.5</v>
      </c>
      <c r="H71" s="173">
        <f>IF($AA71=0,99,IF(H84&gt;3,CdTrp1!G79,CdTrp1!G55))</f>
        <v>0.5</v>
      </c>
      <c r="I71" s="173">
        <f>IF($AA71=0,99,IF(I84&gt;3,CdTrp1!H79,CdTrp1!H55))</f>
        <v>0.5</v>
      </c>
      <c r="J71" s="173">
        <f>IF($AA71=0,99,IF(J84&gt;3,CdTrp1!I79,CdTrp1!I55))</f>
        <v>0.5</v>
      </c>
      <c r="K71" s="173">
        <f>IF($AA71=0,99,IF(K84&gt;3,CdTrp1!J79,CdTrp1!J55))</f>
        <v>0.5</v>
      </c>
      <c r="L71" s="173">
        <f>IF($AA71=0,99,IF(L84&gt;3,CdTrp1!K79,CdTrp1!K55))</f>
        <v>99</v>
      </c>
      <c r="M71" s="173">
        <f>IF($AA71=0,99,IF(M84&gt;3,CdTrp1!L79,CdTrp1!L55))</f>
        <v>99</v>
      </c>
      <c r="N71" s="173">
        <f>IF($AA71=0,99,IF(N84&gt;3,CdTrp1!M79,CdTrp1!M55))</f>
        <v>99</v>
      </c>
      <c r="O71" s="173">
        <f>IF($AA71=0,99,IF(O84&gt;3,CdTrp1!N79,CdTrp1!N55))</f>
        <v>99</v>
      </c>
      <c r="P71" s="173">
        <f>IF($AA71=0,99,IF(P84&gt;3,CdTrp1!O79,CdTrp1!O55))</f>
        <v>99</v>
      </c>
      <c r="Q71" s="173">
        <f>IF($AA71=0,99,IF(Q84&gt;3,CdTrp1!P79,CdTrp1!P55))</f>
        <v>99</v>
      </c>
      <c r="R71" s="173">
        <f>IF($AA71=0,99,IF(R84&gt;3,CdTrp1!Q79,CdTrp1!Q55))</f>
        <v>99</v>
      </c>
      <c r="S71" s="173">
        <f>IF($AA71=0,99,IF(S84&gt;3,CdTrp1!R79,CdTrp1!R55))</f>
        <v>99</v>
      </c>
      <c r="T71" s="173">
        <f>IF($AA71=0,99,IF(T84&gt;3,CdTrp1!S79,CdTrp1!S55))</f>
        <v>99</v>
      </c>
      <c r="U71" s="173">
        <f>IF($AA71=0,99,IF(U84&gt;3,CdTrp1!T79,CdTrp1!T55))</f>
        <v>99</v>
      </c>
      <c r="V71" s="173">
        <f>IF($AA71=0,99,IF(V84&gt;3,CdTrp1!U79,CdTrp1!U55))</f>
        <v>0.5</v>
      </c>
      <c r="W71" s="173">
        <f>IF($AA71=0,99,IF(W84&gt;3,CdTrp1!V79,CdTrp1!V55))</f>
        <v>0.5</v>
      </c>
      <c r="X71" s="173">
        <f>IF($AA71=0,99,IF(X84&gt;3,CdTrp1!W79,CdTrp1!W55))</f>
        <v>0.5</v>
      </c>
      <c r="Y71" s="173">
        <f>IF($AA71=0,99,IF(Y84&gt;3,CdTrp1!X79,CdTrp1!X55))</f>
        <v>0.5</v>
      </c>
      <c r="Z71" s="173">
        <f>IF($AA71=0,99,IF(Z84&gt;3,CdTrp1!Y79,CdTrp1!Y55))</f>
        <v>0.5</v>
      </c>
      <c r="AA71" s="182">
        <f>SUM(CdTrp1!B18:Y18)/24</f>
        <v>4.6260869565217408</v>
      </c>
      <c r="AD71" s="15"/>
    </row>
    <row r="72" spans="1:49" x14ac:dyDescent="0.25">
      <c r="B72" s="186" t="str">
        <f>CdTrp1!A56</f>
        <v>lot5</v>
      </c>
      <c r="C72" s="173">
        <f>IF($AA72=0,99,IF(C85&gt;3,CdTrp1!B80,CdTrp1!B56))</f>
        <v>99</v>
      </c>
      <c r="D72" s="173">
        <f>IF($AA72=0,99,IF(D85&gt;3,CdTrp1!C80,CdTrp1!C56))</f>
        <v>99</v>
      </c>
      <c r="E72" s="173">
        <f>IF($AA72=0,99,IF(E85&gt;3,CdTrp1!D80,CdTrp1!D56))</f>
        <v>99</v>
      </c>
      <c r="F72" s="173">
        <f>IF($AA72=0,99,IF(F85&gt;3,CdTrp1!E80,CdTrp1!E56))</f>
        <v>99</v>
      </c>
      <c r="G72" s="173">
        <f>IF($AA72=0,99,IF(G85&gt;3,CdTrp1!F80,CdTrp1!F56))</f>
        <v>99</v>
      </c>
      <c r="H72" s="173">
        <f>IF($AA72=0,99,IF(H85&gt;3,CdTrp1!G80,CdTrp1!G56))</f>
        <v>99</v>
      </c>
      <c r="I72" s="173">
        <f>IF($AA72=0,99,IF(I85&gt;3,CdTrp1!H80,CdTrp1!H56))</f>
        <v>99</v>
      </c>
      <c r="J72" s="173">
        <f>IF($AA72=0,99,IF(J85&gt;3,CdTrp1!I80,CdTrp1!I56))</f>
        <v>99</v>
      </c>
      <c r="K72" s="173">
        <f>IF($AA72=0,99,IF(K85&gt;3,CdTrp1!J80,CdTrp1!J56))</f>
        <v>99</v>
      </c>
      <c r="L72" s="173">
        <f>IF($AA72=0,99,IF(L85&gt;3,CdTrp1!K80,CdTrp1!K56))</f>
        <v>99</v>
      </c>
      <c r="M72" s="173">
        <f>IF($AA72=0,99,IF(M85&gt;3,CdTrp1!L80,CdTrp1!L56))</f>
        <v>99</v>
      </c>
      <c r="N72" s="173">
        <f>IF($AA72=0,99,IF(N85&gt;3,CdTrp1!M80,CdTrp1!M56))</f>
        <v>99</v>
      </c>
      <c r="O72" s="173">
        <f>IF($AA72=0,99,IF(O85&gt;3,CdTrp1!N80,CdTrp1!N56))</f>
        <v>99</v>
      </c>
      <c r="P72" s="173">
        <f>IF($AA72=0,99,IF(P85&gt;3,CdTrp1!O80,CdTrp1!O56))</f>
        <v>99</v>
      </c>
      <c r="Q72" s="173">
        <f>IF($AA72=0,99,IF(Q85&gt;3,CdTrp1!P80,CdTrp1!P56))</f>
        <v>99</v>
      </c>
      <c r="R72" s="173">
        <f>IF($AA72=0,99,IF(R85&gt;3,CdTrp1!Q80,CdTrp1!Q56))</f>
        <v>99</v>
      </c>
      <c r="S72" s="173">
        <f>IF($AA72=0,99,IF(S85&gt;3,CdTrp1!R80,CdTrp1!R56))</f>
        <v>99</v>
      </c>
      <c r="T72" s="173">
        <f>IF($AA72=0,99,IF(T85&gt;3,CdTrp1!S80,CdTrp1!S56))</f>
        <v>99</v>
      </c>
      <c r="U72" s="173">
        <f>IF($AA72=0,99,IF(U85&gt;3,CdTrp1!T80,CdTrp1!T56))</f>
        <v>99</v>
      </c>
      <c r="V72" s="173">
        <f>IF($AA72=0,99,IF(V85&gt;3,CdTrp1!U80,CdTrp1!U56))</f>
        <v>99</v>
      </c>
      <c r="W72" s="173">
        <f>IF($AA72=0,99,IF(W85&gt;3,CdTrp1!V80,CdTrp1!V56))</f>
        <v>99</v>
      </c>
      <c r="X72" s="173">
        <f>IF($AA72=0,99,IF(X85&gt;3,CdTrp1!W80,CdTrp1!W56))</f>
        <v>99</v>
      </c>
      <c r="Y72" s="173">
        <f>IF($AA72=0,99,IF(Y85&gt;3,CdTrp1!X80,CdTrp1!X56))</f>
        <v>99</v>
      </c>
      <c r="Z72" s="173">
        <f>IF($AA72=0,99,IF(Z85&gt;3,CdTrp1!Y80,CdTrp1!Y56))</f>
        <v>99</v>
      </c>
      <c r="AA72" s="182">
        <f>SUM(CdTrp1!B19:Y19)/24</f>
        <v>0</v>
      </c>
      <c r="AD72" s="15"/>
    </row>
    <row r="73" spans="1:49" x14ac:dyDescent="0.25">
      <c r="B73" s="30" t="str">
        <f>CdTrp1!A57</f>
        <v>lot6</v>
      </c>
      <c r="C73" s="173">
        <f>IF($AA73=0,99,IF(C86&gt;3,CdTrp1!B81,CdTrp1!B57))</f>
        <v>99</v>
      </c>
      <c r="D73" s="173">
        <f>IF($AA73=0,99,IF(D86&gt;3,CdTrp1!C81,CdTrp1!C57))</f>
        <v>99</v>
      </c>
      <c r="E73" s="173">
        <f>IF($AA73=0,99,IF(E86&gt;3,CdTrp1!D81,CdTrp1!D57))</f>
        <v>99</v>
      </c>
      <c r="F73" s="173">
        <f>IF($AA73=0,99,IF(F86&gt;3,CdTrp1!E81,CdTrp1!E57))</f>
        <v>99</v>
      </c>
      <c r="G73" s="173">
        <f>IF($AA73=0,99,IF(G86&gt;3,CdTrp1!F81,CdTrp1!F57))</f>
        <v>99</v>
      </c>
      <c r="H73" s="173">
        <f>IF($AA73=0,99,IF(H86&gt;3,CdTrp1!G81,CdTrp1!G57))</f>
        <v>99</v>
      </c>
      <c r="I73" s="173">
        <f>IF($AA73=0,99,IF(I86&gt;3,CdTrp1!H81,CdTrp1!H57))</f>
        <v>99</v>
      </c>
      <c r="J73" s="173">
        <f>IF($AA73=0,99,IF(J86&gt;3,CdTrp1!I81,CdTrp1!I57))</f>
        <v>99</v>
      </c>
      <c r="K73" s="173">
        <f>IF($AA73=0,99,IF(K86&gt;3,CdTrp1!J81,CdTrp1!J57))</f>
        <v>99</v>
      </c>
      <c r="L73" s="173">
        <f>IF($AA73=0,99,IF(L86&gt;3,CdTrp1!K81,CdTrp1!K57))</f>
        <v>99</v>
      </c>
      <c r="M73" s="173">
        <f>IF($AA73=0,99,IF(M86&gt;3,CdTrp1!L81,CdTrp1!L57))</f>
        <v>99</v>
      </c>
      <c r="N73" s="173">
        <f>IF($AA73=0,99,IF(N86&gt;3,CdTrp1!M81,CdTrp1!M57))</f>
        <v>99</v>
      </c>
      <c r="O73" s="173">
        <f>IF($AA73=0,99,IF(O86&gt;3,CdTrp1!N81,CdTrp1!N57))</f>
        <v>99</v>
      </c>
      <c r="P73" s="173">
        <f>IF($AA73=0,99,IF(P86&gt;3,CdTrp1!O81,CdTrp1!O57))</f>
        <v>99</v>
      </c>
      <c r="Q73" s="173">
        <f>IF($AA73=0,99,IF(Q86&gt;3,CdTrp1!P81,CdTrp1!P57))</f>
        <v>99</v>
      </c>
      <c r="R73" s="173">
        <f>IF($AA73=0,99,IF(R86&gt;3,CdTrp1!Q81,CdTrp1!Q57))</f>
        <v>99</v>
      </c>
      <c r="S73" s="173">
        <f>IF($AA73=0,99,IF(S86&gt;3,CdTrp1!R81,CdTrp1!R57))</f>
        <v>99</v>
      </c>
      <c r="T73" s="173">
        <f>IF($AA73=0,99,IF(T86&gt;3,CdTrp1!S81,CdTrp1!S57))</f>
        <v>99</v>
      </c>
      <c r="U73" s="173">
        <f>IF($AA73=0,99,IF(U86&gt;3,CdTrp1!T81,CdTrp1!T57))</f>
        <v>99</v>
      </c>
      <c r="V73" s="173">
        <f>IF($AA73=0,99,IF(V86&gt;3,CdTrp1!U81,CdTrp1!U57))</f>
        <v>99</v>
      </c>
      <c r="W73" s="173">
        <f>IF($AA73=0,99,IF(W86&gt;3,CdTrp1!V81,CdTrp1!V57))</f>
        <v>99</v>
      </c>
      <c r="X73" s="173">
        <f>IF($AA73=0,99,IF(X86&gt;3,CdTrp1!W81,CdTrp1!W57))</f>
        <v>99</v>
      </c>
      <c r="Y73" s="173">
        <f>IF($AA73=0,99,IF(Y86&gt;3,CdTrp1!X81,CdTrp1!X57))</f>
        <v>99</v>
      </c>
      <c r="Z73" s="173">
        <f>IF($AA73=0,99,IF(Z86&gt;3,CdTrp1!Y81,CdTrp1!Y57))</f>
        <v>99</v>
      </c>
      <c r="AA73" s="182">
        <f>SUM(CdTrp1!B20:Y20)/24</f>
        <v>0</v>
      </c>
      <c r="AD73" s="15"/>
    </row>
    <row r="74" spans="1:49" x14ac:dyDescent="0.25">
      <c r="B74" s="186" t="str">
        <f>CdTrp1!A58</f>
        <v>lot7</v>
      </c>
      <c r="C74" s="173">
        <f>IF($AA74=0,99,IF(C87&gt;3,CdTrp1!B82,CdTrp1!B58))</f>
        <v>99</v>
      </c>
      <c r="D74" s="173">
        <f>IF($AA74=0,99,IF(D87&gt;3,CdTrp1!C82,CdTrp1!C58))</f>
        <v>99</v>
      </c>
      <c r="E74" s="173">
        <f>IF($AA74=0,99,IF(E87&gt;3,CdTrp1!D82,CdTrp1!D58))</f>
        <v>99</v>
      </c>
      <c r="F74" s="173">
        <f>IF($AA74=0,99,IF(F87&gt;3,CdTrp1!E82,CdTrp1!E58))</f>
        <v>99</v>
      </c>
      <c r="G74" s="173">
        <f>IF($AA74=0,99,IF(G87&gt;3,CdTrp1!F82,CdTrp1!F58))</f>
        <v>99</v>
      </c>
      <c r="H74" s="173">
        <f>IF($AA74=0,99,IF(H87&gt;3,CdTrp1!G82,CdTrp1!G58))</f>
        <v>99</v>
      </c>
      <c r="I74" s="173">
        <f>IF($AA74=0,99,IF(I87&gt;3,CdTrp1!H82,CdTrp1!H58))</f>
        <v>99</v>
      </c>
      <c r="J74" s="173">
        <f>IF($AA74=0,99,IF(J87&gt;3,CdTrp1!I82,CdTrp1!I58))</f>
        <v>99</v>
      </c>
      <c r="K74" s="173">
        <f>IF($AA74=0,99,IF(K87&gt;3,CdTrp1!J82,CdTrp1!J58))</f>
        <v>99</v>
      </c>
      <c r="L74" s="173">
        <f>IF($AA74=0,99,IF(L87&gt;3,CdTrp1!K82,CdTrp1!K58))</f>
        <v>99</v>
      </c>
      <c r="M74" s="173">
        <f>IF($AA74=0,99,IF(M87&gt;3,CdTrp1!L82,CdTrp1!L58))</f>
        <v>99</v>
      </c>
      <c r="N74" s="173">
        <f>IF($AA74=0,99,IF(N87&gt;3,CdTrp1!M82,CdTrp1!M58))</f>
        <v>99</v>
      </c>
      <c r="O74" s="173">
        <f>IF($AA74=0,99,IF(O87&gt;3,CdTrp1!N82,CdTrp1!N58))</f>
        <v>99</v>
      </c>
      <c r="P74" s="173">
        <f>IF($AA74=0,99,IF(P87&gt;3,CdTrp1!O82,CdTrp1!O58))</f>
        <v>99</v>
      </c>
      <c r="Q74" s="173">
        <f>IF($AA74=0,99,IF(Q87&gt;3,CdTrp1!P82,CdTrp1!P58))</f>
        <v>99</v>
      </c>
      <c r="R74" s="173">
        <f>IF($AA74=0,99,IF(R87&gt;3,CdTrp1!Q82,CdTrp1!Q58))</f>
        <v>99</v>
      </c>
      <c r="S74" s="173">
        <f>IF($AA74=0,99,IF(S87&gt;3,CdTrp1!R82,CdTrp1!R58))</f>
        <v>99</v>
      </c>
      <c r="T74" s="173">
        <f>IF($AA74=0,99,IF(T87&gt;3,CdTrp1!S82,CdTrp1!S58))</f>
        <v>99</v>
      </c>
      <c r="U74" s="173">
        <f>IF($AA74=0,99,IF(U87&gt;3,CdTrp1!T82,CdTrp1!T58))</f>
        <v>99</v>
      </c>
      <c r="V74" s="173">
        <f>IF($AA74=0,99,IF(V87&gt;3,CdTrp1!U82,CdTrp1!U58))</f>
        <v>99</v>
      </c>
      <c r="W74" s="173">
        <f>IF($AA74=0,99,IF(W87&gt;3,CdTrp1!V82,CdTrp1!V58))</f>
        <v>99</v>
      </c>
      <c r="X74" s="173">
        <f>IF($AA74=0,99,IF(X87&gt;3,CdTrp1!W82,CdTrp1!W58))</f>
        <v>99</v>
      </c>
      <c r="Y74" s="173">
        <f>IF($AA74=0,99,IF(Y87&gt;3,CdTrp1!X82,CdTrp1!X58))</f>
        <v>99</v>
      </c>
      <c r="Z74" s="173">
        <f>IF($AA74=0,99,IF(Z87&gt;3,CdTrp1!Y82,CdTrp1!Y58))</f>
        <v>99</v>
      </c>
      <c r="AA74" s="182">
        <f>SUM(CdTrp1!B21:Y21)/24</f>
        <v>0</v>
      </c>
    </row>
    <row r="75" spans="1:49" x14ac:dyDescent="0.25">
      <c r="B75" s="186" t="str">
        <f>CdTrp1!A59</f>
        <v>lot8</v>
      </c>
      <c r="C75" s="173">
        <f>IF($AA75=0,99,IF(C88&gt;3,CdTrp1!B83,CdTrp1!B59))</f>
        <v>99</v>
      </c>
      <c r="D75" s="173">
        <f>IF($AA75=0,99,IF(D88&gt;3,CdTrp1!C83,CdTrp1!C59))</f>
        <v>99</v>
      </c>
      <c r="E75" s="173">
        <f>IF($AA75=0,99,IF(E88&gt;3,CdTrp1!D83,CdTrp1!D59))</f>
        <v>99</v>
      </c>
      <c r="F75" s="173">
        <f>IF($AA75=0,99,IF(F88&gt;3,CdTrp1!E83,CdTrp1!E59))</f>
        <v>99</v>
      </c>
      <c r="G75" s="173">
        <f>IF($AA75=0,99,IF(G88&gt;3,CdTrp1!F83,CdTrp1!F59))</f>
        <v>99</v>
      </c>
      <c r="H75" s="173">
        <f>IF($AA75=0,99,IF(H88&gt;3,CdTrp1!G83,CdTrp1!G59))</f>
        <v>99</v>
      </c>
      <c r="I75" s="173">
        <f>IF($AA75=0,99,IF(I88&gt;3,CdTrp1!H83,CdTrp1!H59))</f>
        <v>99</v>
      </c>
      <c r="J75" s="173">
        <f>IF($AA75=0,99,IF(J88&gt;3,CdTrp1!I83,CdTrp1!I59))</f>
        <v>99</v>
      </c>
      <c r="K75" s="173">
        <f>IF($AA75=0,99,IF(K88&gt;3,CdTrp1!J83,CdTrp1!J59))</f>
        <v>99</v>
      </c>
      <c r="L75" s="173">
        <f>IF($AA75=0,99,IF(L88&gt;3,CdTrp1!K83,CdTrp1!K59))</f>
        <v>99</v>
      </c>
      <c r="M75" s="173">
        <f>IF($AA75=0,99,IF(M88&gt;3,CdTrp1!L83,CdTrp1!L59))</f>
        <v>99</v>
      </c>
      <c r="N75" s="173">
        <f>IF($AA75=0,99,IF(N88&gt;3,CdTrp1!M83,CdTrp1!M59))</f>
        <v>99</v>
      </c>
      <c r="O75" s="173">
        <f>IF($AA75=0,99,IF(O88&gt;3,CdTrp1!N83,CdTrp1!N59))</f>
        <v>99</v>
      </c>
      <c r="P75" s="173">
        <f>IF($AA75=0,99,IF(P88&gt;3,CdTrp1!O83,CdTrp1!O59))</f>
        <v>99</v>
      </c>
      <c r="Q75" s="173">
        <f>IF($AA75=0,99,IF(Q88&gt;3,CdTrp1!P83,CdTrp1!P59))</f>
        <v>99</v>
      </c>
      <c r="R75" s="173">
        <f>IF($AA75=0,99,IF(R88&gt;3,CdTrp1!Q83,CdTrp1!Q59))</f>
        <v>99</v>
      </c>
      <c r="S75" s="173">
        <f>IF($AA75=0,99,IF(S88&gt;3,CdTrp1!R83,CdTrp1!R59))</f>
        <v>99</v>
      </c>
      <c r="T75" s="173">
        <f>IF($AA75=0,99,IF(T88&gt;3,CdTrp1!S83,CdTrp1!S59))</f>
        <v>99</v>
      </c>
      <c r="U75" s="173">
        <f>IF($AA75=0,99,IF(U88&gt;3,CdTrp1!T83,CdTrp1!T59))</f>
        <v>99</v>
      </c>
      <c r="V75" s="173">
        <f>IF($AA75=0,99,IF(V88&gt;3,CdTrp1!U83,CdTrp1!U59))</f>
        <v>99</v>
      </c>
      <c r="W75" s="173">
        <f>IF($AA75=0,99,IF(W88&gt;3,CdTrp1!V83,CdTrp1!V59))</f>
        <v>99</v>
      </c>
      <c r="X75" s="173">
        <f>IF($AA75=0,99,IF(X88&gt;3,CdTrp1!W83,CdTrp1!W59))</f>
        <v>99</v>
      </c>
      <c r="Y75" s="173">
        <f>IF($AA75=0,99,IF(Y88&gt;3,CdTrp1!X83,CdTrp1!X59))</f>
        <v>99</v>
      </c>
      <c r="Z75" s="173">
        <f>IF($AA75=0,99,IF(Z88&gt;3,CdTrp1!Y83,CdTrp1!Y59))</f>
        <v>99</v>
      </c>
      <c r="AA75" s="182">
        <f>SUM(CdTrp1!B22:Y22)/24</f>
        <v>0</v>
      </c>
    </row>
    <row r="76" spans="1:49" x14ac:dyDescent="0.25">
      <c r="B76" s="30" t="str">
        <f>CdTrp1!A60</f>
        <v>lot9</v>
      </c>
      <c r="C76" s="173">
        <f>IF($AA76=0,99,IF(C89&gt;3,CdTrp1!B84,CdTrp1!B60))</f>
        <v>99</v>
      </c>
      <c r="D76" s="173">
        <f>IF($AA76=0,99,IF(D89&gt;3,CdTrp1!C84,CdTrp1!C60))</f>
        <v>99</v>
      </c>
      <c r="E76" s="173">
        <f>IF($AA76=0,99,IF(E89&gt;3,CdTrp1!D84,CdTrp1!D60))</f>
        <v>99</v>
      </c>
      <c r="F76" s="173">
        <f>IF($AA76=0,99,IF(F89&gt;3,CdTrp1!E84,CdTrp1!E60))</f>
        <v>99</v>
      </c>
      <c r="G76" s="173">
        <f>IF($AA76=0,99,IF(G89&gt;3,CdTrp1!F84,CdTrp1!F60))</f>
        <v>99</v>
      </c>
      <c r="H76" s="173">
        <f>IF($AA76=0,99,IF(H89&gt;3,CdTrp1!G84,CdTrp1!G60))</f>
        <v>99</v>
      </c>
      <c r="I76" s="173">
        <f>IF($AA76=0,99,IF(I89&gt;3,CdTrp1!H84,CdTrp1!H60))</f>
        <v>99</v>
      </c>
      <c r="J76" s="173">
        <f>IF($AA76=0,99,IF(J89&gt;3,CdTrp1!I84,CdTrp1!I60))</f>
        <v>99</v>
      </c>
      <c r="K76" s="173">
        <f>IF($AA76=0,99,IF(K89&gt;3,CdTrp1!J84,CdTrp1!J60))</f>
        <v>99</v>
      </c>
      <c r="L76" s="173">
        <f>IF($AA76=0,99,IF(L89&gt;3,CdTrp1!K84,CdTrp1!K60))</f>
        <v>99</v>
      </c>
      <c r="M76" s="173">
        <f>IF($AA76=0,99,IF(M89&gt;3,CdTrp1!L84,CdTrp1!L60))</f>
        <v>99</v>
      </c>
      <c r="N76" s="173">
        <f>IF($AA76=0,99,IF(N89&gt;3,CdTrp1!M84,CdTrp1!M60))</f>
        <v>99</v>
      </c>
      <c r="O76" s="173">
        <f>IF($AA76=0,99,IF(O89&gt;3,CdTrp1!N84,CdTrp1!N60))</f>
        <v>99</v>
      </c>
      <c r="P76" s="173">
        <f>IF($AA76=0,99,IF(P89&gt;3,CdTrp1!O84,CdTrp1!O60))</f>
        <v>99</v>
      </c>
      <c r="Q76" s="173">
        <f>IF($AA76=0,99,IF(Q89&gt;3,CdTrp1!P84,CdTrp1!P60))</f>
        <v>99</v>
      </c>
      <c r="R76" s="173">
        <f>IF($AA76=0,99,IF(R89&gt;3,CdTrp1!Q84,CdTrp1!Q60))</f>
        <v>99</v>
      </c>
      <c r="S76" s="173">
        <f>IF($AA76=0,99,IF(S89&gt;3,CdTrp1!R84,CdTrp1!R60))</f>
        <v>99</v>
      </c>
      <c r="T76" s="173">
        <f>IF($AA76=0,99,IF(T89&gt;3,CdTrp1!S84,CdTrp1!S60))</f>
        <v>99</v>
      </c>
      <c r="U76" s="173">
        <f>IF($AA76=0,99,IF(U89&gt;3,CdTrp1!T84,CdTrp1!T60))</f>
        <v>99</v>
      </c>
      <c r="V76" s="173">
        <f>IF($AA76=0,99,IF(V89&gt;3,CdTrp1!U84,CdTrp1!U60))</f>
        <v>99</v>
      </c>
      <c r="W76" s="173">
        <f>IF($AA76=0,99,IF(W89&gt;3,CdTrp1!V84,CdTrp1!V60))</f>
        <v>99</v>
      </c>
      <c r="X76" s="173">
        <f>IF($AA76=0,99,IF(X89&gt;3,CdTrp1!W84,CdTrp1!W60))</f>
        <v>99</v>
      </c>
      <c r="Y76" s="173">
        <f>IF($AA76=0,99,IF(Y89&gt;3,CdTrp1!X84,CdTrp1!X60))</f>
        <v>99</v>
      </c>
      <c r="Z76" s="173">
        <f>IF($AA76=0,99,IF(Z89&gt;3,CdTrp1!Y84,CdTrp1!Y60))</f>
        <v>99</v>
      </c>
      <c r="AA76" s="182">
        <f>SUM(CdTrp1!B23:Y23)/24</f>
        <v>0</v>
      </c>
    </row>
    <row r="77" spans="1:49" x14ac:dyDescent="0.25">
      <c r="B77" s="186" t="str">
        <f>CdTrp1!A61</f>
        <v>lot10</v>
      </c>
      <c r="C77" s="173">
        <f>IF($AA77=0,99,IF(C90&gt;3,CdTrp1!B85,CdTrp1!B61))</f>
        <v>99</v>
      </c>
      <c r="D77" s="173">
        <f>IF($AA77=0,99,IF(D90&gt;3,CdTrp1!C85,CdTrp1!C61))</f>
        <v>99</v>
      </c>
      <c r="E77" s="173">
        <f>IF($AA77=0,99,IF(E90&gt;3,CdTrp1!D85,CdTrp1!D61))</f>
        <v>99</v>
      </c>
      <c r="F77" s="173">
        <f>IF($AA77=0,99,IF(F90&gt;3,CdTrp1!E85,CdTrp1!E61))</f>
        <v>99</v>
      </c>
      <c r="G77" s="173">
        <f>IF($AA77=0,99,IF(G90&gt;3,CdTrp1!F85,CdTrp1!F61))</f>
        <v>99</v>
      </c>
      <c r="H77" s="173">
        <f>IF($AA77=0,99,IF(H90&gt;3,CdTrp1!G85,CdTrp1!G61))</f>
        <v>99</v>
      </c>
      <c r="I77" s="173">
        <f>IF($AA77=0,99,IF(I90&gt;3,CdTrp1!H85,CdTrp1!H61))</f>
        <v>99</v>
      </c>
      <c r="J77" s="173">
        <f>IF($AA77=0,99,IF(J90&gt;3,CdTrp1!I85,CdTrp1!I61))</f>
        <v>99</v>
      </c>
      <c r="K77" s="173">
        <f>IF($AA77=0,99,IF(K90&gt;3,CdTrp1!J85,CdTrp1!J61))</f>
        <v>99</v>
      </c>
      <c r="L77" s="173">
        <f>IF($AA77=0,99,IF(L90&gt;3,CdTrp1!K85,CdTrp1!K61))</f>
        <v>99</v>
      </c>
      <c r="M77" s="173">
        <f>IF($AA77=0,99,IF(M90&gt;3,CdTrp1!L85,CdTrp1!L61))</f>
        <v>99</v>
      </c>
      <c r="N77" s="173">
        <f>IF($AA77=0,99,IF(N90&gt;3,CdTrp1!M85,CdTrp1!M61))</f>
        <v>99</v>
      </c>
      <c r="O77" s="173">
        <f>IF($AA77=0,99,IF(O90&gt;3,CdTrp1!N85,CdTrp1!N61))</f>
        <v>99</v>
      </c>
      <c r="P77" s="173">
        <f>IF($AA77=0,99,IF(P90&gt;3,CdTrp1!O85,CdTrp1!O61))</f>
        <v>99</v>
      </c>
      <c r="Q77" s="173">
        <f>IF($AA77=0,99,IF(Q90&gt;3,CdTrp1!P85,CdTrp1!P61))</f>
        <v>99</v>
      </c>
      <c r="R77" s="173">
        <f>IF($AA77=0,99,IF(R90&gt;3,CdTrp1!Q85,CdTrp1!Q61))</f>
        <v>99</v>
      </c>
      <c r="S77" s="173">
        <f>IF($AA77=0,99,IF(S90&gt;3,CdTrp1!R85,CdTrp1!R61))</f>
        <v>99</v>
      </c>
      <c r="T77" s="173">
        <f>IF($AA77=0,99,IF(T90&gt;3,CdTrp1!S85,CdTrp1!S61))</f>
        <v>99</v>
      </c>
      <c r="U77" s="173">
        <f>IF($AA77=0,99,IF(U90&gt;3,CdTrp1!T85,CdTrp1!T61))</f>
        <v>99</v>
      </c>
      <c r="V77" s="173">
        <f>IF($AA77=0,99,IF(V90&gt;3,CdTrp1!U85,CdTrp1!U61))</f>
        <v>99</v>
      </c>
      <c r="W77" s="173">
        <f>IF($AA77=0,99,IF(W90&gt;3,CdTrp1!V85,CdTrp1!V61))</f>
        <v>99</v>
      </c>
      <c r="X77" s="173">
        <f>IF($AA77=0,99,IF(X90&gt;3,CdTrp1!W85,CdTrp1!W61))</f>
        <v>99</v>
      </c>
      <c r="Y77" s="173">
        <f>IF($AA77=0,99,IF(Y90&gt;3,CdTrp1!X85,CdTrp1!X61))</f>
        <v>99</v>
      </c>
      <c r="Z77" s="173">
        <f>IF($AA77=0,99,IF(Z90&gt;3,CdTrp1!Y85,CdTrp1!Y61))</f>
        <v>99</v>
      </c>
      <c r="AA77" s="182">
        <f>SUM(CdTrp1!B24:Y24)/24</f>
        <v>0</v>
      </c>
    </row>
    <row r="78" spans="1:49" x14ac:dyDescent="0.25">
      <c r="B78" s="183"/>
      <c r="AC78">
        <v>0</v>
      </c>
    </row>
    <row r="79" spans="1:49" x14ac:dyDescent="0.25">
      <c r="AC79">
        <v>1</v>
      </c>
    </row>
    <row r="80" spans="1:49" x14ac:dyDescent="0.25">
      <c r="A80" s="40" t="s">
        <v>94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742</v>
      </c>
      <c r="B81" s="30" t="str">
        <f>CdTrp1!A76</f>
        <v>brebis</v>
      </c>
      <c r="C81" s="173">
        <f>CdTrp1!B76</f>
        <v>0</v>
      </c>
      <c r="D81" s="173">
        <f>CdTrp1!C76</f>
        <v>0</v>
      </c>
      <c r="E81" s="173">
        <f>CdTrp1!D76</f>
        <v>0</v>
      </c>
      <c r="F81" s="173">
        <f>CdTrp1!E76</f>
        <v>1</v>
      </c>
      <c r="G81" s="173">
        <f>CdTrp1!F76</f>
        <v>1</v>
      </c>
      <c r="H81" s="173">
        <f>CdTrp1!G76</f>
        <v>1</v>
      </c>
      <c r="I81" s="173">
        <f>CdTrp1!H76</f>
        <v>1</v>
      </c>
      <c r="J81" s="173">
        <f>CdTrp1!I76</f>
        <v>1</v>
      </c>
      <c r="K81" s="173">
        <f>CdTrp1!J76</f>
        <v>1</v>
      </c>
      <c r="L81" s="173">
        <f>CdTrp1!K76</f>
        <v>1</v>
      </c>
      <c r="M81" s="173">
        <f>CdTrp1!L76</f>
        <v>1</v>
      </c>
      <c r="N81" s="173">
        <f>CdTrp1!M76</f>
        <v>5</v>
      </c>
      <c r="O81" s="173">
        <f>CdTrp1!N76</f>
        <v>5</v>
      </c>
      <c r="P81" s="173">
        <f>CdTrp1!O76</f>
        <v>5</v>
      </c>
      <c r="Q81" s="173">
        <f>CdTrp1!P76</f>
        <v>5</v>
      </c>
      <c r="R81" s="173">
        <f>CdTrp1!Q76</f>
        <v>5</v>
      </c>
      <c r="S81" s="173">
        <f>CdTrp1!R76</f>
        <v>5</v>
      </c>
      <c r="T81" s="173">
        <f>CdTrp1!S76</f>
        <v>5</v>
      </c>
      <c r="U81" s="173">
        <f>CdTrp1!T76</f>
        <v>1</v>
      </c>
      <c r="V81" s="173">
        <f>CdTrp1!U76</f>
        <v>1</v>
      </c>
      <c r="W81" s="173">
        <f>CdTrp1!V76</f>
        <v>0</v>
      </c>
      <c r="X81" s="173">
        <f>CdTrp1!W76</f>
        <v>0</v>
      </c>
      <c r="Y81" s="173">
        <f>CdTrp1!X76</f>
        <v>0</v>
      </c>
      <c r="Z81" s="173">
        <f>CdTrp1!Y76</f>
        <v>0</v>
      </c>
      <c r="AC81">
        <v>3</v>
      </c>
    </row>
    <row r="82" spans="1:29" x14ac:dyDescent="0.25">
      <c r="B82" s="186" t="str">
        <f>CdTrp1!A77</f>
        <v>vides</v>
      </c>
      <c r="C82" s="173">
        <f>CdTrp1!B77</f>
        <v>2</v>
      </c>
      <c r="D82" s="173">
        <f>CdTrp1!C77</f>
        <v>2</v>
      </c>
      <c r="E82" s="173">
        <f>CdTrp1!D77</f>
        <v>2</v>
      </c>
      <c r="F82" s="173">
        <f>CdTrp1!E77</f>
        <v>2</v>
      </c>
      <c r="G82" s="173">
        <f>CdTrp1!F77</f>
        <v>3</v>
      </c>
      <c r="H82" s="173">
        <f>CdTrp1!G77</f>
        <v>3</v>
      </c>
      <c r="I82" s="173">
        <f>CdTrp1!H77</f>
        <v>3</v>
      </c>
      <c r="J82" s="173">
        <f>CdTrp1!I77</f>
        <v>3</v>
      </c>
      <c r="K82" s="173">
        <f>CdTrp1!J77</f>
        <v>3</v>
      </c>
      <c r="L82" s="173">
        <f>CdTrp1!K77</f>
        <v>0</v>
      </c>
      <c r="M82" s="173">
        <f>CdTrp1!L77</f>
        <v>0</v>
      </c>
      <c r="N82" s="173">
        <f>CdTrp1!M77</f>
        <v>0</v>
      </c>
      <c r="O82" s="173">
        <f>CdTrp1!N77</f>
        <v>0</v>
      </c>
      <c r="P82" s="173">
        <f>CdTrp1!O77</f>
        <v>0</v>
      </c>
      <c r="Q82" s="173">
        <f>CdTrp1!P77</f>
        <v>0</v>
      </c>
      <c r="R82" s="173">
        <f>CdTrp1!Q77</f>
        <v>0</v>
      </c>
      <c r="S82" s="173">
        <f>CdTrp1!R77</f>
        <v>0</v>
      </c>
      <c r="T82" s="173">
        <f>CdTrp1!S77</f>
        <v>0</v>
      </c>
      <c r="U82" s="173">
        <f>CdTrp1!T77</f>
        <v>0</v>
      </c>
      <c r="V82" s="173">
        <f>CdTrp1!U77</f>
        <v>3</v>
      </c>
      <c r="W82" s="173">
        <f>CdTrp1!V77</f>
        <v>3</v>
      </c>
      <c r="X82" s="173">
        <f>CdTrp1!W77</f>
        <v>3</v>
      </c>
      <c r="Y82" s="173">
        <f>CdTrp1!X77</f>
        <v>3</v>
      </c>
      <c r="Z82" s="173">
        <f>CdTrp1!Y77</f>
        <v>2</v>
      </c>
      <c r="AC82">
        <v>4</v>
      </c>
    </row>
    <row r="83" spans="1:29" x14ac:dyDescent="0.25">
      <c r="B83" s="186" t="str">
        <f>CdTrp1!A78</f>
        <v>agnelles</v>
      </c>
      <c r="C83" s="173">
        <f>CdTrp1!B78</f>
        <v>0</v>
      </c>
      <c r="D83" s="173">
        <f>CdTrp1!C78</f>
        <v>0</v>
      </c>
      <c r="E83" s="173">
        <f>CdTrp1!D78</f>
        <v>1</v>
      </c>
      <c r="F83" s="173">
        <f>CdTrp1!E78</f>
        <v>1</v>
      </c>
      <c r="G83" s="173">
        <f>CdTrp1!F78</f>
        <v>1</v>
      </c>
      <c r="H83" s="173">
        <f>CdTrp1!G78</f>
        <v>1</v>
      </c>
      <c r="I83" s="173">
        <f>CdTrp1!H78</f>
        <v>1</v>
      </c>
      <c r="J83" s="173">
        <f>CdTrp1!I78</f>
        <v>1</v>
      </c>
      <c r="K83" s="173">
        <f>CdTrp1!J78</f>
        <v>1</v>
      </c>
      <c r="L83" s="173">
        <f>CdTrp1!K78</f>
        <v>1</v>
      </c>
      <c r="M83" s="173">
        <f>CdTrp1!L78</f>
        <v>1</v>
      </c>
      <c r="N83" s="173">
        <f>CdTrp1!M78</f>
        <v>1</v>
      </c>
      <c r="O83" s="173">
        <f>CdTrp1!N78</f>
        <v>1</v>
      </c>
      <c r="P83" s="173">
        <f>CdTrp1!O78</f>
        <v>1</v>
      </c>
      <c r="Q83" s="173">
        <f>CdTrp1!P78</f>
        <v>1</v>
      </c>
      <c r="R83" s="173">
        <f>CdTrp1!Q78</f>
        <v>1</v>
      </c>
      <c r="S83" s="173">
        <f>CdTrp1!R78</f>
        <v>1</v>
      </c>
      <c r="T83" s="173">
        <f>CdTrp1!S78</f>
        <v>1</v>
      </c>
      <c r="U83" s="173">
        <f>CdTrp1!T78</f>
        <v>1</v>
      </c>
      <c r="V83" s="173">
        <f>CdTrp1!U78</f>
        <v>0</v>
      </c>
      <c r="W83" s="173">
        <f>CdTrp1!V78</f>
        <v>0</v>
      </c>
      <c r="X83" s="173">
        <f>CdTrp1!W78</f>
        <v>0</v>
      </c>
      <c r="Y83" s="173">
        <f>CdTrp1!X78</f>
        <v>0</v>
      </c>
      <c r="Z83" s="173">
        <f>CdTrp1!Y78</f>
        <v>0</v>
      </c>
      <c r="AC83">
        <v>5</v>
      </c>
    </row>
    <row r="84" spans="1:29" x14ac:dyDescent="0.25">
      <c r="B84" s="30" t="str">
        <f>CdTrp1!A79</f>
        <v>beliers</v>
      </c>
      <c r="C84" s="173">
        <f>CdTrp1!B79</f>
        <v>2</v>
      </c>
      <c r="D84" s="173">
        <f>CdTrp1!C79</f>
        <v>2</v>
      </c>
      <c r="E84" s="173">
        <f>CdTrp1!D79</f>
        <v>2</v>
      </c>
      <c r="F84" s="173">
        <f>CdTrp1!E79</f>
        <v>2</v>
      </c>
      <c r="G84" s="173">
        <f>CdTrp1!F79</f>
        <v>2</v>
      </c>
      <c r="H84" s="173">
        <f>CdTrp1!G79</f>
        <v>2</v>
      </c>
      <c r="I84" s="173">
        <f>CdTrp1!H79</f>
        <v>2</v>
      </c>
      <c r="J84" s="173">
        <f>CdTrp1!I79</f>
        <v>2</v>
      </c>
      <c r="K84" s="173">
        <f>CdTrp1!J79</f>
        <v>1</v>
      </c>
      <c r="L84" s="173">
        <f>CdTrp1!K79</f>
        <v>0</v>
      </c>
      <c r="M84" s="173">
        <f>CdTrp1!L79</f>
        <v>0</v>
      </c>
      <c r="N84" s="173">
        <f>CdTrp1!M79</f>
        <v>0</v>
      </c>
      <c r="O84" s="173">
        <f>CdTrp1!N79</f>
        <v>0</v>
      </c>
      <c r="P84" s="173">
        <f>CdTrp1!O79</f>
        <v>0</v>
      </c>
      <c r="Q84" s="173">
        <f>CdTrp1!P79</f>
        <v>0</v>
      </c>
      <c r="R84" s="173">
        <f>CdTrp1!Q79</f>
        <v>0</v>
      </c>
      <c r="S84" s="173">
        <f>CdTrp1!R79</f>
        <v>0</v>
      </c>
      <c r="T84" s="173">
        <f>CdTrp1!S79</f>
        <v>0</v>
      </c>
      <c r="U84" s="173">
        <f>CdTrp1!T79</f>
        <v>0</v>
      </c>
      <c r="V84" s="173">
        <f>CdTrp1!U79</f>
        <v>2</v>
      </c>
      <c r="W84" s="173">
        <f>CdTrp1!V79</f>
        <v>2</v>
      </c>
      <c r="X84" s="173">
        <f>CdTrp1!W79</f>
        <v>2</v>
      </c>
      <c r="Y84" s="173">
        <f>CdTrp1!X79</f>
        <v>2</v>
      </c>
      <c r="Z84" s="173">
        <f>CdTrp1!Y79</f>
        <v>2</v>
      </c>
    </row>
    <row r="85" spans="1:29" x14ac:dyDescent="0.25">
      <c r="B85" s="186" t="str">
        <f>CdTrp1!A80</f>
        <v>lot5</v>
      </c>
      <c r="C85" s="173">
        <f>CdTrp1!B80</f>
        <v>0</v>
      </c>
      <c r="D85" s="173">
        <f>CdTrp1!C80</f>
        <v>0</v>
      </c>
      <c r="E85" s="173">
        <f>CdTrp1!D80</f>
        <v>0</v>
      </c>
      <c r="F85" s="173">
        <f>CdTrp1!E80</f>
        <v>0</v>
      </c>
      <c r="G85" s="173">
        <f>CdTrp1!F80</f>
        <v>0</v>
      </c>
      <c r="H85" s="173">
        <f>CdTrp1!G80</f>
        <v>0</v>
      </c>
      <c r="I85" s="173">
        <f>CdTrp1!H80</f>
        <v>0</v>
      </c>
      <c r="J85" s="173">
        <f>CdTrp1!I80</f>
        <v>0</v>
      </c>
      <c r="K85" s="173">
        <f>CdTrp1!J80</f>
        <v>0</v>
      </c>
      <c r="L85" s="173">
        <f>CdTrp1!K80</f>
        <v>0</v>
      </c>
      <c r="M85" s="173">
        <f>CdTrp1!L80</f>
        <v>0</v>
      </c>
      <c r="N85" s="173">
        <f>CdTrp1!M80</f>
        <v>0</v>
      </c>
      <c r="O85" s="173">
        <f>CdTrp1!N80</f>
        <v>0</v>
      </c>
      <c r="P85" s="173">
        <f>CdTrp1!O80</f>
        <v>0</v>
      </c>
      <c r="Q85" s="173">
        <f>CdTrp1!P80</f>
        <v>0</v>
      </c>
      <c r="R85" s="173">
        <f>CdTrp1!Q80</f>
        <v>0</v>
      </c>
      <c r="S85" s="173">
        <f>CdTrp1!R80</f>
        <v>0</v>
      </c>
      <c r="T85" s="173">
        <f>CdTrp1!S80</f>
        <v>0</v>
      </c>
      <c r="U85" s="173">
        <f>CdTrp1!T80</f>
        <v>0</v>
      </c>
      <c r="V85" s="173">
        <f>CdTrp1!U80</f>
        <v>0</v>
      </c>
      <c r="W85" s="173">
        <f>CdTrp1!V80</f>
        <v>0</v>
      </c>
      <c r="X85" s="173">
        <f>CdTrp1!W80</f>
        <v>0</v>
      </c>
      <c r="Y85" s="173">
        <f>CdTrp1!X80</f>
        <v>0</v>
      </c>
      <c r="Z85" s="173">
        <f>CdTrp1!Y80</f>
        <v>0</v>
      </c>
    </row>
    <row r="86" spans="1:29" x14ac:dyDescent="0.25">
      <c r="B86" s="30" t="str">
        <f>CdTrp1!A81</f>
        <v>lot6</v>
      </c>
      <c r="C86" s="173">
        <f>CdTrp1!B81</f>
        <v>0</v>
      </c>
      <c r="D86" s="173">
        <f>CdTrp1!C81</f>
        <v>0</v>
      </c>
      <c r="E86" s="173">
        <f>CdTrp1!D81</f>
        <v>0</v>
      </c>
      <c r="F86" s="173">
        <f>CdTrp1!E81</f>
        <v>0</v>
      </c>
      <c r="G86" s="173">
        <f>CdTrp1!F81</f>
        <v>0</v>
      </c>
      <c r="H86" s="173">
        <f>CdTrp1!G81</f>
        <v>0</v>
      </c>
      <c r="I86" s="173">
        <f>CdTrp1!H81</f>
        <v>0</v>
      </c>
      <c r="J86" s="173">
        <f>CdTrp1!I81</f>
        <v>0</v>
      </c>
      <c r="K86" s="173">
        <f>CdTrp1!J81</f>
        <v>0</v>
      </c>
      <c r="L86" s="173">
        <f>CdTrp1!K81</f>
        <v>0</v>
      </c>
      <c r="M86" s="173">
        <f>CdTrp1!L81</f>
        <v>0</v>
      </c>
      <c r="N86" s="173">
        <f>CdTrp1!M81</f>
        <v>0</v>
      </c>
      <c r="O86" s="173">
        <f>CdTrp1!N81</f>
        <v>0</v>
      </c>
      <c r="P86" s="173">
        <f>CdTrp1!O81</f>
        <v>0</v>
      </c>
      <c r="Q86" s="173">
        <f>CdTrp1!P81</f>
        <v>0</v>
      </c>
      <c r="R86" s="173">
        <f>CdTrp1!Q81</f>
        <v>0</v>
      </c>
      <c r="S86" s="173">
        <f>CdTrp1!R81</f>
        <v>0</v>
      </c>
      <c r="T86" s="173">
        <f>CdTrp1!S81</f>
        <v>0</v>
      </c>
      <c r="U86" s="173">
        <f>CdTrp1!T81</f>
        <v>0</v>
      </c>
      <c r="V86" s="173">
        <f>CdTrp1!U81</f>
        <v>0</v>
      </c>
      <c r="W86" s="173">
        <f>CdTrp1!V81</f>
        <v>0</v>
      </c>
      <c r="X86" s="173">
        <f>CdTrp1!W81</f>
        <v>0</v>
      </c>
      <c r="Y86" s="173">
        <f>CdTrp1!X81</f>
        <v>0</v>
      </c>
      <c r="Z86" s="173">
        <f>CdTrp1!Y81</f>
        <v>0</v>
      </c>
    </row>
    <row r="87" spans="1:29" x14ac:dyDescent="0.25">
      <c r="B87" s="186" t="str">
        <f>CdTrp1!A82</f>
        <v>lot7</v>
      </c>
      <c r="C87" s="173">
        <f>CdTrp1!B82</f>
        <v>0</v>
      </c>
      <c r="D87" s="173">
        <f>CdTrp1!C82</f>
        <v>0</v>
      </c>
      <c r="E87" s="173">
        <f>CdTrp1!D82</f>
        <v>0</v>
      </c>
      <c r="F87" s="173">
        <f>CdTrp1!E82</f>
        <v>0</v>
      </c>
      <c r="G87" s="173">
        <f>CdTrp1!F82</f>
        <v>0</v>
      </c>
      <c r="H87" s="173">
        <f>CdTrp1!G82</f>
        <v>0</v>
      </c>
      <c r="I87" s="173">
        <f>CdTrp1!H82</f>
        <v>0</v>
      </c>
      <c r="J87" s="173">
        <f>CdTrp1!I82</f>
        <v>0</v>
      </c>
      <c r="K87" s="173">
        <f>CdTrp1!J82</f>
        <v>0</v>
      </c>
      <c r="L87" s="173">
        <f>CdTrp1!K82</f>
        <v>0</v>
      </c>
      <c r="M87" s="173">
        <f>CdTrp1!L82</f>
        <v>0</v>
      </c>
      <c r="N87" s="173">
        <f>CdTrp1!M82</f>
        <v>0</v>
      </c>
      <c r="O87" s="173">
        <f>CdTrp1!N82</f>
        <v>0</v>
      </c>
      <c r="P87" s="173">
        <f>CdTrp1!O82</f>
        <v>0</v>
      </c>
      <c r="Q87" s="173">
        <f>CdTrp1!P82</f>
        <v>0</v>
      </c>
      <c r="R87" s="173">
        <f>CdTrp1!Q82</f>
        <v>0</v>
      </c>
      <c r="S87" s="173">
        <f>CdTrp1!R82</f>
        <v>0</v>
      </c>
      <c r="T87" s="173">
        <f>CdTrp1!S82</f>
        <v>0</v>
      </c>
      <c r="U87" s="173">
        <f>CdTrp1!T82</f>
        <v>0</v>
      </c>
      <c r="V87" s="173">
        <f>CdTrp1!U82</f>
        <v>0</v>
      </c>
      <c r="W87" s="173">
        <f>CdTrp1!V82</f>
        <v>0</v>
      </c>
      <c r="X87" s="173">
        <f>CdTrp1!W82</f>
        <v>0</v>
      </c>
      <c r="Y87" s="173">
        <f>CdTrp1!X82</f>
        <v>0</v>
      </c>
      <c r="Z87" s="173">
        <f>CdTrp1!Y82</f>
        <v>0</v>
      </c>
    </row>
    <row r="88" spans="1:29" x14ac:dyDescent="0.25">
      <c r="B88" s="186" t="str">
        <f>CdTrp1!A83</f>
        <v>lot8</v>
      </c>
      <c r="C88" s="173">
        <f>CdTrp1!B83</f>
        <v>0</v>
      </c>
      <c r="D88" s="173">
        <f>CdTrp1!C83</f>
        <v>0</v>
      </c>
      <c r="E88" s="173">
        <f>CdTrp1!D83</f>
        <v>0</v>
      </c>
      <c r="F88" s="173">
        <f>CdTrp1!E83</f>
        <v>0</v>
      </c>
      <c r="G88" s="173">
        <f>CdTrp1!F83</f>
        <v>0</v>
      </c>
      <c r="H88" s="173">
        <f>CdTrp1!G83</f>
        <v>0</v>
      </c>
      <c r="I88" s="173">
        <f>CdTrp1!H83</f>
        <v>0</v>
      </c>
      <c r="J88" s="173">
        <f>CdTrp1!I83</f>
        <v>0</v>
      </c>
      <c r="K88" s="173">
        <f>CdTrp1!J83</f>
        <v>0</v>
      </c>
      <c r="L88" s="173">
        <f>CdTrp1!K83</f>
        <v>0</v>
      </c>
      <c r="M88" s="173">
        <f>CdTrp1!L83</f>
        <v>0</v>
      </c>
      <c r="N88" s="173">
        <f>CdTrp1!M83</f>
        <v>0</v>
      </c>
      <c r="O88" s="173">
        <f>CdTrp1!N83</f>
        <v>0</v>
      </c>
      <c r="P88" s="173">
        <f>CdTrp1!O83</f>
        <v>0</v>
      </c>
      <c r="Q88" s="173">
        <f>CdTrp1!P83</f>
        <v>0</v>
      </c>
      <c r="R88" s="173">
        <f>CdTrp1!Q83</f>
        <v>0</v>
      </c>
      <c r="S88" s="173">
        <f>CdTrp1!R83</f>
        <v>0</v>
      </c>
      <c r="T88" s="173">
        <f>CdTrp1!S83</f>
        <v>0</v>
      </c>
      <c r="U88" s="173">
        <f>CdTrp1!T83</f>
        <v>0</v>
      </c>
      <c r="V88" s="173">
        <f>CdTrp1!U83</f>
        <v>0</v>
      </c>
      <c r="W88" s="173">
        <f>CdTrp1!V83</f>
        <v>0</v>
      </c>
      <c r="X88" s="173">
        <f>CdTrp1!W83</f>
        <v>0</v>
      </c>
      <c r="Y88" s="173">
        <f>CdTrp1!X83</f>
        <v>0</v>
      </c>
      <c r="Z88" s="173">
        <f>CdTrp1!Y83</f>
        <v>0</v>
      </c>
    </row>
    <row r="89" spans="1:29" x14ac:dyDescent="0.25">
      <c r="B89" s="30" t="str">
        <f>CdTrp1!A84</f>
        <v>lot9</v>
      </c>
      <c r="C89" s="173">
        <f>CdTrp1!B84</f>
        <v>0</v>
      </c>
      <c r="D89" s="173">
        <f>CdTrp1!C84</f>
        <v>0</v>
      </c>
      <c r="E89" s="173">
        <f>CdTrp1!D84</f>
        <v>0</v>
      </c>
      <c r="F89" s="173">
        <f>CdTrp1!E84</f>
        <v>0</v>
      </c>
      <c r="G89" s="173">
        <f>CdTrp1!F84</f>
        <v>0</v>
      </c>
      <c r="H89" s="173">
        <f>CdTrp1!G84</f>
        <v>0</v>
      </c>
      <c r="I89" s="173">
        <f>CdTrp1!H84</f>
        <v>0</v>
      </c>
      <c r="J89" s="173">
        <f>CdTrp1!I84</f>
        <v>0</v>
      </c>
      <c r="K89" s="173">
        <f>CdTrp1!J84</f>
        <v>0</v>
      </c>
      <c r="L89" s="173">
        <f>CdTrp1!K84</f>
        <v>0</v>
      </c>
      <c r="M89" s="173">
        <f>CdTrp1!L84</f>
        <v>0</v>
      </c>
      <c r="N89" s="173">
        <f>CdTrp1!M84</f>
        <v>0</v>
      </c>
      <c r="O89" s="173">
        <f>CdTrp1!N84</f>
        <v>0</v>
      </c>
      <c r="P89" s="173">
        <f>CdTrp1!O84</f>
        <v>0</v>
      </c>
      <c r="Q89" s="173">
        <f>CdTrp1!P84</f>
        <v>0</v>
      </c>
      <c r="R89" s="173">
        <f>CdTrp1!Q84</f>
        <v>0</v>
      </c>
      <c r="S89" s="173">
        <f>CdTrp1!R84</f>
        <v>0</v>
      </c>
      <c r="T89" s="173">
        <f>CdTrp1!S84</f>
        <v>0</v>
      </c>
      <c r="U89" s="173">
        <f>CdTrp1!T84</f>
        <v>0</v>
      </c>
      <c r="V89" s="173">
        <f>CdTrp1!U84</f>
        <v>0</v>
      </c>
      <c r="W89" s="173">
        <f>CdTrp1!V84</f>
        <v>0</v>
      </c>
      <c r="X89" s="173">
        <f>CdTrp1!W84</f>
        <v>0</v>
      </c>
      <c r="Y89" s="173">
        <f>CdTrp1!X84</f>
        <v>0</v>
      </c>
      <c r="Z89" s="173">
        <f>CdTrp1!Y84</f>
        <v>0</v>
      </c>
    </row>
    <row r="90" spans="1:29" x14ac:dyDescent="0.25">
      <c r="B90" s="186" t="str">
        <f>CdTrp1!A85</f>
        <v>lot10</v>
      </c>
      <c r="C90" s="173">
        <f>CdTrp1!B85</f>
        <v>0</v>
      </c>
      <c r="D90" s="173">
        <f>CdTrp1!C85</f>
        <v>0</v>
      </c>
      <c r="E90" s="173">
        <f>CdTrp1!D85</f>
        <v>0</v>
      </c>
      <c r="F90" s="173">
        <f>CdTrp1!E85</f>
        <v>0</v>
      </c>
      <c r="G90" s="173">
        <f>CdTrp1!F85</f>
        <v>0</v>
      </c>
      <c r="H90" s="173">
        <f>CdTrp1!G85</f>
        <v>0</v>
      </c>
      <c r="I90" s="173">
        <f>CdTrp1!H85</f>
        <v>0</v>
      </c>
      <c r="J90" s="173">
        <f>CdTrp1!I85</f>
        <v>0</v>
      </c>
      <c r="K90" s="173">
        <f>CdTrp1!J85</f>
        <v>0</v>
      </c>
      <c r="L90" s="173">
        <f>CdTrp1!K85</f>
        <v>0</v>
      </c>
      <c r="M90" s="173">
        <f>CdTrp1!L85</f>
        <v>0</v>
      </c>
      <c r="N90" s="173">
        <f>CdTrp1!M85</f>
        <v>0</v>
      </c>
      <c r="O90" s="173">
        <f>CdTrp1!N85</f>
        <v>0</v>
      </c>
      <c r="P90" s="173">
        <f>CdTrp1!O85</f>
        <v>0</v>
      </c>
      <c r="Q90" s="173">
        <f>CdTrp1!P85</f>
        <v>0</v>
      </c>
      <c r="R90" s="173">
        <f>CdTrp1!Q85</f>
        <v>0</v>
      </c>
      <c r="S90" s="173">
        <f>CdTrp1!R85</f>
        <v>0</v>
      </c>
      <c r="T90" s="173">
        <f>CdTrp1!S85</f>
        <v>0</v>
      </c>
      <c r="U90" s="173">
        <f>CdTrp1!T85</f>
        <v>0</v>
      </c>
      <c r="V90" s="173">
        <f>CdTrp1!U85</f>
        <v>0</v>
      </c>
      <c r="W90" s="173">
        <f>CdTrp1!V85</f>
        <v>0</v>
      </c>
      <c r="X90" s="173">
        <f>CdTrp1!W85</f>
        <v>0</v>
      </c>
      <c r="Y90" s="173">
        <f>CdTrp1!X85</f>
        <v>0</v>
      </c>
      <c r="Z90" s="173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95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81" t="s">
        <v>740</v>
      </c>
    </row>
    <row r="110" spans="1:27" x14ac:dyDescent="0.25">
      <c r="A110" s="40" t="s">
        <v>743</v>
      </c>
      <c r="B110" s="185" t="str">
        <f>CdTrp2!A52</f>
        <v xml:space="preserve">vaches </v>
      </c>
      <c r="C110" s="173">
        <f>IF($AA110=0,99,IF(C123&gt;3,CdTrp2!B76,CdTrp2!B52))</f>
        <v>1</v>
      </c>
      <c r="D110" s="173">
        <f>IF($AA110=0,99,IF(D123&gt;3,CdTrp2!C76,CdTrp2!C52))</f>
        <v>1</v>
      </c>
      <c r="E110" s="173">
        <f>IF($AA110=0,99,IF(E123&gt;3,CdTrp2!D76,CdTrp2!D52))</f>
        <v>1</v>
      </c>
      <c r="F110" s="173">
        <f>IF($AA110=0,99,IF(F123&gt;3,CdTrp2!E76,CdTrp2!E52))</f>
        <v>1</v>
      </c>
      <c r="G110" s="173">
        <f>IF($AA110=0,99,IF(G123&gt;3,CdTrp2!F76,CdTrp2!F52))</f>
        <v>1</v>
      </c>
      <c r="H110" s="173">
        <f>IF($AA110=0,99,IF(H123&gt;3,CdTrp2!G76,CdTrp2!G52))</f>
        <v>1</v>
      </c>
      <c r="I110" s="173">
        <f>IF($AA110=0,99,IF(I123&gt;3,CdTrp2!H76,CdTrp2!H52))</f>
        <v>0.5</v>
      </c>
      <c r="J110" s="173">
        <f>IF($AA110=0,99,IF(J123&gt;3,CdTrp2!I76,CdTrp2!I52))</f>
        <v>0.5</v>
      </c>
      <c r="K110" s="173">
        <f>IF($AA110=0,99,IF(K123&gt;3,CdTrp2!J76,CdTrp2!J52))</f>
        <v>0.5</v>
      </c>
      <c r="L110" s="173">
        <f>IF($AA110=0,99,IF(L123&gt;3,CdTrp2!K76,CdTrp2!K52))</f>
        <v>0.5</v>
      </c>
      <c r="M110" s="173">
        <f>IF($AA110=0,99,IF(M123&gt;3,CdTrp2!L76,CdTrp2!L52))</f>
        <v>0</v>
      </c>
      <c r="N110" s="173">
        <f>IF($AA110=0,99,IF(N123&gt;3,CdTrp2!M76,CdTrp2!M52))</f>
        <v>0</v>
      </c>
      <c r="O110" s="173">
        <f>IF($AA110=0,99,IF(O123&gt;3,CdTrp2!N76,CdTrp2!N52))</f>
        <v>0</v>
      </c>
      <c r="P110" s="173">
        <f>IF($AA110=0,99,IF(P123&gt;3,CdTrp2!O76,CdTrp2!O52))</f>
        <v>0</v>
      </c>
      <c r="Q110" s="173">
        <f>IF($AA110=0,99,IF(Q123&gt;3,CdTrp2!P76,CdTrp2!P52))</f>
        <v>0</v>
      </c>
      <c r="R110" s="173">
        <f>IF($AA110=0,99,IF(R123&gt;3,CdTrp2!Q76,CdTrp2!Q52))</f>
        <v>0</v>
      </c>
      <c r="S110" s="173">
        <f>IF($AA110=0,99,IF(S123&gt;3,CdTrp2!R76,CdTrp2!R52))</f>
        <v>0</v>
      </c>
      <c r="T110" s="173">
        <f>IF($AA110=0,99,IF(T123&gt;3,CdTrp2!S76,CdTrp2!S52))</f>
        <v>0</v>
      </c>
      <c r="U110" s="173">
        <f>IF($AA110=0,99,IF(U123&gt;3,CdTrp2!T76,CdTrp2!T52))</f>
        <v>0.5</v>
      </c>
      <c r="V110" s="173">
        <f>IF($AA110=0,99,IF(V123&gt;3,CdTrp2!U76,CdTrp2!U52))</f>
        <v>0.5</v>
      </c>
      <c r="W110" s="173">
        <f>IF($AA110=0,99,IF(W123&gt;3,CdTrp2!V76,CdTrp2!V52))</f>
        <v>0.5</v>
      </c>
      <c r="X110" s="173">
        <f>IF($AA110=0,99,IF(X123&gt;3,CdTrp2!W76,CdTrp2!W52))</f>
        <v>0.5</v>
      </c>
      <c r="Y110" s="173">
        <f>IF($AA110=0,99,IF(Y123&gt;3,CdTrp2!X76,CdTrp2!X52))</f>
        <v>1</v>
      </c>
      <c r="Z110" s="173">
        <f>IF($AA110=0,99,IF(Z123&gt;3,CdTrp2!Y76,CdTrp2!Y52))</f>
        <v>1</v>
      </c>
      <c r="AA110" s="182">
        <f>SUM(CdTrp2!B15:Y15)/24</f>
        <v>14.313333333333333</v>
      </c>
    </row>
    <row r="111" spans="1:27" x14ac:dyDescent="0.25">
      <c r="B111" s="187" t="str">
        <f>CdTrp2!A53</f>
        <v>genisses -1an</v>
      </c>
      <c r="C111" s="173">
        <f>IF($AA111=0,99,IF(C124&gt;3,CdTrp2!B77,CdTrp2!B53))</f>
        <v>3</v>
      </c>
      <c r="D111" s="173">
        <f>IF($AA111=0,99,IF(D124&gt;3,CdTrp2!C77,CdTrp2!C53))</f>
        <v>3</v>
      </c>
      <c r="E111" s="173">
        <f>IF($AA111=0,99,IF(E124&gt;3,CdTrp2!D77,CdTrp2!D53))</f>
        <v>3</v>
      </c>
      <c r="F111" s="173">
        <f>IF($AA111=0,99,IF(F124&gt;3,CdTrp2!E77,CdTrp2!E53))</f>
        <v>3</v>
      </c>
      <c r="G111" s="173">
        <f>IF($AA111=0,99,IF(G124&gt;3,CdTrp2!F77,CdTrp2!F53))</f>
        <v>3</v>
      </c>
      <c r="H111" s="173">
        <f>IF($AA111=0,99,IF(H124&gt;3,CdTrp2!G77,CdTrp2!G53))</f>
        <v>0</v>
      </c>
      <c r="I111" s="173">
        <f>IF($AA111=0,99,IF(I124&gt;3,CdTrp2!H77,CdTrp2!H53))</f>
        <v>0</v>
      </c>
      <c r="J111" s="173">
        <f>IF($AA111=0,99,IF(J124&gt;3,CdTrp2!I77,CdTrp2!I53))</f>
        <v>0</v>
      </c>
      <c r="K111" s="173">
        <f>IF($AA111=0,99,IF(K124&gt;3,CdTrp2!J77,CdTrp2!J53))</f>
        <v>0</v>
      </c>
      <c r="L111" s="173">
        <f>IF($AA111=0,99,IF(L124&gt;3,CdTrp2!K77,CdTrp2!K53))</f>
        <v>0</v>
      </c>
      <c r="M111" s="173">
        <f>IF($AA111=0,99,IF(M124&gt;3,CdTrp2!L77,CdTrp2!L53))</f>
        <v>0</v>
      </c>
      <c r="N111" s="173">
        <f>IF($AA111=0,99,IF(N124&gt;3,CdTrp2!M77,CdTrp2!M53))</f>
        <v>0</v>
      </c>
      <c r="O111" s="173">
        <f>IF($AA111=0,99,IF(O124&gt;3,CdTrp2!N77,CdTrp2!N53))</f>
        <v>0</v>
      </c>
      <c r="P111" s="173">
        <f>IF($AA111=0,99,IF(P124&gt;3,CdTrp2!O77,CdTrp2!O53))</f>
        <v>0</v>
      </c>
      <c r="Q111" s="173">
        <f>IF($AA111=0,99,IF(Q124&gt;3,CdTrp2!P77,CdTrp2!P53))</f>
        <v>0</v>
      </c>
      <c r="R111" s="173">
        <f>IF($AA111=0,99,IF(R124&gt;3,CdTrp2!Q77,CdTrp2!Q53))</f>
        <v>0</v>
      </c>
      <c r="S111" s="173">
        <f>IF($AA111=0,99,IF(S124&gt;3,CdTrp2!R77,CdTrp2!R53))</f>
        <v>0</v>
      </c>
      <c r="T111" s="173">
        <f>IF($AA111=0,99,IF(T124&gt;3,CdTrp2!S77,CdTrp2!S53))</f>
        <v>0</v>
      </c>
      <c r="U111" s="173">
        <f>IF($AA111=0,99,IF(U124&gt;3,CdTrp2!T77,CdTrp2!T53))</f>
        <v>0</v>
      </c>
      <c r="V111" s="173">
        <f>IF($AA111=0,99,IF(V124&gt;3,CdTrp2!U77,CdTrp2!U53))</f>
        <v>0</v>
      </c>
      <c r="W111" s="173">
        <f>IF($AA111=0,99,IF(W124&gt;3,CdTrp2!V77,CdTrp2!V53))</f>
        <v>0.5</v>
      </c>
      <c r="X111" s="173">
        <f>IF($AA111=0,99,IF(X124&gt;3,CdTrp2!W77,CdTrp2!W53))</f>
        <v>0.5</v>
      </c>
      <c r="Y111" s="173">
        <f>IF($AA111=0,99,IF(Y124&gt;3,CdTrp2!X77,CdTrp2!X53))</f>
        <v>3</v>
      </c>
      <c r="Z111" s="173">
        <f>IF($AA111=0,99,IF(Z124&gt;3,CdTrp2!Y77,CdTrp2!Y53))</f>
        <v>3</v>
      </c>
      <c r="AA111" s="182">
        <f>SUM(CdTrp2!B16:Y16)/24</f>
        <v>2.6916666666666669</v>
      </c>
    </row>
    <row r="112" spans="1:27" x14ac:dyDescent="0.25">
      <c r="B112" s="187" t="str">
        <f>CdTrp2!A54</f>
        <v>genisses +1an</v>
      </c>
      <c r="C112" s="173">
        <f>IF($AA112=0,99,IF(C125&gt;3,CdTrp2!B78,CdTrp2!B54))</f>
        <v>1</v>
      </c>
      <c r="D112" s="173">
        <f>IF($AA112=0,99,IF(D125&gt;3,CdTrp2!C78,CdTrp2!C54))</f>
        <v>1</v>
      </c>
      <c r="E112" s="173">
        <f>IF($AA112=0,99,IF(E125&gt;3,CdTrp2!D78,CdTrp2!D54))</f>
        <v>0</v>
      </c>
      <c r="F112" s="173">
        <f>IF($AA112=0,99,IF(F125&gt;3,CdTrp2!E78,CdTrp2!E54))</f>
        <v>0</v>
      </c>
      <c r="G112" s="173">
        <f>IF($AA112=0,99,IF(G125&gt;3,CdTrp2!F78,CdTrp2!F54))</f>
        <v>0</v>
      </c>
      <c r="H112" s="173">
        <f>IF($AA112=0,99,IF(H125&gt;3,CdTrp2!G78,CdTrp2!G54))</f>
        <v>0</v>
      </c>
      <c r="I112" s="173">
        <f>IF($AA112=0,99,IF(I125&gt;3,CdTrp2!H78,CdTrp2!H54))</f>
        <v>0</v>
      </c>
      <c r="J112" s="173">
        <f>IF($AA112=0,99,IF(J125&gt;3,CdTrp2!I78,CdTrp2!I54))</f>
        <v>0</v>
      </c>
      <c r="K112" s="173">
        <f>IF($AA112=0,99,IF(K125&gt;3,CdTrp2!J78,CdTrp2!J54))</f>
        <v>0</v>
      </c>
      <c r="L112" s="173">
        <f>IF($AA112=0,99,IF(L125&gt;3,CdTrp2!K78,CdTrp2!K54))</f>
        <v>0</v>
      </c>
      <c r="M112" s="173">
        <f>IF($AA112=0,99,IF(M125&gt;3,CdTrp2!L78,CdTrp2!L54))</f>
        <v>0</v>
      </c>
      <c r="N112" s="173">
        <f>IF($AA112=0,99,IF(N125&gt;3,CdTrp2!M78,CdTrp2!M54))</f>
        <v>0</v>
      </c>
      <c r="O112" s="173">
        <f>IF($AA112=0,99,IF(O125&gt;3,CdTrp2!N78,CdTrp2!N54))</f>
        <v>0</v>
      </c>
      <c r="P112" s="173">
        <f>IF($AA112=0,99,IF(P125&gt;3,CdTrp2!O78,CdTrp2!O54))</f>
        <v>0</v>
      </c>
      <c r="Q112" s="173">
        <f>IF($AA112=0,99,IF(Q125&gt;3,CdTrp2!P78,CdTrp2!P54))</f>
        <v>0</v>
      </c>
      <c r="R112" s="173">
        <f>IF($AA112=0,99,IF(R125&gt;3,CdTrp2!Q78,CdTrp2!Q54))</f>
        <v>0</v>
      </c>
      <c r="S112" s="173">
        <f>IF($AA112=0,99,IF(S125&gt;3,CdTrp2!R78,CdTrp2!R54))</f>
        <v>0</v>
      </c>
      <c r="T112" s="173">
        <f>IF($AA112=0,99,IF(T125&gt;3,CdTrp2!S78,CdTrp2!S54))</f>
        <v>0</v>
      </c>
      <c r="U112" s="173">
        <f>IF($AA112=0,99,IF(U125&gt;3,CdTrp2!T78,CdTrp2!T54))</f>
        <v>0</v>
      </c>
      <c r="V112" s="173">
        <f>IF($AA112=0,99,IF(V125&gt;3,CdTrp2!U78,CdTrp2!U54))</f>
        <v>0</v>
      </c>
      <c r="W112" s="173">
        <f>IF($AA112=0,99,IF(W125&gt;3,CdTrp2!V78,CdTrp2!V54))</f>
        <v>0</v>
      </c>
      <c r="X112" s="173">
        <f>IF($AA112=0,99,IF(X125&gt;3,CdTrp2!W78,CdTrp2!W54))</f>
        <v>0</v>
      </c>
      <c r="Y112" s="173">
        <f>IF($AA112=0,99,IF(Y125&gt;3,CdTrp2!X78,CdTrp2!X54))</f>
        <v>1</v>
      </c>
      <c r="Z112" s="173">
        <f>IF($AA112=0,99,IF(Z125&gt;3,CdTrp2!Y78,CdTrp2!Y54))</f>
        <v>1</v>
      </c>
      <c r="AA112" s="182">
        <f>SUM(CdTrp2!B17:Y17)/24</f>
        <v>9.1200000000000028</v>
      </c>
    </row>
    <row r="113" spans="1:27" x14ac:dyDescent="0.25">
      <c r="B113" s="185" t="str">
        <f>CdTrp2!A55</f>
        <v>lot4</v>
      </c>
      <c r="C113" s="173">
        <f>IF($AA113=0,99,IF(C126&gt;3,CdTrp2!B79,CdTrp2!B55))</f>
        <v>99</v>
      </c>
      <c r="D113" s="173">
        <f>IF($AA113=0,99,IF(D126&gt;3,CdTrp2!C79,CdTrp2!C55))</f>
        <v>99</v>
      </c>
      <c r="E113" s="173">
        <f>IF($AA113=0,99,IF(E126&gt;3,CdTrp2!D79,CdTrp2!D55))</f>
        <v>99</v>
      </c>
      <c r="F113" s="173">
        <f>IF($AA113=0,99,IF(F126&gt;3,CdTrp2!E79,CdTrp2!E55))</f>
        <v>99</v>
      </c>
      <c r="G113" s="173">
        <f>IF($AA113=0,99,IF(G126&gt;3,CdTrp2!F79,CdTrp2!F55))</f>
        <v>99</v>
      </c>
      <c r="H113" s="173">
        <f>IF($AA113=0,99,IF(H126&gt;3,CdTrp2!G79,CdTrp2!G55))</f>
        <v>99</v>
      </c>
      <c r="I113" s="173">
        <f>IF($AA113=0,99,IF(I126&gt;3,CdTrp2!H79,CdTrp2!H55))</f>
        <v>99</v>
      </c>
      <c r="J113" s="173">
        <f>IF($AA113=0,99,IF(J126&gt;3,CdTrp2!I79,CdTrp2!I55))</f>
        <v>99</v>
      </c>
      <c r="K113" s="173">
        <f>IF($AA113=0,99,IF(K126&gt;3,CdTrp2!J79,CdTrp2!J55))</f>
        <v>99</v>
      </c>
      <c r="L113" s="173">
        <f>IF($AA113=0,99,IF(L126&gt;3,CdTrp2!K79,CdTrp2!K55))</f>
        <v>99</v>
      </c>
      <c r="M113" s="173">
        <f>IF($AA113=0,99,IF(M126&gt;3,CdTrp2!L79,CdTrp2!L55))</f>
        <v>99</v>
      </c>
      <c r="N113" s="173">
        <f>IF($AA113=0,99,IF(N126&gt;3,CdTrp2!M79,CdTrp2!M55))</f>
        <v>99</v>
      </c>
      <c r="O113" s="173">
        <f>IF($AA113=0,99,IF(O126&gt;3,CdTrp2!N79,CdTrp2!N55))</f>
        <v>99</v>
      </c>
      <c r="P113" s="173">
        <f>IF($AA113=0,99,IF(P126&gt;3,CdTrp2!O79,CdTrp2!O55))</f>
        <v>99</v>
      </c>
      <c r="Q113" s="173">
        <f>IF($AA113=0,99,IF(Q126&gt;3,CdTrp2!P79,CdTrp2!P55))</f>
        <v>99</v>
      </c>
      <c r="R113" s="173">
        <f>IF($AA113=0,99,IF(R126&gt;3,CdTrp2!Q79,CdTrp2!Q55))</f>
        <v>99</v>
      </c>
      <c r="S113" s="173">
        <f>IF($AA113=0,99,IF(S126&gt;3,CdTrp2!R79,CdTrp2!R55))</f>
        <v>99</v>
      </c>
      <c r="T113" s="173">
        <f>IF($AA113=0,99,IF(T126&gt;3,CdTrp2!S79,CdTrp2!S55))</f>
        <v>99</v>
      </c>
      <c r="U113" s="173">
        <f>IF($AA113=0,99,IF(U126&gt;3,CdTrp2!T79,CdTrp2!T55))</f>
        <v>99</v>
      </c>
      <c r="V113" s="173">
        <f>IF($AA113=0,99,IF(V126&gt;3,CdTrp2!U79,CdTrp2!U55))</f>
        <v>99</v>
      </c>
      <c r="W113" s="173">
        <f>IF($AA113=0,99,IF(W126&gt;3,CdTrp2!V79,CdTrp2!V55))</f>
        <v>99</v>
      </c>
      <c r="X113" s="173">
        <f>IF($AA113=0,99,IF(X126&gt;3,CdTrp2!W79,CdTrp2!W55))</f>
        <v>99</v>
      </c>
      <c r="Y113" s="173">
        <f>IF($AA113=0,99,IF(Y126&gt;3,CdTrp2!X79,CdTrp2!X55))</f>
        <v>99</v>
      </c>
      <c r="Z113" s="173">
        <f>IF($AA113=0,99,IF(Z126&gt;3,CdTrp2!Y79,CdTrp2!Y55))</f>
        <v>99</v>
      </c>
      <c r="AA113" s="182">
        <f>SUM(CdTrp2!B18:Y18)/24</f>
        <v>0</v>
      </c>
    </row>
    <row r="114" spans="1:27" x14ac:dyDescent="0.25">
      <c r="B114" s="187" t="str">
        <f>CdTrp2!A56</f>
        <v>lot5</v>
      </c>
      <c r="C114" s="173">
        <f>IF($AA114=0,99,IF(C127&gt;3,CdTrp2!B80,CdTrp2!B56))</f>
        <v>99</v>
      </c>
      <c r="D114" s="173">
        <f>IF($AA114=0,99,IF(D127&gt;3,CdTrp2!C80,CdTrp2!C56))</f>
        <v>99</v>
      </c>
      <c r="E114" s="173">
        <f>IF($AA114=0,99,IF(E127&gt;3,CdTrp2!D80,CdTrp2!D56))</f>
        <v>99</v>
      </c>
      <c r="F114" s="173">
        <f>IF($AA114=0,99,IF(F127&gt;3,CdTrp2!E80,CdTrp2!E56))</f>
        <v>99</v>
      </c>
      <c r="G114" s="173">
        <f>IF($AA114=0,99,IF(G127&gt;3,CdTrp2!F80,CdTrp2!F56))</f>
        <v>99</v>
      </c>
      <c r="H114" s="173">
        <f>IF($AA114=0,99,IF(H127&gt;3,CdTrp2!G80,CdTrp2!G56))</f>
        <v>99</v>
      </c>
      <c r="I114" s="173">
        <f>IF($AA114=0,99,IF(I127&gt;3,CdTrp2!H80,CdTrp2!H56))</f>
        <v>99</v>
      </c>
      <c r="J114" s="173">
        <f>IF($AA114=0,99,IF(J127&gt;3,CdTrp2!I80,CdTrp2!I56))</f>
        <v>99</v>
      </c>
      <c r="K114" s="173">
        <f>IF($AA114=0,99,IF(K127&gt;3,CdTrp2!J80,CdTrp2!J56))</f>
        <v>99</v>
      </c>
      <c r="L114" s="173">
        <f>IF($AA114=0,99,IF(L127&gt;3,CdTrp2!K80,CdTrp2!K56))</f>
        <v>99</v>
      </c>
      <c r="M114" s="173">
        <f>IF($AA114=0,99,IF(M127&gt;3,CdTrp2!L80,CdTrp2!L56))</f>
        <v>99</v>
      </c>
      <c r="N114" s="173">
        <f>IF($AA114=0,99,IF(N127&gt;3,CdTrp2!M80,CdTrp2!M56))</f>
        <v>99</v>
      </c>
      <c r="O114" s="173">
        <f>IF($AA114=0,99,IF(O127&gt;3,CdTrp2!N80,CdTrp2!N56))</f>
        <v>99</v>
      </c>
      <c r="P114" s="173">
        <f>IF($AA114=0,99,IF(P127&gt;3,CdTrp2!O80,CdTrp2!O56))</f>
        <v>99</v>
      </c>
      <c r="Q114" s="173">
        <f>IF($AA114=0,99,IF(Q127&gt;3,CdTrp2!P80,CdTrp2!P56))</f>
        <v>99</v>
      </c>
      <c r="R114" s="173">
        <f>IF($AA114=0,99,IF(R127&gt;3,CdTrp2!Q80,CdTrp2!Q56))</f>
        <v>99</v>
      </c>
      <c r="S114" s="173">
        <f>IF($AA114=0,99,IF(S127&gt;3,CdTrp2!R80,CdTrp2!R56))</f>
        <v>99</v>
      </c>
      <c r="T114" s="173">
        <f>IF($AA114=0,99,IF(T127&gt;3,CdTrp2!S80,CdTrp2!S56))</f>
        <v>99</v>
      </c>
      <c r="U114" s="173">
        <f>IF($AA114=0,99,IF(U127&gt;3,CdTrp2!T80,CdTrp2!T56))</f>
        <v>99</v>
      </c>
      <c r="V114" s="173">
        <f>IF($AA114=0,99,IF(V127&gt;3,CdTrp2!U80,CdTrp2!U56))</f>
        <v>99</v>
      </c>
      <c r="W114" s="173">
        <f>IF($AA114=0,99,IF(W127&gt;3,CdTrp2!V80,CdTrp2!V56))</f>
        <v>99</v>
      </c>
      <c r="X114" s="173">
        <f>IF($AA114=0,99,IF(X127&gt;3,CdTrp2!W80,CdTrp2!W56))</f>
        <v>99</v>
      </c>
      <c r="Y114" s="173">
        <f>IF($AA114=0,99,IF(Y127&gt;3,CdTrp2!X80,CdTrp2!X56))</f>
        <v>99</v>
      </c>
      <c r="Z114" s="173">
        <f>IF($AA114=0,99,IF(Z127&gt;3,CdTrp2!Y80,CdTrp2!Y56))</f>
        <v>99</v>
      </c>
      <c r="AA114" s="182">
        <f>SUM(CdTrp2!B19:Y19)/24</f>
        <v>0</v>
      </c>
    </row>
    <row r="115" spans="1:27" x14ac:dyDescent="0.25">
      <c r="B115" s="185" t="str">
        <f>CdTrp2!A57</f>
        <v>lot6</v>
      </c>
      <c r="C115" s="173">
        <f>IF($AA115=0,99,IF(C128&gt;3,CdTrp2!B81,CdTrp2!B57))</f>
        <v>99</v>
      </c>
      <c r="D115" s="173">
        <f>IF($AA115=0,99,IF(D128&gt;3,CdTrp2!C81,CdTrp2!C57))</f>
        <v>99</v>
      </c>
      <c r="E115" s="173">
        <f>IF($AA115=0,99,IF(E128&gt;3,CdTrp2!D81,CdTrp2!D57))</f>
        <v>99</v>
      </c>
      <c r="F115" s="173">
        <f>IF($AA115=0,99,IF(F128&gt;3,CdTrp2!E81,CdTrp2!E57))</f>
        <v>99</v>
      </c>
      <c r="G115" s="173">
        <f>IF($AA115=0,99,IF(G128&gt;3,CdTrp2!F81,CdTrp2!F57))</f>
        <v>99</v>
      </c>
      <c r="H115" s="173">
        <f>IF($AA115=0,99,IF(H128&gt;3,CdTrp2!G81,CdTrp2!G57))</f>
        <v>99</v>
      </c>
      <c r="I115" s="173">
        <f>IF($AA115=0,99,IF(I128&gt;3,CdTrp2!H81,CdTrp2!H57))</f>
        <v>99</v>
      </c>
      <c r="J115" s="173">
        <f>IF($AA115=0,99,IF(J128&gt;3,CdTrp2!I81,CdTrp2!I57))</f>
        <v>99</v>
      </c>
      <c r="K115" s="173">
        <f>IF($AA115=0,99,IF(K128&gt;3,CdTrp2!J81,CdTrp2!J57))</f>
        <v>99</v>
      </c>
      <c r="L115" s="173">
        <f>IF($AA115=0,99,IF(L128&gt;3,CdTrp2!K81,CdTrp2!K57))</f>
        <v>99</v>
      </c>
      <c r="M115" s="173">
        <f>IF($AA115=0,99,IF(M128&gt;3,CdTrp2!L81,CdTrp2!L57))</f>
        <v>99</v>
      </c>
      <c r="N115" s="173">
        <f>IF($AA115=0,99,IF(N128&gt;3,CdTrp2!M81,CdTrp2!M57))</f>
        <v>99</v>
      </c>
      <c r="O115" s="173">
        <f>IF($AA115=0,99,IF(O128&gt;3,CdTrp2!N81,CdTrp2!N57))</f>
        <v>99</v>
      </c>
      <c r="P115" s="173">
        <f>IF($AA115=0,99,IF(P128&gt;3,CdTrp2!O81,CdTrp2!O57))</f>
        <v>99</v>
      </c>
      <c r="Q115" s="173">
        <f>IF($AA115=0,99,IF(Q128&gt;3,CdTrp2!P81,CdTrp2!P57))</f>
        <v>99</v>
      </c>
      <c r="R115" s="173">
        <f>IF($AA115=0,99,IF(R128&gt;3,CdTrp2!Q81,CdTrp2!Q57))</f>
        <v>99</v>
      </c>
      <c r="S115" s="173">
        <f>IF($AA115=0,99,IF(S128&gt;3,CdTrp2!R81,CdTrp2!R57))</f>
        <v>99</v>
      </c>
      <c r="T115" s="173">
        <f>IF($AA115=0,99,IF(T128&gt;3,CdTrp2!S81,CdTrp2!S57))</f>
        <v>99</v>
      </c>
      <c r="U115" s="173">
        <f>IF($AA115=0,99,IF(U128&gt;3,CdTrp2!T81,CdTrp2!T57))</f>
        <v>99</v>
      </c>
      <c r="V115" s="173">
        <f>IF($AA115=0,99,IF(V128&gt;3,CdTrp2!U81,CdTrp2!U57))</f>
        <v>99</v>
      </c>
      <c r="W115" s="173">
        <f>IF($AA115=0,99,IF(W128&gt;3,CdTrp2!V81,CdTrp2!V57))</f>
        <v>99</v>
      </c>
      <c r="X115" s="173">
        <f>IF($AA115=0,99,IF(X128&gt;3,CdTrp2!W81,CdTrp2!W57))</f>
        <v>99</v>
      </c>
      <c r="Y115" s="173">
        <f>IF($AA115=0,99,IF(Y128&gt;3,CdTrp2!X81,CdTrp2!X57))</f>
        <v>99</v>
      </c>
      <c r="Z115" s="173">
        <f>IF($AA115=0,99,IF(Z128&gt;3,CdTrp2!Y81,CdTrp2!Y57))</f>
        <v>99</v>
      </c>
      <c r="AA115" s="182">
        <f>SUM(CdTrp2!B20:Y20)/24</f>
        <v>0</v>
      </c>
    </row>
    <row r="116" spans="1:27" x14ac:dyDescent="0.25">
      <c r="B116" s="187" t="str">
        <f>CdTrp2!A58</f>
        <v>lot7</v>
      </c>
      <c r="C116" s="173">
        <f>IF($AA116=0,99,IF(C129&gt;3,CdTrp2!B82,CdTrp2!B58))</f>
        <v>99</v>
      </c>
      <c r="D116" s="173">
        <f>IF($AA116=0,99,IF(D129&gt;3,CdTrp2!C82,CdTrp2!C58))</f>
        <v>99</v>
      </c>
      <c r="E116" s="173">
        <f>IF($AA116=0,99,IF(E129&gt;3,CdTrp2!D82,CdTrp2!D58))</f>
        <v>99</v>
      </c>
      <c r="F116" s="173">
        <f>IF($AA116=0,99,IF(F129&gt;3,CdTrp2!E82,CdTrp2!E58))</f>
        <v>99</v>
      </c>
      <c r="G116" s="173">
        <f>IF($AA116=0,99,IF(G129&gt;3,CdTrp2!F82,CdTrp2!F58))</f>
        <v>99</v>
      </c>
      <c r="H116" s="173">
        <f>IF($AA116=0,99,IF(H129&gt;3,CdTrp2!G82,CdTrp2!G58))</f>
        <v>99</v>
      </c>
      <c r="I116" s="173">
        <f>IF($AA116=0,99,IF(I129&gt;3,CdTrp2!H82,CdTrp2!H58))</f>
        <v>99</v>
      </c>
      <c r="J116" s="173">
        <f>IF($AA116=0,99,IF(J129&gt;3,CdTrp2!I82,CdTrp2!I58))</f>
        <v>99</v>
      </c>
      <c r="K116" s="173">
        <f>IF($AA116=0,99,IF(K129&gt;3,CdTrp2!J82,CdTrp2!J58))</f>
        <v>99</v>
      </c>
      <c r="L116" s="173">
        <f>IF($AA116=0,99,IF(L129&gt;3,CdTrp2!K82,CdTrp2!K58))</f>
        <v>99</v>
      </c>
      <c r="M116" s="173">
        <f>IF($AA116=0,99,IF(M129&gt;3,CdTrp2!L82,CdTrp2!L58))</f>
        <v>99</v>
      </c>
      <c r="N116" s="173">
        <f>IF($AA116=0,99,IF(N129&gt;3,CdTrp2!M82,CdTrp2!M58))</f>
        <v>99</v>
      </c>
      <c r="O116" s="173">
        <f>IF($AA116=0,99,IF(O129&gt;3,CdTrp2!N82,CdTrp2!N58))</f>
        <v>99</v>
      </c>
      <c r="P116" s="173">
        <f>IF($AA116=0,99,IF(P129&gt;3,CdTrp2!O82,CdTrp2!O58))</f>
        <v>99</v>
      </c>
      <c r="Q116" s="173">
        <f>IF($AA116=0,99,IF(Q129&gt;3,CdTrp2!P82,CdTrp2!P58))</f>
        <v>99</v>
      </c>
      <c r="R116" s="173">
        <f>IF($AA116=0,99,IF(R129&gt;3,CdTrp2!Q82,CdTrp2!Q58))</f>
        <v>99</v>
      </c>
      <c r="S116" s="173">
        <f>IF($AA116=0,99,IF(S129&gt;3,CdTrp2!R82,CdTrp2!R58))</f>
        <v>99</v>
      </c>
      <c r="T116" s="173">
        <f>IF($AA116=0,99,IF(T129&gt;3,CdTrp2!S82,CdTrp2!S58))</f>
        <v>99</v>
      </c>
      <c r="U116" s="173">
        <f>IF($AA116=0,99,IF(U129&gt;3,CdTrp2!T82,CdTrp2!T58))</f>
        <v>99</v>
      </c>
      <c r="V116" s="173">
        <f>IF($AA116=0,99,IF(V129&gt;3,CdTrp2!U82,CdTrp2!U58))</f>
        <v>99</v>
      </c>
      <c r="W116" s="173">
        <f>IF($AA116=0,99,IF(W129&gt;3,CdTrp2!V82,CdTrp2!V58))</f>
        <v>99</v>
      </c>
      <c r="X116" s="173">
        <f>IF($AA116=0,99,IF(X129&gt;3,CdTrp2!W82,CdTrp2!W58))</f>
        <v>99</v>
      </c>
      <c r="Y116" s="173">
        <f>IF($AA116=0,99,IF(Y129&gt;3,CdTrp2!X82,CdTrp2!X58))</f>
        <v>99</v>
      </c>
      <c r="Z116" s="173">
        <f>IF($AA116=0,99,IF(Z129&gt;3,CdTrp2!Y82,CdTrp2!Y58))</f>
        <v>99</v>
      </c>
      <c r="AA116" s="182">
        <f>SUM(CdTrp2!B21:Y21)/24</f>
        <v>0</v>
      </c>
    </row>
    <row r="117" spans="1:27" x14ac:dyDescent="0.25">
      <c r="B117" s="187" t="str">
        <f>CdTrp2!A59</f>
        <v>lot8</v>
      </c>
      <c r="C117" s="173">
        <f>IF($AA117=0,99,IF(C130&gt;3,CdTrp2!B83,CdTrp2!B59))</f>
        <v>99</v>
      </c>
      <c r="D117" s="173">
        <f>IF($AA117=0,99,IF(D130&gt;3,CdTrp2!C83,CdTrp2!C59))</f>
        <v>99</v>
      </c>
      <c r="E117" s="173">
        <f>IF($AA117=0,99,IF(E130&gt;3,CdTrp2!D83,CdTrp2!D59))</f>
        <v>99</v>
      </c>
      <c r="F117" s="173">
        <f>IF($AA117=0,99,IF(F130&gt;3,CdTrp2!E83,CdTrp2!E59))</f>
        <v>99</v>
      </c>
      <c r="G117" s="173">
        <f>IF($AA117=0,99,IF(G130&gt;3,CdTrp2!F83,CdTrp2!F59))</f>
        <v>99</v>
      </c>
      <c r="H117" s="173">
        <f>IF($AA117=0,99,IF(H130&gt;3,CdTrp2!G83,CdTrp2!G59))</f>
        <v>99</v>
      </c>
      <c r="I117" s="173">
        <f>IF($AA117=0,99,IF(I130&gt;3,CdTrp2!H83,CdTrp2!H59))</f>
        <v>99</v>
      </c>
      <c r="J117" s="173">
        <f>IF($AA117=0,99,IF(J130&gt;3,CdTrp2!I83,CdTrp2!I59))</f>
        <v>99</v>
      </c>
      <c r="K117" s="173">
        <f>IF($AA117=0,99,IF(K130&gt;3,CdTrp2!J83,CdTrp2!J59))</f>
        <v>99</v>
      </c>
      <c r="L117" s="173">
        <f>IF($AA117=0,99,IF(L130&gt;3,CdTrp2!K83,CdTrp2!K59))</f>
        <v>99</v>
      </c>
      <c r="M117" s="173">
        <f>IF($AA117=0,99,IF(M130&gt;3,CdTrp2!L83,CdTrp2!L59))</f>
        <v>99</v>
      </c>
      <c r="N117" s="173">
        <f>IF($AA117=0,99,IF(N130&gt;3,CdTrp2!M83,CdTrp2!M59))</f>
        <v>99</v>
      </c>
      <c r="O117" s="173">
        <f>IF($AA117=0,99,IF(O130&gt;3,CdTrp2!N83,CdTrp2!N59))</f>
        <v>99</v>
      </c>
      <c r="P117" s="173">
        <f>IF($AA117=0,99,IF(P130&gt;3,CdTrp2!O83,CdTrp2!O59))</f>
        <v>99</v>
      </c>
      <c r="Q117" s="173">
        <f>IF($AA117=0,99,IF(Q130&gt;3,CdTrp2!P83,CdTrp2!P59))</f>
        <v>99</v>
      </c>
      <c r="R117" s="173">
        <f>IF($AA117=0,99,IF(R130&gt;3,CdTrp2!Q83,CdTrp2!Q59))</f>
        <v>99</v>
      </c>
      <c r="S117" s="173">
        <f>IF($AA117=0,99,IF(S130&gt;3,CdTrp2!R83,CdTrp2!R59))</f>
        <v>99</v>
      </c>
      <c r="T117" s="173">
        <f>IF($AA117=0,99,IF(T130&gt;3,CdTrp2!S83,CdTrp2!S59))</f>
        <v>99</v>
      </c>
      <c r="U117" s="173">
        <f>IF($AA117=0,99,IF(U130&gt;3,CdTrp2!T83,CdTrp2!T59))</f>
        <v>99</v>
      </c>
      <c r="V117" s="173">
        <f>IF($AA117=0,99,IF(V130&gt;3,CdTrp2!U83,CdTrp2!U59))</f>
        <v>99</v>
      </c>
      <c r="W117" s="173">
        <f>IF($AA117=0,99,IF(W130&gt;3,CdTrp2!V83,CdTrp2!V59))</f>
        <v>99</v>
      </c>
      <c r="X117" s="173">
        <f>IF($AA117=0,99,IF(X130&gt;3,CdTrp2!W83,CdTrp2!W59))</f>
        <v>99</v>
      </c>
      <c r="Y117" s="173">
        <f>IF($AA117=0,99,IF(Y130&gt;3,CdTrp2!X83,CdTrp2!X59))</f>
        <v>99</v>
      </c>
      <c r="Z117" s="173">
        <f>IF($AA117=0,99,IF(Z130&gt;3,CdTrp2!Y83,CdTrp2!Y59))</f>
        <v>99</v>
      </c>
      <c r="AA117" s="182">
        <f>SUM(CdTrp2!B22:Y22)/24</f>
        <v>0</v>
      </c>
    </row>
    <row r="118" spans="1:27" x14ac:dyDescent="0.25">
      <c r="B118" s="185" t="str">
        <f>CdTrp2!A60</f>
        <v>lot9</v>
      </c>
      <c r="C118" s="173">
        <f>IF($AA118=0,99,IF(C131&gt;3,CdTrp2!B84,CdTrp2!B60))</f>
        <v>99</v>
      </c>
      <c r="D118" s="173">
        <f>IF($AA118=0,99,IF(D131&gt;3,CdTrp2!C84,CdTrp2!C60))</f>
        <v>99</v>
      </c>
      <c r="E118" s="173">
        <f>IF($AA118=0,99,IF(E131&gt;3,CdTrp2!D84,CdTrp2!D60))</f>
        <v>99</v>
      </c>
      <c r="F118" s="173">
        <f>IF($AA118=0,99,IF(F131&gt;3,CdTrp2!E84,CdTrp2!E60))</f>
        <v>99</v>
      </c>
      <c r="G118" s="173">
        <f>IF($AA118=0,99,IF(G131&gt;3,CdTrp2!F84,CdTrp2!F60))</f>
        <v>99</v>
      </c>
      <c r="H118" s="173">
        <f>IF($AA118=0,99,IF(H131&gt;3,CdTrp2!G84,CdTrp2!G60))</f>
        <v>99</v>
      </c>
      <c r="I118" s="173">
        <f>IF($AA118=0,99,IF(I131&gt;3,CdTrp2!H84,CdTrp2!H60))</f>
        <v>99</v>
      </c>
      <c r="J118" s="173">
        <f>IF($AA118=0,99,IF(J131&gt;3,CdTrp2!I84,CdTrp2!I60))</f>
        <v>99</v>
      </c>
      <c r="K118" s="173">
        <f>IF($AA118=0,99,IF(K131&gt;3,CdTrp2!J84,CdTrp2!J60))</f>
        <v>99</v>
      </c>
      <c r="L118" s="173">
        <f>IF($AA118=0,99,IF(L131&gt;3,CdTrp2!K84,CdTrp2!K60))</f>
        <v>99</v>
      </c>
      <c r="M118" s="173">
        <f>IF($AA118=0,99,IF(M131&gt;3,CdTrp2!L84,CdTrp2!L60))</f>
        <v>99</v>
      </c>
      <c r="N118" s="173">
        <f>IF($AA118=0,99,IF(N131&gt;3,CdTrp2!M84,CdTrp2!M60))</f>
        <v>99</v>
      </c>
      <c r="O118" s="173">
        <f>IF($AA118=0,99,IF(O131&gt;3,CdTrp2!N84,CdTrp2!N60))</f>
        <v>99</v>
      </c>
      <c r="P118" s="173">
        <f>IF($AA118=0,99,IF(P131&gt;3,CdTrp2!O84,CdTrp2!O60))</f>
        <v>99</v>
      </c>
      <c r="Q118" s="173">
        <f>IF($AA118=0,99,IF(Q131&gt;3,CdTrp2!P84,CdTrp2!P60))</f>
        <v>99</v>
      </c>
      <c r="R118" s="173">
        <f>IF($AA118=0,99,IF(R131&gt;3,CdTrp2!Q84,CdTrp2!Q60))</f>
        <v>99</v>
      </c>
      <c r="S118" s="173">
        <f>IF($AA118=0,99,IF(S131&gt;3,CdTrp2!R84,CdTrp2!R60))</f>
        <v>99</v>
      </c>
      <c r="T118" s="173">
        <f>IF($AA118=0,99,IF(T131&gt;3,CdTrp2!S84,CdTrp2!S60))</f>
        <v>99</v>
      </c>
      <c r="U118" s="173">
        <f>IF($AA118=0,99,IF(U131&gt;3,CdTrp2!T84,CdTrp2!T60))</f>
        <v>99</v>
      </c>
      <c r="V118" s="173">
        <f>IF($AA118=0,99,IF(V131&gt;3,CdTrp2!U84,CdTrp2!U60))</f>
        <v>99</v>
      </c>
      <c r="W118" s="173">
        <f>IF($AA118=0,99,IF(W131&gt;3,CdTrp2!V84,CdTrp2!V60))</f>
        <v>99</v>
      </c>
      <c r="X118" s="173">
        <f>IF($AA118=0,99,IF(X131&gt;3,CdTrp2!W84,CdTrp2!W60))</f>
        <v>99</v>
      </c>
      <c r="Y118" s="173">
        <f>IF($AA118=0,99,IF(Y131&gt;3,CdTrp2!X84,CdTrp2!X60))</f>
        <v>99</v>
      </c>
      <c r="Z118" s="173">
        <f>IF($AA118=0,99,IF(Z131&gt;3,CdTrp2!Y84,CdTrp2!Y60))</f>
        <v>99</v>
      </c>
      <c r="AA118" s="182">
        <f>SUM(CdTrp2!B23:Y23)/24</f>
        <v>0</v>
      </c>
    </row>
    <row r="119" spans="1:27" x14ac:dyDescent="0.25">
      <c r="B119" s="187" t="str">
        <f>CdTrp2!A61</f>
        <v>lot10</v>
      </c>
      <c r="C119" s="173">
        <f>IF($AA119=0,99,IF(C132&gt;3,CdTrp2!B85,CdTrp2!B61))</f>
        <v>99</v>
      </c>
      <c r="D119" s="173">
        <f>IF($AA119=0,99,IF(D132&gt;3,CdTrp2!C85,CdTrp2!C61))</f>
        <v>99</v>
      </c>
      <c r="E119" s="173">
        <f>IF($AA119=0,99,IF(E132&gt;3,CdTrp2!D85,CdTrp2!D61))</f>
        <v>99</v>
      </c>
      <c r="F119" s="173">
        <f>IF($AA119=0,99,IF(F132&gt;3,CdTrp2!E85,CdTrp2!E61))</f>
        <v>99</v>
      </c>
      <c r="G119" s="173">
        <f>IF($AA119=0,99,IF(G132&gt;3,CdTrp2!F85,CdTrp2!F61))</f>
        <v>99</v>
      </c>
      <c r="H119" s="173">
        <f>IF($AA119=0,99,IF(H132&gt;3,CdTrp2!G85,CdTrp2!G61))</f>
        <v>99</v>
      </c>
      <c r="I119" s="173">
        <f>IF($AA119=0,99,IF(I132&gt;3,CdTrp2!H85,CdTrp2!H61))</f>
        <v>99</v>
      </c>
      <c r="J119" s="173">
        <f>IF($AA119=0,99,IF(J132&gt;3,CdTrp2!I85,CdTrp2!I61))</f>
        <v>99</v>
      </c>
      <c r="K119" s="173">
        <f>IF($AA119=0,99,IF(K132&gt;3,CdTrp2!J85,CdTrp2!J61))</f>
        <v>99</v>
      </c>
      <c r="L119" s="173">
        <f>IF($AA119=0,99,IF(L132&gt;3,CdTrp2!K85,CdTrp2!K61))</f>
        <v>99</v>
      </c>
      <c r="M119" s="173">
        <f>IF($AA119=0,99,IF(M132&gt;3,CdTrp2!L85,CdTrp2!L61))</f>
        <v>99</v>
      </c>
      <c r="N119" s="173">
        <f>IF($AA119=0,99,IF(N132&gt;3,CdTrp2!M85,CdTrp2!M61))</f>
        <v>99</v>
      </c>
      <c r="O119" s="173">
        <f>IF($AA119=0,99,IF(O132&gt;3,CdTrp2!N85,CdTrp2!N61))</f>
        <v>99</v>
      </c>
      <c r="P119" s="173">
        <f>IF($AA119=0,99,IF(P132&gt;3,CdTrp2!O85,CdTrp2!O61))</f>
        <v>99</v>
      </c>
      <c r="Q119" s="173">
        <f>IF($AA119=0,99,IF(Q132&gt;3,CdTrp2!P85,CdTrp2!P61))</f>
        <v>99</v>
      </c>
      <c r="R119" s="173">
        <f>IF($AA119=0,99,IF(R132&gt;3,CdTrp2!Q85,CdTrp2!Q61))</f>
        <v>99</v>
      </c>
      <c r="S119" s="173">
        <f>IF($AA119=0,99,IF(S132&gt;3,CdTrp2!R85,CdTrp2!R61))</f>
        <v>99</v>
      </c>
      <c r="T119" s="173">
        <f>IF($AA119=0,99,IF(T132&gt;3,CdTrp2!S85,CdTrp2!S61))</f>
        <v>99</v>
      </c>
      <c r="U119" s="173">
        <f>IF($AA119=0,99,IF(U132&gt;3,CdTrp2!T85,CdTrp2!T61))</f>
        <v>99</v>
      </c>
      <c r="V119" s="173">
        <f>IF($AA119=0,99,IF(V132&gt;3,CdTrp2!U85,CdTrp2!U61))</f>
        <v>99</v>
      </c>
      <c r="W119" s="173">
        <f>IF($AA119=0,99,IF(W132&gt;3,CdTrp2!V85,CdTrp2!V61))</f>
        <v>99</v>
      </c>
      <c r="X119" s="173">
        <f>IF($AA119=0,99,IF(X132&gt;3,CdTrp2!W85,CdTrp2!W61))</f>
        <v>99</v>
      </c>
      <c r="Y119" s="173">
        <f>IF($AA119=0,99,IF(Y132&gt;3,CdTrp2!X85,CdTrp2!X61))</f>
        <v>99</v>
      </c>
      <c r="Z119" s="173">
        <f>IF($AA119=0,99,IF(Z132&gt;3,CdTrp2!Y85,CdTrp2!Y61))</f>
        <v>99</v>
      </c>
      <c r="AA119" s="182">
        <f>SUM(CdTrp2!B24:Y24)/24</f>
        <v>0</v>
      </c>
    </row>
    <row r="122" spans="1:27" x14ac:dyDescent="0.25">
      <c r="A122" s="40" t="s">
        <v>95</v>
      </c>
      <c r="B122" t="str">
        <f>Troupeau!C3</f>
        <v>BV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744</v>
      </c>
      <c r="B123" s="30" t="str">
        <f>CdTrp2!A76</f>
        <v xml:space="preserve">vaches 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1</v>
      </c>
      <c r="J123" s="30">
        <f>CdTrp2!I76</f>
        <v>1</v>
      </c>
      <c r="K123" s="30">
        <f>CdTrp2!J76</f>
        <v>2</v>
      </c>
      <c r="L123" s="30">
        <f>CdTrp2!K76</f>
        <v>2</v>
      </c>
      <c r="M123" s="30">
        <f>CdTrp2!L76</f>
        <v>2</v>
      </c>
      <c r="N123" s="30">
        <f>CdTrp2!M76</f>
        <v>2</v>
      </c>
      <c r="O123" s="30">
        <f>CdTrp2!N76</f>
        <v>2</v>
      </c>
      <c r="P123" s="30">
        <f>CdTrp2!O76</f>
        <v>1</v>
      </c>
      <c r="Q123" s="30">
        <f>CdTrp2!P76</f>
        <v>1</v>
      </c>
      <c r="R123" s="30">
        <f>CdTrp2!Q76</f>
        <v>1</v>
      </c>
      <c r="S123" s="30">
        <f>CdTrp2!R76</f>
        <v>2</v>
      </c>
      <c r="T123" s="30">
        <f>CdTrp2!S76</f>
        <v>2</v>
      </c>
      <c r="U123" s="30">
        <f>CdTrp2!T76</f>
        <v>3</v>
      </c>
      <c r="V123" s="30">
        <f>CdTrp2!U76</f>
        <v>3</v>
      </c>
      <c r="W123" s="30">
        <f>CdTrp2!V76</f>
        <v>2</v>
      </c>
      <c r="X123" s="30">
        <f>CdTrp2!W76</f>
        <v>2</v>
      </c>
      <c r="Y123" s="30">
        <f>CdTrp2!X76</f>
        <v>0</v>
      </c>
      <c r="Z123" s="30">
        <f>CdTrp2!Y76</f>
        <v>0</v>
      </c>
    </row>
    <row r="124" spans="1:27" x14ac:dyDescent="0.25">
      <c r="B124" s="186" t="str">
        <f>CdTrp2!A77</f>
        <v>genisses -1an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1</v>
      </c>
      <c r="I124" s="30">
        <f>CdTrp2!H77</f>
        <v>1</v>
      </c>
      <c r="J124" s="30">
        <f>CdTrp2!I77</f>
        <v>1</v>
      </c>
      <c r="K124" s="30">
        <f>CdTrp2!J77</f>
        <v>1</v>
      </c>
      <c r="L124" s="30">
        <f>CdTrp2!K77</f>
        <v>1</v>
      </c>
      <c r="M124" s="30">
        <f>CdTrp2!L77</f>
        <v>1</v>
      </c>
      <c r="N124" s="30">
        <f>CdTrp2!M77</f>
        <v>1</v>
      </c>
      <c r="O124" s="30">
        <f>CdTrp2!N77</f>
        <v>1</v>
      </c>
      <c r="P124" s="30">
        <f>CdTrp2!O77</f>
        <v>1</v>
      </c>
      <c r="Q124" s="30">
        <f>CdTrp2!P77</f>
        <v>1</v>
      </c>
      <c r="R124" s="30">
        <f>CdTrp2!Q77</f>
        <v>1</v>
      </c>
      <c r="S124" s="30">
        <f>CdTrp2!R77</f>
        <v>1</v>
      </c>
      <c r="T124" s="30">
        <f>CdTrp2!S77</f>
        <v>1</v>
      </c>
      <c r="U124" s="30">
        <f>CdTrp2!T77</f>
        <v>1</v>
      </c>
      <c r="V124" s="30">
        <f>CdTrp2!U77</f>
        <v>1</v>
      </c>
      <c r="W124" s="30">
        <f>CdTrp2!V77</f>
        <v>1</v>
      </c>
      <c r="X124" s="30">
        <f>CdTrp2!W77</f>
        <v>1</v>
      </c>
      <c r="Y124" s="30">
        <f>CdTrp2!X77</f>
        <v>0</v>
      </c>
      <c r="Z124" s="30">
        <f>CdTrp2!Y77</f>
        <v>0</v>
      </c>
    </row>
    <row r="125" spans="1:27" x14ac:dyDescent="0.25">
      <c r="B125" s="186" t="str">
        <f>CdTrp2!A78</f>
        <v>genisses +1an</v>
      </c>
      <c r="C125" s="30">
        <f>CdTrp2!B78</f>
        <v>0</v>
      </c>
      <c r="D125" s="30">
        <f>CdTrp2!C78</f>
        <v>0</v>
      </c>
      <c r="E125" s="30">
        <f>CdTrp2!D78</f>
        <v>2</v>
      </c>
      <c r="F125" s="30">
        <f>CdTrp2!E78</f>
        <v>2</v>
      </c>
      <c r="G125" s="30">
        <f>CdTrp2!F78</f>
        <v>2</v>
      </c>
      <c r="H125" s="30">
        <f>CdTrp2!G78</f>
        <v>2</v>
      </c>
      <c r="I125" s="30">
        <f>CdTrp2!H78</f>
        <v>2</v>
      </c>
      <c r="J125" s="30">
        <f>CdTrp2!I78</f>
        <v>2</v>
      </c>
      <c r="K125" s="30">
        <f>CdTrp2!J78</f>
        <v>2</v>
      </c>
      <c r="L125" s="30">
        <f>CdTrp2!K78</f>
        <v>2</v>
      </c>
      <c r="M125" s="30">
        <f>CdTrp2!L78</f>
        <v>2</v>
      </c>
      <c r="N125" s="30">
        <f>CdTrp2!M78</f>
        <v>2</v>
      </c>
      <c r="O125" s="30">
        <f>CdTrp2!N78</f>
        <v>2</v>
      </c>
      <c r="P125" s="30">
        <f>CdTrp2!O78</f>
        <v>2</v>
      </c>
      <c r="Q125" s="30">
        <f>CdTrp2!P78</f>
        <v>2</v>
      </c>
      <c r="R125" s="30">
        <f>CdTrp2!Q78</f>
        <v>2</v>
      </c>
      <c r="S125" s="30">
        <f>CdTrp2!R78</f>
        <v>2</v>
      </c>
      <c r="T125" s="30">
        <f>CdTrp2!S78</f>
        <v>2</v>
      </c>
      <c r="U125" s="30">
        <f>CdTrp2!T78</f>
        <v>3</v>
      </c>
      <c r="V125" s="30">
        <f>CdTrp2!U78</f>
        <v>1</v>
      </c>
      <c r="W125" s="30">
        <f>CdTrp2!V78</f>
        <v>1</v>
      </c>
      <c r="X125" s="30">
        <f>CdTrp2!W78</f>
        <v>1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186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186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186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186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96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81" t="s">
        <v>740</v>
      </c>
    </row>
    <row r="153" spans="1:27" x14ac:dyDescent="0.25">
      <c r="A153" s="40" t="s">
        <v>745</v>
      </c>
      <c r="B153" s="185" t="str">
        <f>CdTrp3!A52</f>
        <v>lot1</v>
      </c>
      <c r="C153" s="173">
        <f>IF($AA153=0,99,IF(C166&gt;3,CdTrp3!B76,CdTrp3!B52))</f>
        <v>99</v>
      </c>
      <c r="D153" s="173">
        <f>IF($AA153=0,99,IF(D166&gt;3,CdTrp3!C76,CdTrp3!C52))</f>
        <v>99</v>
      </c>
      <c r="E153" s="173">
        <f>IF($AA153=0,99,IF(E166&gt;3,CdTrp3!D76,CdTrp3!D52))</f>
        <v>99</v>
      </c>
      <c r="F153" s="173">
        <f>IF($AA153=0,99,IF(F166&gt;3,CdTrp3!E76,CdTrp3!E52))</f>
        <v>99</v>
      </c>
      <c r="G153" s="173">
        <f>IF($AA153=0,99,IF(G166&gt;3,CdTrp3!F76,CdTrp3!F52))</f>
        <v>99</v>
      </c>
      <c r="H153" s="173">
        <f>IF($AA153=0,99,IF(H166&gt;3,CdTrp3!G76,CdTrp3!G52))</f>
        <v>99</v>
      </c>
      <c r="I153" s="173">
        <f>IF($AA153=0,99,IF(I166&gt;3,CdTrp3!H76,CdTrp3!H52))</f>
        <v>99</v>
      </c>
      <c r="J153" s="173">
        <f>IF($AA153=0,99,IF(J166&gt;3,CdTrp3!I76,CdTrp3!I52))</f>
        <v>99</v>
      </c>
      <c r="K153" s="173">
        <f>IF($AA153=0,99,IF(K166&gt;3,CdTrp3!J76,CdTrp3!J52))</f>
        <v>99</v>
      </c>
      <c r="L153" s="173">
        <f>IF($AA153=0,99,IF(L166&gt;3,CdTrp3!K76,CdTrp3!K52))</f>
        <v>99</v>
      </c>
      <c r="M153" s="173">
        <f>IF($AA153=0,99,IF(M166&gt;3,CdTrp3!L76,CdTrp3!L52))</f>
        <v>99</v>
      </c>
      <c r="N153" s="173">
        <f>IF($AA153=0,99,IF(N166&gt;3,CdTrp3!M76,CdTrp3!M52))</f>
        <v>99</v>
      </c>
      <c r="O153" s="173">
        <f>IF($AA153=0,99,IF(O166&gt;3,CdTrp3!N76,CdTrp3!N52))</f>
        <v>99</v>
      </c>
      <c r="P153" s="173">
        <f>IF($AA153=0,99,IF(P166&gt;3,CdTrp3!O76,CdTrp3!O52))</f>
        <v>99</v>
      </c>
      <c r="Q153" s="173">
        <f>IF($AA153=0,99,IF(Q166&gt;3,CdTrp3!P76,CdTrp3!P52))</f>
        <v>99</v>
      </c>
      <c r="R153" s="173">
        <f>IF($AA153=0,99,IF(R166&gt;3,CdTrp3!Q76,CdTrp3!Q52))</f>
        <v>99</v>
      </c>
      <c r="S153" s="173">
        <f>IF($AA153=0,99,IF(S166&gt;3,CdTrp3!R76,CdTrp3!R52))</f>
        <v>99</v>
      </c>
      <c r="T153" s="173">
        <f>IF($AA153=0,99,IF(T166&gt;3,CdTrp3!S76,CdTrp3!S52))</f>
        <v>99</v>
      </c>
      <c r="U153" s="173">
        <f>IF($AA153=0,99,IF(U166&gt;3,CdTrp3!T76,CdTrp3!T52))</f>
        <v>99</v>
      </c>
      <c r="V153" s="173">
        <f>IF($AA153=0,99,IF(V166&gt;3,CdTrp3!U76,CdTrp3!U52))</f>
        <v>99</v>
      </c>
      <c r="W153" s="173">
        <f>IF($AA153=0,99,IF(W166&gt;3,CdTrp3!V76,CdTrp3!V52))</f>
        <v>99</v>
      </c>
      <c r="X153" s="173">
        <f>IF($AA153=0,99,IF(X166&gt;3,CdTrp3!W76,CdTrp3!W52))</f>
        <v>99</v>
      </c>
      <c r="Y153" s="173">
        <f>IF($AA153=0,99,IF(Y166&gt;3,CdTrp3!X76,CdTrp3!X52))</f>
        <v>99</v>
      </c>
      <c r="Z153" s="173">
        <f>IF($AA153=0,99,IF(Z166&gt;3,CdTrp3!Y76,CdTrp3!Y52))</f>
        <v>99</v>
      </c>
      <c r="AA153" s="182">
        <f>SUM(CdTrp3!B15:Y15)/24</f>
        <v>0</v>
      </c>
    </row>
    <row r="154" spans="1:27" x14ac:dyDescent="0.25">
      <c r="B154" s="187" t="str">
        <f>CdTrp3!A53</f>
        <v>lot2</v>
      </c>
      <c r="C154" s="173">
        <f>IF($AA154=0,99,IF(C167&gt;3,CdTrp3!B77,CdTrp3!B53))</f>
        <v>99</v>
      </c>
      <c r="D154" s="173">
        <f>IF($AA154=0,99,IF(D167&gt;3,CdTrp3!C77,CdTrp3!C53))</f>
        <v>99</v>
      </c>
      <c r="E154" s="173">
        <f>IF($AA154=0,99,IF(E167&gt;3,CdTrp3!D77,CdTrp3!D53))</f>
        <v>99</v>
      </c>
      <c r="F154" s="173">
        <f>IF($AA154=0,99,IF(F167&gt;3,CdTrp3!E77,CdTrp3!E53))</f>
        <v>99</v>
      </c>
      <c r="G154" s="173">
        <f>IF($AA154=0,99,IF(G167&gt;3,CdTrp3!F77,CdTrp3!F53))</f>
        <v>99</v>
      </c>
      <c r="H154" s="173">
        <f>IF($AA154=0,99,IF(H167&gt;3,CdTrp3!G77,CdTrp3!G53))</f>
        <v>99</v>
      </c>
      <c r="I154" s="173">
        <f>IF($AA154=0,99,IF(I167&gt;3,CdTrp3!H77,CdTrp3!H53))</f>
        <v>99</v>
      </c>
      <c r="J154" s="173">
        <f>IF($AA154=0,99,IF(J167&gt;3,CdTrp3!I77,CdTrp3!I53))</f>
        <v>99</v>
      </c>
      <c r="K154" s="173">
        <f>IF($AA154=0,99,IF(K167&gt;3,CdTrp3!J77,CdTrp3!J53))</f>
        <v>99</v>
      </c>
      <c r="L154" s="173">
        <f>IF($AA154=0,99,IF(L167&gt;3,CdTrp3!K77,CdTrp3!K53))</f>
        <v>99</v>
      </c>
      <c r="M154" s="173">
        <f>IF($AA154=0,99,IF(M167&gt;3,CdTrp3!L77,CdTrp3!L53))</f>
        <v>99</v>
      </c>
      <c r="N154" s="173">
        <f>IF($AA154=0,99,IF(N167&gt;3,CdTrp3!M77,CdTrp3!M53))</f>
        <v>99</v>
      </c>
      <c r="O154" s="173">
        <f>IF($AA154=0,99,IF(O167&gt;3,CdTrp3!N77,CdTrp3!N53))</f>
        <v>99</v>
      </c>
      <c r="P154" s="173">
        <f>IF($AA154=0,99,IF(P167&gt;3,CdTrp3!O77,CdTrp3!O53))</f>
        <v>99</v>
      </c>
      <c r="Q154" s="173">
        <f>IF($AA154=0,99,IF(Q167&gt;3,CdTrp3!P77,CdTrp3!P53))</f>
        <v>99</v>
      </c>
      <c r="R154" s="173">
        <f>IF($AA154=0,99,IF(R167&gt;3,CdTrp3!Q77,CdTrp3!Q53))</f>
        <v>99</v>
      </c>
      <c r="S154" s="173">
        <f>IF($AA154=0,99,IF(S167&gt;3,CdTrp3!R77,CdTrp3!R53))</f>
        <v>99</v>
      </c>
      <c r="T154" s="173">
        <f>IF($AA154=0,99,IF(T167&gt;3,CdTrp3!S77,CdTrp3!S53))</f>
        <v>99</v>
      </c>
      <c r="U154" s="173">
        <f>IF($AA154=0,99,IF(U167&gt;3,CdTrp3!T77,CdTrp3!T53))</f>
        <v>99</v>
      </c>
      <c r="V154" s="173">
        <f>IF($AA154=0,99,IF(V167&gt;3,CdTrp3!U77,CdTrp3!U53))</f>
        <v>99</v>
      </c>
      <c r="W154" s="173">
        <f>IF($AA154=0,99,IF(W167&gt;3,CdTrp3!V77,CdTrp3!V53))</f>
        <v>99</v>
      </c>
      <c r="X154" s="173">
        <f>IF($AA154=0,99,IF(X167&gt;3,CdTrp3!W77,CdTrp3!W53))</f>
        <v>99</v>
      </c>
      <c r="Y154" s="173">
        <f>IF($AA154=0,99,IF(Y167&gt;3,CdTrp3!X77,CdTrp3!X53))</f>
        <v>99</v>
      </c>
      <c r="Z154" s="173">
        <f>IF($AA154=0,99,IF(Z167&gt;3,CdTrp3!Y77,CdTrp3!Y53))</f>
        <v>99</v>
      </c>
      <c r="AA154" s="182">
        <f>SUM(CdTrp3!B16:Y16)/24</f>
        <v>0</v>
      </c>
    </row>
    <row r="155" spans="1:27" x14ac:dyDescent="0.25">
      <c r="B155" s="187" t="str">
        <f>CdTrp3!A54</f>
        <v>lot3</v>
      </c>
      <c r="C155" s="173">
        <f>IF($AA155=0,99,IF(C168&gt;3,CdTrp3!B78,CdTrp3!B54))</f>
        <v>99</v>
      </c>
      <c r="D155" s="173">
        <f>IF($AA155=0,99,IF(D168&gt;3,CdTrp3!C78,CdTrp3!C54))</f>
        <v>99</v>
      </c>
      <c r="E155" s="173">
        <f>IF($AA155=0,99,IF(E168&gt;3,CdTrp3!D78,CdTrp3!D54))</f>
        <v>99</v>
      </c>
      <c r="F155" s="173">
        <f>IF($AA155=0,99,IF(F168&gt;3,CdTrp3!E78,CdTrp3!E54))</f>
        <v>99</v>
      </c>
      <c r="G155" s="173">
        <f>IF($AA155=0,99,IF(G168&gt;3,CdTrp3!F78,CdTrp3!F54))</f>
        <v>99</v>
      </c>
      <c r="H155" s="173">
        <f>IF($AA155=0,99,IF(H168&gt;3,CdTrp3!G78,CdTrp3!G54))</f>
        <v>99</v>
      </c>
      <c r="I155" s="173">
        <f>IF($AA155=0,99,IF(I168&gt;3,CdTrp3!H78,CdTrp3!H54))</f>
        <v>99</v>
      </c>
      <c r="J155" s="173">
        <f>IF($AA155=0,99,IF(J168&gt;3,CdTrp3!I78,CdTrp3!I54))</f>
        <v>99</v>
      </c>
      <c r="K155" s="173">
        <f>IF($AA155=0,99,IF(K168&gt;3,CdTrp3!J78,CdTrp3!J54))</f>
        <v>99</v>
      </c>
      <c r="L155" s="173">
        <f>IF($AA155=0,99,IF(L168&gt;3,CdTrp3!K78,CdTrp3!K54))</f>
        <v>99</v>
      </c>
      <c r="M155" s="173">
        <f>IF($AA155=0,99,IF(M168&gt;3,CdTrp3!L78,CdTrp3!L54))</f>
        <v>99</v>
      </c>
      <c r="N155" s="173">
        <f>IF($AA155=0,99,IF(N168&gt;3,CdTrp3!M78,CdTrp3!M54))</f>
        <v>99</v>
      </c>
      <c r="O155" s="173">
        <f>IF($AA155=0,99,IF(O168&gt;3,CdTrp3!N78,CdTrp3!N54))</f>
        <v>99</v>
      </c>
      <c r="P155" s="173">
        <f>IF($AA155=0,99,IF(P168&gt;3,CdTrp3!O78,CdTrp3!O54))</f>
        <v>99</v>
      </c>
      <c r="Q155" s="173">
        <f>IF($AA155=0,99,IF(Q168&gt;3,CdTrp3!P78,CdTrp3!P54))</f>
        <v>99</v>
      </c>
      <c r="R155" s="173">
        <f>IF($AA155=0,99,IF(R168&gt;3,CdTrp3!Q78,CdTrp3!Q54))</f>
        <v>99</v>
      </c>
      <c r="S155" s="173">
        <f>IF($AA155=0,99,IF(S168&gt;3,CdTrp3!R78,CdTrp3!R54))</f>
        <v>99</v>
      </c>
      <c r="T155" s="173">
        <f>IF($AA155=0,99,IF(T168&gt;3,CdTrp3!S78,CdTrp3!S54))</f>
        <v>99</v>
      </c>
      <c r="U155" s="173">
        <f>IF($AA155=0,99,IF(U168&gt;3,CdTrp3!T78,CdTrp3!T54))</f>
        <v>99</v>
      </c>
      <c r="V155" s="173">
        <f>IF($AA155=0,99,IF(V168&gt;3,CdTrp3!U78,CdTrp3!U54))</f>
        <v>99</v>
      </c>
      <c r="W155" s="173">
        <f>IF($AA155=0,99,IF(W168&gt;3,CdTrp3!V78,CdTrp3!V54))</f>
        <v>99</v>
      </c>
      <c r="X155" s="173">
        <f>IF($AA155=0,99,IF(X168&gt;3,CdTrp3!W78,CdTrp3!W54))</f>
        <v>99</v>
      </c>
      <c r="Y155" s="173">
        <f>IF($AA155=0,99,IF(Y168&gt;3,CdTrp3!X78,CdTrp3!X54))</f>
        <v>99</v>
      </c>
      <c r="Z155" s="173">
        <f>IF($AA155=0,99,IF(Z168&gt;3,CdTrp3!Y78,CdTrp3!Y54))</f>
        <v>99</v>
      </c>
      <c r="AA155" s="182">
        <f>SUM(CdTrp3!B17:Y17)/24</f>
        <v>0</v>
      </c>
    </row>
    <row r="156" spans="1:27" x14ac:dyDescent="0.25">
      <c r="B156" s="185" t="str">
        <f>CdTrp3!A55</f>
        <v>lot4</v>
      </c>
      <c r="C156" s="173">
        <f>IF($AA156=0,99,IF(C169&gt;3,CdTrp3!B79,CdTrp3!B55))</f>
        <v>99</v>
      </c>
      <c r="D156" s="173">
        <f>IF($AA156=0,99,IF(D169&gt;3,CdTrp3!C79,CdTrp3!C55))</f>
        <v>99</v>
      </c>
      <c r="E156" s="173">
        <f>IF($AA156=0,99,IF(E169&gt;3,CdTrp3!D79,CdTrp3!D55))</f>
        <v>99</v>
      </c>
      <c r="F156" s="173">
        <f>IF($AA156=0,99,IF(F169&gt;3,CdTrp3!E79,CdTrp3!E55))</f>
        <v>99</v>
      </c>
      <c r="G156" s="173">
        <f>IF($AA156=0,99,IF(G169&gt;3,CdTrp3!F79,CdTrp3!F55))</f>
        <v>99</v>
      </c>
      <c r="H156" s="173">
        <f>IF($AA156=0,99,IF(H169&gt;3,CdTrp3!G79,CdTrp3!G55))</f>
        <v>99</v>
      </c>
      <c r="I156" s="173">
        <f>IF($AA156=0,99,IF(I169&gt;3,CdTrp3!H79,CdTrp3!H55))</f>
        <v>99</v>
      </c>
      <c r="J156" s="173">
        <f>IF($AA156=0,99,IF(J169&gt;3,CdTrp3!I79,CdTrp3!I55))</f>
        <v>99</v>
      </c>
      <c r="K156" s="173">
        <f>IF($AA156=0,99,IF(K169&gt;3,CdTrp3!J79,CdTrp3!J55))</f>
        <v>99</v>
      </c>
      <c r="L156" s="173">
        <f>IF($AA156=0,99,IF(L169&gt;3,CdTrp3!K79,CdTrp3!K55))</f>
        <v>99</v>
      </c>
      <c r="M156" s="173">
        <f>IF($AA156=0,99,IF(M169&gt;3,CdTrp3!L79,CdTrp3!L55))</f>
        <v>99</v>
      </c>
      <c r="N156" s="173">
        <f>IF($AA156=0,99,IF(N169&gt;3,CdTrp3!M79,CdTrp3!M55))</f>
        <v>99</v>
      </c>
      <c r="O156" s="173">
        <f>IF($AA156=0,99,IF(O169&gt;3,CdTrp3!N79,CdTrp3!N55))</f>
        <v>99</v>
      </c>
      <c r="P156" s="173">
        <f>IF($AA156=0,99,IF(P169&gt;3,CdTrp3!O79,CdTrp3!O55))</f>
        <v>99</v>
      </c>
      <c r="Q156" s="173">
        <f>IF($AA156=0,99,IF(Q169&gt;3,CdTrp3!P79,CdTrp3!P55))</f>
        <v>99</v>
      </c>
      <c r="R156" s="173">
        <f>IF($AA156=0,99,IF(R169&gt;3,CdTrp3!Q79,CdTrp3!Q55))</f>
        <v>99</v>
      </c>
      <c r="S156" s="173">
        <f>IF($AA156=0,99,IF(S169&gt;3,CdTrp3!R79,CdTrp3!R55))</f>
        <v>99</v>
      </c>
      <c r="T156" s="173">
        <f>IF($AA156=0,99,IF(T169&gt;3,CdTrp3!S79,CdTrp3!S55))</f>
        <v>99</v>
      </c>
      <c r="U156" s="173">
        <f>IF($AA156=0,99,IF(U169&gt;3,CdTrp3!T79,CdTrp3!T55))</f>
        <v>99</v>
      </c>
      <c r="V156" s="173">
        <f>IF($AA156=0,99,IF(V169&gt;3,CdTrp3!U79,CdTrp3!U55))</f>
        <v>99</v>
      </c>
      <c r="W156" s="173">
        <f>IF($AA156=0,99,IF(W169&gt;3,CdTrp3!V79,CdTrp3!V55))</f>
        <v>99</v>
      </c>
      <c r="X156" s="173">
        <f>IF($AA156=0,99,IF(X169&gt;3,CdTrp3!W79,CdTrp3!W55))</f>
        <v>99</v>
      </c>
      <c r="Y156" s="173">
        <f>IF($AA156=0,99,IF(Y169&gt;3,CdTrp3!X79,CdTrp3!X55))</f>
        <v>99</v>
      </c>
      <c r="Z156" s="173">
        <f>IF($AA156=0,99,IF(Z169&gt;3,CdTrp3!Y79,CdTrp3!Y55))</f>
        <v>99</v>
      </c>
      <c r="AA156" s="182">
        <f>SUM(CdTrp3!B18:Y18)/24</f>
        <v>0</v>
      </c>
    </row>
    <row r="157" spans="1:27" x14ac:dyDescent="0.25">
      <c r="B157" s="187" t="str">
        <f>CdTrp3!A56</f>
        <v>lot5</v>
      </c>
      <c r="C157" s="173">
        <f>IF($AA157=0,99,IF(C170&gt;3,CdTrp3!B80,CdTrp3!B56))</f>
        <v>99</v>
      </c>
      <c r="D157" s="173">
        <f>IF($AA157=0,99,IF(D170&gt;3,CdTrp3!C80,CdTrp3!C56))</f>
        <v>99</v>
      </c>
      <c r="E157" s="173">
        <f>IF($AA157=0,99,IF(E170&gt;3,CdTrp3!D80,CdTrp3!D56))</f>
        <v>99</v>
      </c>
      <c r="F157" s="173">
        <f>IF($AA157=0,99,IF(F170&gt;3,CdTrp3!E80,CdTrp3!E56))</f>
        <v>99</v>
      </c>
      <c r="G157" s="173">
        <f>IF($AA157=0,99,IF(G170&gt;3,CdTrp3!F80,CdTrp3!F56))</f>
        <v>99</v>
      </c>
      <c r="H157" s="173">
        <f>IF($AA157=0,99,IF(H170&gt;3,CdTrp3!G80,CdTrp3!G56))</f>
        <v>99</v>
      </c>
      <c r="I157" s="173">
        <f>IF($AA157=0,99,IF(I170&gt;3,CdTrp3!H80,CdTrp3!H56))</f>
        <v>99</v>
      </c>
      <c r="J157" s="173">
        <f>IF($AA157=0,99,IF(J170&gt;3,CdTrp3!I80,CdTrp3!I56))</f>
        <v>99</v>
      </c>
      <c r="K157" s="173">
        <f>IF($AA157=0,99,IF(K170&gt;3,CdTrp3!J80,CdTrp3!J56))</f>
        <v>99</v>
      </c>
      <c r="L157" s="173">
        <f>IF($AA157=0,99,IF(L170&gt;3,CdTrp3!K80,CdTrp3!K56))</f>
        <v>99</v>
      </c>
      <c r="M157" s="173">
        <f>IF($AA157=0,99,IF(M170&gt;3,CdTrp3!L80,CdTrp3!L56))</f>
        <v>99</v>
      </c>
      <c r="N157" s="173">
        <f>IF($AA157=0,99,IF(N170&gt;3,CdTrp3!M80,CdTrp3!M56))</f>
        <v>99</v>
      </c>
      <c r="O157" s="173">
        <f>IF($AA157=0,99,IF(O170&gt;3,CdTrp3!N80,CdTrp3!N56))</f>
        <v>99</v>
      </c>
      <c r="P157" s="173">
        <f>IF($AA157=0,99,IF(P170&gt;3,CdTrp3!O80,CdTrp3!O56))</f>
        <v>99</v>
      </c>
      <c r="Q157" s="173">
        <f>IF($AA157=0,99,IF(Q170&gt;3,CdTrp3!P80,CdTrp3!P56))</f>
        <v>99</v>
      </c>
      <c r="R157" s="173">
        <f>IF($AA157=0,99,IF(R170&gt;3,CdTrp3!Q80,CdTrp3!Q56))</f>
        <v>99</v>
      </c>
      <c r="S157" s="173">
        <f>IF($AA157=0,99,IF(S170&gt;3,CdTrp3!R80,CdTrp3!R56))</f>
        <v>99</v>
      </c>
      <c r="T157" s="173">
        <f>IF($AA157=0,99,IF(T170&gt;3,CdTrp3!S80,CdTrp3!S56))</f>
        <v>99</v>
      </c>
      <c r="U157" s="173">
        <f>IF($AA157=0,99,IF(U170&gt;3,CdTrp3!T80,CdTrp3!T56))</f>
        <v>99</v>
      </c>
      <c r="V157" s="173">
        <f>IF($AA157=0,99,IF(V170&gt;3,CdTrp3!U80,CdTrp3!U56))</f>
        <v>99</v>
      </c>
      <c r="W157" s="173">
        <f>IF($AA157=0,99,IF(W170&gt;3,CdTrp3!V80,CdTrp3!V56))</f>
        <v>99</v>
      </c>
      <c r="X157" s="173">
        <f>IF($AA157=0,99,IF(X170&gt;3,CdTrp3!W80,CdTrp3!W56))</f>
        <v>99</v>
      </c>
      <c r="Y157" s="173">
        <f>IF($AA157=0,99,IF(Y170&gt;3,CdTrp3!X80,CdTrp3!X56))</f>
        <v>99</v>
      </c>
      <c r="Z157" s="173">
        <f>IF($AA157=0,99,IF(Z170&gt;3,CdTrp3!Y80,CdTrp3!Y56))</f>
        <v>99</v>
      </c>
      <c r="AA157" s="182">
        <f>SUM(CdTrp3!B19:Y19)/24</f>
        <v>0</v>
      </c>
    </row>
    <row r="158" spans="1:27" x14ac:dyDescent="0.25">
      <c r="B158" s="185" t="str">
        <f>CdTrp3!A57</f>
        <v>lot6</v>
      </c>
      <c r="C158" s="173">
        <f>IF($AA158=0,99,IF(C171&gt;3,CdTrp3!B81,CdTrp3!B57))</f>
        <v>99</v>
      </c>
      <c r="D158" s="173">
        <f>IF($AA158=0,99,IF(D171&gt;3,CdTrp3!C81,CdTrp3!C57))</f>
        <v>99</v>
      </c>
      <c r="E158" s="173">
        <f>IF($AA158=0,99,IF(E171&gt;3,CdTrp3!D81,CdTrp3!D57))</f>
        <v>99</v>
      </c>
      <c r="F158" s="173">
        <f>IF($AA158=0,99,IF(F171&gt;3,CdTrp3!E81,CdTrp3!E57))</f>
        <v>99</v>
      </c>
      <c r="G158" s="173">
        <f>IF($AA158=0,99,IF(G171&gt;3,CdTrp3!F81,CdTrp3!F57))</f>
        <v>99</v>
      </c>
      <c r="H158" s="173">
        <f>IF($AA158=0,99,IF(H171&gt;3,CdTrp3!G81,CdTrp3!G57))</f>
        <v>99</v>
      </c>
      <c r="I158" s="173">
        <f>IF($AA158=0,99,IF(I171&gt;3,CdTrp3!H81,CdTrp3!H57))</f>
        <v>99</v>
      </c>
      <c r="J158" s="173">
        <f>IF($AA158=0,99,IF(J171&gt;3,CdTrp3!I81,CdTrp3!I57))</f>
        <v>99</v>
      </c>
      <c r="K158" s="173">
        <f>IF($AA158=0,99,IF(K171&gt;3,CdTrp3!J81,CdTrp3!J57))</f>
        <v>99</v>
      </c>
      <c r="L158" s="173">
        <f>IF($AA158=0,99,IF(L171&gt;3,CdTrp3!K81,CdTrp3!K57))</f>
        <v>99</v>
      </c>
      <c r="M158" s="173">
        <f>IF($AA158=0,99,IF(M171&gt;3,CdTrp3!L81,CdTrp3!L57))</f>
        <v>99</v>
      </c>
      <c r="N158" s="173">
        <f>IF($AA158=0,99,IF(N171&gt;3,CdTrp3!M81,CdTrp3!M57))</f>
        <v>99</v>
      </c>
      <c r="O158" s="173">
        <f>IF($AA158=0,99,IF(O171&gt;3,CdTrp3!N81,CdTrp3!N57))</f>
        <v>99</v>
      </c>
      <c r="P158" s="173">
        <f>IF($AA158=0,99,IF(P171&gt;3,CdTrp3!O81,CdTrp3!O57))</f>
        <v>99</v>
      </c>
      <c r="Q158" s="173">
        <f>IF($AA158=0,99,IF(Q171&gt;3,CdTrp3!P81,CdTrp3!P57))</f>
        <v>99</v>
      </c>
      <c r="R158" s="173">
        <f>IF($AA158=0,99,IF(R171&gt;3,CdTrp3!Q81,CdTrp3!Q57))</f>
        <v>99</v>
      </c>
      <c r="S158" s="173">
        <f>IF($AA158=0,99,IF(S171&gt;3,CdTrp3!R81,CdTrp3!R57))</f>
        <v>99</v>
      </c>
      <c r="T158" s="173">
        <f>IF($AA158=0,99,IF(T171&gt;3,CdTrp3!S81,CdTrp3!S57))</f>
        <v>99</v>
      </c>
      <c r="U158" s="173">
        <f>IF($AA158=0,99,IF(U171&gt;3,CdTrp3!T81,CdTrp3!T57))</f>
        <v>99</v>
      </c>
      <c r="V158" s="173">
        <f>IF($AA158=0,99,IF(V171&gt;3,CdTrp3!U81,CdTrp3!U57))</f>
        <v>99</v>
      </c>
      <c r="W158" s="173">
        <f>IF($AA158=0,99,IF(W171&gt;3,CdTrp3!V81,CdTrp3!V57))</f>
        <v>99</v>
      </c>
      <c r="X158" s="173">
        <f>IF($AA158=0,99,IF(X171&gt;3,CdTrp3!W81,CdTrp3!W57))</f>
        <v>99</v>
      </c>
      <c r="Y158" s="173">
        <f>IF($AA158=0,99,IF(Y171&gt;3,CdTrp3!X81,CdTrp3!X57))</f>
        <v>99</v>
      </c>
      <c r="Z158" s="173">
        <f>IF($AA158=0,99,IF(Z171&gt;3,CdTrp3!Y81,CdTrp3!Y57))</f>
        <v>99</v>
      </c>
      <c r="AA158" s="182">
        <f>SUM(CdTrp3!B20:Y20)/24</f>
        <v>0</v>
      </c>
    </row>
    <row r="159" spans="1:27" x14ac:dyDescent="0.25">
      <c r="B159" s="187" t="str">
        <f>CdTrp3!A58</f>
        <v>lot7</v>
      </c>
      <c r="C159" s="173">
        <f>IF($AA159=0,99,IF(C172&gt;3,CdTrp3!B82,CdTrp3!B58))</f>
        <v>99</v>
      </c>
      <c r="D159" s="173">
        <f>IF($AA159=0,99,IF(D172&gt;3,CdTrp3!C82,CdTrp3!C58))</f>
        <v>99</v>
      </c>
      <c r="E159" s="173">
        <f>IF($AA159=0,99,IF(E172&gt;3,CdTrp3!D82,CdTrp3!D58))</f>
        <v>99</v>
      </c>
      <c r="F159" s="173">
        <f>IF($AA159=0,99,IF(F172&gt;3,CdTrp3!E82,CdTrp3!E58))</f>
        <v>99</v>
      </c>
      <c r="G159" s="173">
        <f>IF($AA159=0,99,IF(G172&gt;3,CdTrp3!F82,CdTrp3!F58))</f>
        <v>99</v>
      </c>
      <c r="H159" s="173">
        <f>IF($AA159=0,99,IF(H172&gt;3,CdTrp3!G82,CdTrp3!G58))</f>
        <v>99</v>
      </c>
      <c r="I159" s="173">
        <f>IF($AA159=0,99,IF(I172&gt;3,CdTrp3!H82,CdTrp3!H58))</f>
        <v>99</v>
      </c>
      <c r="J159" s="173">
        <f>IF($AA159=0,99,IF(J172&gt;3,CdTrp3!I82,CdTrp3!I58))</f>
        <v>99</v>
      </c>
      <c r="K159" s="173">
        <f>IF($AA159=0,99,IF(K172&gt;3,CdTrp3!J82,CdTrp3!J58))</f>
        <v>99</v>
      </c>
      <c r="L159" s="173">
        <f>IF($AA159=0,99,IF(L172&gt;3,CdTrp3!K82,CdTrp3!K58))</f>
        <v>99</v>
      </c>
      <c r="M159" s="173">
        <f>IF($AA159=0,99,IF(M172&gt;3,CdTrp3!L82,CdTrp3!L58))</f>
        <v>99</v>
      </c>
      <c r="N159" s="173">
        <f>IF($AA159=0,99,IF(N172&gt;3,CdTrp3!M82,CdTrp3!M58))</f>
        <v>99</v>
      </c>
      <c r="O159" s="173">
        <f>IF($AA159=0,99,IF(O172&gt;3,CdTrp3!N82,CdTrp3!N58))</f>
        <v>99</v>
      </c>
      <c r="P159" s="173">
        <f>IF($AA159=0,99,IF(P172&gt;3,CdTrp3!O82,CdTrp3!O58))</f>
        <v>99</v>
      </c>
      <c r="Q159" s="173">
        <f>IF($AA159=0,99,IF(Q172&gt;3,CdTrp3!P82,CdTrp3!P58))</f>
        <v>99</v>
      </c>
      <c r="R159" s="173">
        <f>IF($AA159=0,99,IF(R172&gt;3,CdTrp3!Q82,CdTrp3!Q58))</f>
        <v>99</v>
      </c>
      <c r="S159" s="173">
        <f>IF($AA159=0,99,IF(S172&gt;3,CdTrp3!R82,CdTrp3!R58))</f>
        <v>99</v>
      </c>
      <c r="T159" s="173">
        <f>IF($AA159=0,99,IF(T172&gt;3,CdTrp3!S82,CdTrp3!S58))</f>
        <v>99</v>
      </c>
      <c r="U159" s="173">
        <f>IF($AA159=0,99,IF(U172&gt;3,CdTrp3!T82,CdTrp3!T58))</f>
        <v>99</v>
      </c>
      <c r="V159" s="173">
        <f>IF($AA159=0,99,IF(V172&gt;3,CdTrp3!U82,CdTrp3!U58))</f>
        <v>99</v>
      </c>
      <c r="W159" s="173">
        <f>IF($AA159=0,99,IF(W172&gt;3,CdTrp3!V82,CdTrp3!V58))</f>
        <v>99</v>
      </c>
      <c r="X159" s="173">
        <f>IF($AA159=0,99,IF(X172&gt;3,CdTrp3!W82,CdTrp3!W58))</f>
        <v>99</v>
      </c>
      <c r="Y159" s="173">
        <f>IF($AA159=0,99,IF(Y172&gt;3,CdTrp3!X82,CdTrp3!X58))</f>
        <v>99</v>
      </c>
      <c r="Z159" s="173">
        <f>IF($AA159=0,99,IF(Z172&gt;3,CdTrp3!Y82,CdTrp3!Y58))</f>
        <v>99</v>
      </c>
      <c r="AA159" s="182">
        <f>SUM(CdTrp3!B21:Y21)/24</f>
        <v>0</v>
      </c>
    </row>
    <row r="160" spans="1:27" x14ac:dyDescent="0.25">
      <c r="B160" s="187" t="str">
        <f>CdTrp3!A59</f>
        <v>lot8</v>
      </c>
      <c r="C160" s="173">
        <f>IF($AA160=0,99,IF(C173&gt;3,CdTrp3!B83,CdTrp3!B59))</f>
        <v>99</v>
      </c>
      <c r="D160" s="173">
        <f>IF($AA160=0,99,IF(D173&gt;3,CdTrp3!C83,CdTrp3!C59))</f>
        <v>99</v>
      </c>
      <c r="E160" s="173">
        <f>IF($AA160=0,99,IF(E173&gt;3,CdTrp3!D83,CdTrp3!D59))</f>
        <v>99</v>
      </c>
      <c r="F160" s="173">
        <f>IF($AA160=0,99,IF(F173&gt;3,CdTrp3!E83,CdTrp3!E59))</f>
        <v>99</v>
      </c>
      <c r="G160" s="173">
        <f>IF($AA160=0,99,IF(G173&gt;3,CdTrp3!F83,CdTrp3!F59))</f>
        <v>99</v>
      </c>
      <c r="H160" s="173">
        <f>IF($AA160=0,99,IF(H173&gt;3,CdTrp3!G83,CdTrp3!G59))</f>
        <v>99</v>
      </c>
      <c r="I160" s="173">
        <f>IF($AA160=0,99,IF(I173&gt;3,CdTrp3!H83,CdTrp3!H59))</f>
        <v>99</v>
      </c>
      <c r="J160" s="173">
        <f>IF($AA160=0,99,IF(J173&gt;3,CdTrp3!I83,CdTrp3!I59))</f>
        <v>99</v>
      </c>
      <c r="K160" s="173">
        <f>IF($AA160=0,99,IF(K173&gt;3,CdTrp3!J83,CdTrp3!J59))</f>
        <v>99</v>
      </c>
      <c r="L160" s="173">
        <f>IF($AA160=0,99,IF(L173&gt;3,CdTrp3!K83,CdTrp3!K59))</f>
        <v>99</v>
      </c>
      <c r="M160" s="173">
        <f>IF($AA160=0,99,IF(M173&gt;3,CdTrp3!L83,CdTrp3!L59))</f>
        <v>99</v>
      </c>
      <c r="N160" s="173">
        <f>IF($AA160=0,99,IF(N173&gt;3,CdTrp3!M83,CdTrp3!M59))</f>
        <v>99</v>
      </c>
      <c r="O160" s="173">
        <f>IF($AA160=0,99,IF(O173&gt;3,CdTrp3!N83,CdTrp3!N59))</f>
        <v>99</v>
      </c>
      <c r="P160" s="173">
        <f>IF($AA160=0,99,IF(P173&gt;3,CdTrp3!O83,CdTrp3!O59))</f>
        <v>99</v>
      </c>
      <c r="Q160" s="173">
        <f>IF($AA160=0,99,IF(Q173&gt;3,CdTrp3!P83,CdTrp3!P59))</f>
        <v>99</v>
      </c>
      <c r="R160" s="173">
        <f>IF($AA160=0,99,IF(R173&gt;3,CdTrp3!Q83,CdTrp3!Q59))</f>
        <v>99</v>
      </c>
      <c r="S160" s="173">
        <f>IF($AA160=0,99,IF(S173&gt;3,CdTrp3!R83,CdTrp3!R59))</f>
        <v>99</v>
      </c>
      <c r="T160" s="173">
        <f>IF($AA160=0,99,IF(T173&gt;3,CdTrp3!S83,CdTrp3!S59))</f>
        <v>99</v>
      </c>
      <c r="U160" s="173">
        <f>IF($AA160=0,99,IF(U173&gt;3,CdTrp3!T83,CdTrp3!T59))</f>
        <v>99</v>
      </c>
      <c r="V160" s="173">
        <f>IF($AA160=0,99,IF(V173&gt;3,CdTrp3!U83,CdTrp3!U59))</f>
        <v>99</v>
      </c>
      <c r="W160" s="173">
        <f>IF($AA160=0,99,IF(W173&gt;3,CdTrp3!V83,CdTrp3!V59))</f>
        <v>99</v>
      </c>
      <c r="X160" s="173">
        <f>IF($AA160=0,99,IF(X173&gt;3,CdTrp3!W83,CdTrp3!W59))</f>
        <v>99</v>
      </c>
      <c r="Y160" s="173">
        <f>IF($AA160=0,99,IF(Y173&gt;3,CdTrp3!X83,CdTrp3!X59))</f>
        <v>99</v>
      </c>
      <c r="Z160" s="173">
        <f>IF($AA160=0,99,IF(Z173&gt;3,CdTrp3!Y83,CdTrp3!Y59))</f>
        <v>99</v>
      </c>
      <c r="AA160" s="182">
        <f>SUM(CdTrp3!B22:Y22)/24</f>
        <v>0</v>
      </c>
    </row>
    <row r="161" spans="1:27" x14ac:dyDescent="0.25">
      <c r="B161" s="185" t="str">
        <f>CdTrp3!A60</f>
        <v>lot9</v>
      </c>
      <c r="C161" s="173">
        <f>IF($AA161=0,99,IF(C174&gt;3,CdTrp3!B84,CdTrp3!B60))</f>
        <v>99</v>
      </c>
      <c r="D161" s="173">
        <f>IF($AA161=0,99,IF(D174&gt;3,CdTrp3!C84,CdTrp3!C60))</f>
        <v>99</v>
      </c>
      <c r="E161" s="173">
        <f>IF($AA161=0,99,IF(E174&gt;3,CdTrp3!D84,CdTrp3!D60))</f>
        <v>99</v>
      </c>
      <c r="F161" s="173">
        <f>IF($AA161=0,99,IF(F174&gt;3,CdTrp3!E84,CdTrp3!E60))</f>
        <v>99</v>
      </c>
      <c r="G161" s="173">
        <f>IF($AA161=0,99,IF(G174&gt;3,CdTrp3!F84,CdTrp3!F60))</f>
        <v>99</v>
      </c>
      <c r="H161" s="173">
        <f>IF($AA161=0,99,IF(H174&gt;3,CdTrp3!G84,CdTrp3!G60))</f>
        <v>99</v>
      </c>
      <c r="I161" s="173">
        <f>IF($AA161=0,99,IF(I174&gt;3,CdTrp3!H84,CdTrp3!H60))</f>
        <v>99</v>
      </c>
      <c r="J161" s="173">
        <f>IF($AA161=0,99,IF(J174&gt;3,CdTrp3!I84,CdTrp3!I60))</f>
        <v>99</v>
      </c>
      <c r="K161" s="173">
        <f>IF($AA161=0,99,IF(K174&gt;3,CdTrp3!J84,CdTrp3!J60))</f>
        <v>99</v>
      </c>
      <c r="L161" s="173">
        <f>IF($AA161=0,99,IF(L174&gt;3,CdTrp3!K84,CdTrp3!K60))</f>
        <v>99</v>
      </c>
      <c r="M161" s="173">
        <f>IF($AA161=0,99,IF(M174&gt;3,CdTrp3!L84,CdTrp3!L60))</f>
        <v>99</v>
      </c>
      <c r="N161" s="173">
        <f>IF($AA161=0,99,IF(N174&gt;3,CdTrp3!M84,CdTrp3!M60))</f>
        <v>99</v>
      </c>
      <c r="O161" s="173">
        <f>IF($AA161=0,99,IF(O174&gt;3,CdTrp3!N84,CdTrp3!N60))</f>
        <v>99</v>
      </c>
      <c r="P161" s="173">
        <f>IF($AA161=0,99,IF(P174&gt;3,CdTrp3!O84,CdTrp3!O60))</f>
        <v>99</v>
      </c>
      <c r="Q161" s="173">
        <f>IF($AA161=0,99,IF(Q174&gt;3,CdTrp3!P84,CdTrp3!P60))</f>
        <v>99</v>
      </c>
      <c r="R161" s="173">
        <f>IF($AA161=0,99,IF(R174&gt;3,CdTrp3!Q84,CdTrp3!Q60))</f>
        <v>99</v>
      </c>
      <c r="S161" s="173">
        <f>IF($AA161=0,99,IF(S174&gt;3,CdTrp3!R84,CdTrp3!R60))</f>
        <v>99</v>
      </c>
      <c r="T161" s="173">
        <f>IF($AA161=0,99,IF(T174&gt;3,CdTrp3!S84,CdTrp3!S60))</f>
        <v>99</v>
      </c>
      <c r="U161" s="173">
        <f>IF($AA161=0,99,IF(U174&gt;3,CdTrp3!T84,CdTrp3!T60))</f>
        <v>99</v>
      </c>
      <c r="V161" s="173">
        <f>IF($AA161=0,99,IF(V174&gt;3,CdTrp3!U84,CdTrp3!U60))</f>
        <v>99</v>
      </c>
      <c r="W161" s="173">
        <f>IF($AA161=0,99,IF(W174&gt;3,CdTrp3!V84,CdTrp3!V60))</f>
        <v>99</v>
      </c>
      <c r="X161" s="173">
        <f>IF($AA161=0,99,IF(X174&gt;3,CdTrp3!W84,CdTrp3!W60))</f>
        <v>99</v>
      </c>
      <c r="Y161" s="173">
        <f>IF($AA161=0,99,IF(Y174&gt;3,CdTrp3!X84,CdTrp3!X60))</f>
        <v>99</v>
      </c>
      <c r="Z161" s="173">
        <f>IF($AA161=0,99,IF(Z174&gt;3,CdTrp3!Y84,CdTrp3!Y60))</f>
        <v>99</v>
      </c>
      <c r="AA161" s="182">
        <f>SUM(CdTrp3!B23:Y23)/24</f>
        <v>0</v>
      </c>
    </row>
    <row r="162" spans="1:27" x14ac:dyDescent="0.25">
      <c r="B162" s="187" t="str">
        <f>CdTrp3!A61</f>
        <v>lot10</v>
      </c>
      <c r="C162" s="173">
        <f>IF($AA162=0,99,IF(C175&gt;3,CdTrp3!B85,CdTrp3!B61))</f>
        <v>99</v>
      </c>
      <c r="D162" s="173">
        <f>IF($AA162=0,99,IF(D175&gt;3,CdTrp3!C85,CdTrp3!C61))</f>
        <v>99</v>
      </c>
      <c r="E162" s="173">
        <f>IF($AA162=0,99,IF(E175&gt;3,CdTrp3!D85,CdTrp3!D61))</f>
        <v>99</v>
      </c>
      <c r="F162" s="173">
        <f>IF($AA162=0,99,IF(F175&gt;3,CdTrp3!E85,CdTrp3!E61))</f>
        <v>99</v>
      </c>
      <c r="G162" s="173">
        <f>IF($AA162=0,99,IF(G175&gt;3,CdTrp3!F85,CdTrp3!F61))</f>
        <v>99</v>
      </c>
      <c r="H162" s="173">
        <f>IF($AA162=0,99,IF(H175&gt;3,CdTrp3!G85,CdTrp3!G61))</f>
        <v>99</v>
      </c>
      <c r="I162" s="173">
        <f>IF($AA162=0,99,IF(I175&gt;3,CdTrp3!H85,CdTrp3!H61))</f>
        <v>99</v>
      </c>
      <c r="J162" s="173">
        <f>IF($AA162=0,99,IF(J175&gt;3,CdTrp3!I85,CdTrp3!I61))</f>
        <v>99</v>
      </c>
      <c r="K162" s="173">
        <f>IF($AA162=0,99,IF(K175&gt;3,CdTrp3!J85,CdTrp3!J61))</f>
        <v>99</v>
      </c>
      <c r="L162" s="173">
        <f>IF($AA162=0,99,IF(L175&gt;3,CdTrp3!K85,CdTrp3!K61))</f>
        <v>99</v>
      </c>
      <c r="M162" s="173">
        <f>IF($AA162=0,99,IF(M175&gt;3,CdTrp3!L85,CdTrp3!L61))</f>
        <v>99</v>
      </c>
      <c r="N162" s="173">
        <f>IF($AA162=0,99,IF(N175&gt;3,CdTrp3!M85,CdTrp3!M61))</f>
        <v>99</v>
      </c>
      <c r="O162" s="173">
        <f>IF($AA162=0,99,IF(O175&gt;3,CdTrp3!N85,CdTrp3!N61))</f>
        <v>99</v>
      </c>
      <c r="P162" s="173">
        <f>IF($AA162=0,99,IF(P175&gt;3,CdTrp3!O85,CdTrp3!O61))</f>
        <v>99</v>
      </c>
      <c r="Q162" s="173">
        <f>IF($AA162=0,99,IF(Q175&gt;3,CdTrp3!P85,CdTrp3!P61))</f>
        <v>99</v>
      </c>
      <c r="R162" s="173">
        <f>IF($AA162=0,99,IF(R175&gt;3,CdTrp3!Q85,CdTrp3!Q61))</f>
        <v>99</v>
      </c>
      <c r="S162" s="173">
        <f>IF($AA162=0,99,IF(S175&gt;3,CdTrp3!R85,CdTrp3!R61))</f>
        <v>99</v>
      </c>
      <c r="T162" s="173">
        <f>IF($AA162=0,99,IF(T175&gt;3,CdTrp3!S85,CdTrp3!S61))</f>
        <v>99</v>
      </c>
      <c r="U162" s="173">
        <f>IF($AA162=0,99,IF(U175&gt;3,CdTrp3!T85,CdTrp3!T61))</f>
        <v>99</v>
      </c>
      <c r="V162" s="173">
        <f>IF($AA162=0,99,IF(V175&gt;3,CdTrp3!U85,CdTrp3!U61))</f>
        <v>99</v>
      </c>
      <c r="W162" s="173">
        <f>IF($AA162=0,99,IF(W175&gt;3,CdTrp3!V85,CdTrp3!V61))</f>
        <v>99</v>
      </c>
      <c r="X162" s="173">
        <f>IF($AA162=0,99,IF(X175&gt;3,CdTrp3!W85,CdTrp3!W61))</f>
        <v>99</v>
      </c>
      <c r="Y162" s="173">
        <f>IF($AA162=0,99,IF(Y175&gt;3,CdTrp3!X85,CdTrp3!X61))</f>
        <v>99</v>
      </c>
      <c r="Z162" s="173">
        <f>IF($AA162=0,99,IF(Z175&gt;3,CdTrp3!Y85,CdTrp3!Y61))</f>
        <v>99</v>
      </c>
      <c r="AA162" s="182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96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742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186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186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186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186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186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186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1396</v>
      </c>
      <c r="C180" s="173">
        <f>IF(Troupeau!$B$3="OL",Protection!C18,0)</f>
        <v>1</v>
      </c>
      <c r="D180" s="173">
        <f>IF(Troupeau!$B$3="OL",Protection!D18,0)</f>
        <v>1</v>
      </c>
      <c r="E180" s="173">
        <f>IF(Troupeau!$B$3="OL",Protection!E18,0)</f>
        <v>1</v>
      </c>
      <c r="F180" s="173">
        <f>IF(Troupeau!$B$3="OL",Protection!F18,0)</f>
        <v>1</v>
      </c>
      <c r="G180" s="173">
        <f>IF(Troupeau!$B$3="OL",Protection!G18,0)</f>
        <v>1</v>
      </c>
      <c r="H180" s="173">
        <f>IF(Troupeau!$B$3="OL",Protection!H18,0)</f>
        <v>1</v>
      </c>
      <c r="I180" s="173">
        <f>IF(Troupeau!$B$3="OL",Protection!I18,0)</f>
        <v>1</v>
      </c>
      <c r="J180" s="173">
        <f>IF(Troupeau!$B$3="OL",Protection!J18,0)</f>
        <v>1</v>
      </c>
      <c r="K180" s="173">
        <f>IF(Troupeau!$B$3="OL",Protection!K18,0)</f>
        <v>1</v>
      </c>
      <c r="L180" s="173">
        <f>IF(Troupeau!$B$3="OL",Protection!L18,0)</f>
        <v>1</v>
      </c>
      <c r="M180" s="173">
        <f>IF(Troupeau!$B$3="OL",Protection!M18,0)</f>
        <v>1</v>
      </c>
      <c r="N180" s="173">
        <f>IF(Troupeau!$B$3="OL",Protection!N18,0)</f>
        <v>1</v>
      </c>
      <c r="O180" s="173">
        <f>IF(Troupeau!$B$3="OL",Protection!O18,0)</f>
        <v>1</v>
      </c>
      <c r="P180" s="173">
        <f>IF(Troupeau!$B$3="OL",Protection!P18,0)</f>
        <v>1</v>
      </c>
      <c r="Q180" s="173">
        <f>IF(Troupeau!$B$3="OL",Protection!Q18,0)</f>
        <v>1</v>
      </c>
      <c r="R180" s="173">
        <f>IF(Troupeau!$B$3="OL",Protection!R18,0)</f>
        <v>1</v>
      </c>
      <c r="S180" s="173">
        <f>IF(Troupeau!$B$3="OL",Protection!S18,0)</f>
        <v>1</v>
      </c>
      <c r="T180" s="173">
        <f>IF(Troupeau!$B$3="OL",Protection!T18,0)</f>
        <v>1</v>
      </c>
      <c r="U180" s="173">
        <f>IF(Troupeau!$B$3="OL",Protection!U18,0)</f>
        <v>1</v>
      </c>
      <c r="V180" s="173">
        <f>IF(Troupeau!$B$3="OL",Protection!V18,0)</f>
        <v>1</v>
      </c>
      <c r="W180" s="173">
        <f>IF(Troupeau!$B$3="OL",Protection!W18,0)</f>
        <v>1</v>
      </c>
      <c r="X180" s="173">
        <f>IF(Troupeau!$B$3="OL",Protection!X18,0)</f>
        <v>1</v>
      </c>
      <c r="Y180" s="173">
        <f>IF(Troupeau!$B$3="OL",Protection!Y18,0)</f>
        <v>1</v>
      </c>
      <c r="Z180" s="173">
        <f>IF(Troupeau!$B$3="OL",Protection!Z18,0)</f>
        <v>1</v>
      </c>
    </row>
    <row r="181" spans="1:26" x14ac:dyDescent="0.25">
      <c r="A181" t="s">
        <v>1397</v>
      </c>
      <c r="C181" s="173">
        <f>IF(Troupeau!$B$3="OL",Protection!C19+C21,0)</f>
        <v>0</v>
      </c>
      <c r="D181" s="173">
        <f>IF(Troupeau!$B$3="OL",Protection!D19+D21,0)</f>
        <v>0</v>
      </c>
      <c r="E181" s="173">
        <f>IF(Troupeau!$B$3="OL",Protection!E19+E21,0)</f>
        <v>0</v>
      </c>
      <c r="F181" s="173">
        <f>IF(Troupeau!$B$3="OL",Protection!F19+F21,0)</f>
        <v>0</v>
      </c>
      <c r="G181" s="173">
        <f>IF(Troupeau!$B$3="OL",Protection!G19+G21,0)</f>
        <v>0</v>
      </c>
      <c r="H181" s="173">
        <f>IF(Troupeau!$B$3="OL",Protection!H19+H21,0)</f>
        <v>0</v>
      </c>
      <c r="I181" s="173">
        <f>IF(Troupeau!$B$3="OL",Protection!I19+I21,0)</f>
        <v>0</v>
      </c>
      <c r="J181" s="173">
        <f>IF(Troupeau!$B$3="OL",Protection!J19+J21,0)</f>
        <v>0</v>
      </c>
      <c r="K181" s="173">
        <f>IF(Troupeau!$B$3="OL",Protection!K19+K21,0)</f>
        <v>0</v>
      </c>
      <c r="L181" s="173">
        <f>IF(Troupeau!$B$3="OL",Protection!L19+L21,0)</f>
        <v>0</v>
      </c>
      <c r="M181" s="173">
        <f>IF(Troupeau!$B$3="OL",Protection!M19+M21,0)</f>
        <v>0</v>
      </c>
      <c r="N181" s="173">
        <f>IF(Troupeau!$B$3="OL",Protection!N19+N21,0)</f>
        <v>2</v>
      </c>
      <c r="O181" s="173">
        <f>IF(Troupeau!$B$3="OL",Protection!O19+O21,0)</f>
        <v>2</v>
      </c>
      <c r="P181" s="173">
        <f>IF(Troupeau!$B$3="OL",Protection!P19+P21,0)</f>
        <v>2</v>
      </c>
      <c r="Q181" s="173">
        <f>IF(Troupeau!$B$3="OL",Protection!Q19+Q21,0)</f>
        <v>2</v>
      </c>
      <c r="R181" s="173">
        <f>IF(Troupeau!$B$3="OL",Protection!R19+R21,0)</f>
        <v>2</v>
      </c>
      <c r="S181" s="173">
        <f>IF(Troupeau!$B$3="OL",Protection!S19+S21,0)</f>
        <v>2</v>
      </c>
      <c r="T181" s="173">
        <f>IF(Troupeau!$B$3="OL",Protection!T19+T21,0)</f>
        <v>2</v>
      </c>
      <c r="U181" s="173">
        <f>IF(Troupeau!$B$3="OL",Protection!U19+U21,0)</f>
        <v>0</v>
      </c>
      <c r="V181" s="173">
        <f>IF(Troupeau!$B$3="OL",Protection!V19+V21,0)</f>
        <v>0</v>
      </c>
      <c r="W181" s="173">
        <f>IF(Troupeau!$B$3="OL",Protection!W19+W21,0)</f>
        <v>0</v>
      </c>
      <c r="X181" s="173">
        <f>IF(Troupeau!$B$3="OL",Protection!X19+X21,0)</f>
        <v>0</v>
      </c>
      <c r="Y181" s="173">
        <f>IF(Troupeau!$B$3="OL",Protection!Y19+Y21,0)</f>
        <v>0</v>
      </c>
      <c r="Z181" s="173">
        <f>IF(Troupeau!$B$3="OL",Protection!Z19+Z21,0)</f>
        <v>0</v>
      </c>
    </row>
    <row r="182" spans="1:26" x14ac:dyDescent="0.25">
      <c r="A182"/>
    </row>
    <row r="183" spans="1:26" x14ac:dyDescent="0.25">
      <c r="A183" t="s">
        <v>1398</v>
      </c>
      <c r="C183" s="173">
        <f>IF(AND(OR(Troupeau!$B$3="BV",Troupeau!$B$3="BL"),Scénario!$K$91&gt;0),Protection!C18,0)</f>
        <v>0</v>
      </c>
      <c r="D183" s="173">
        <f>IF(AND(OR(Troupeau!$B$3="BV",Troupeau!$B$3="BL"),Scénario!$K$91&gt;0),Protection!D18,0)</f>
        <v>0</v>
      </c>
      <c r="E183" s="173">
        <f>IF(AND(OR(Troupeau!$B$3="BV",Troupeau!$B$3="BL"),Scénario!$K$91&gt;0),Protection!E18,0)</f>
        <v>0</v>
      </c>
      <c r="F183" s="173">
        <f>IF(AND(OR(Troupeau!$B$3="BV",Troupeau!$B$3="BL"),Scénario!$K$91&gt;0),Protection!F18,0)</f>
        <v>0</v>
      </c>
      <c r="G183" s="173">
        <f>IF(AND(OR(Troupeau!$B$3="BV",Troupeau!$B$3="BL"),Scénario!$K$91&gt;0),Protection!G18,0)</f>
        <v>0</v>
      </c>
      <c r="H183" s="173">
        <f>IF(AND(OR(Troupeau!$B$3="BV",Troupeau!$B$3="BL"),Scénario!$K$91&gt;0),Protection!H18,0)</f>
        <v>0</v>
      </c>
      <c r="I183" s="173">
        <f>IF(AND(OR(Troupeau!$B$3="BV",Troupeau!$B$3="BL"),Scénario!$K$91&gt;0),Protection!I18,0)</f>
        <v>0</v>
      </c>
      <c r="J183" s="173">
        <f>IF(AND(OR(Troupeau!$B$3="BV",Troupeau!$B$3="BL"),Scénario!$K$91&gt;0),Protection!J18,0)</f>
        <v>0</v>
      </c>
      <c r="K183" s="173">
        <f>IF(AND(OR(Troupeau!$B$3="BV",Troupeau!$B$3="BL"),Scénario!$K$91&gt;0),Protection!K18,0)</f>
        <v>0</v>
      </c>
      <c r="L183" s="173">
        <f>IF(AND(OR(Troupeau!$B$3="BV",Troupeau!$B$3="BL"),Scénario!$K$91&gt;0),Protection!L18,0)</f>
        <v>0</v>
      </c>
      <c r="M183" s="173">
        <f>IF(AND(OR(Troupeau!$B$3="BV",Troupeau!$B$3="BL"),Scénario!$K$91&gt;0),Protection!M18,0)</f>
        <v>0</v>
      </c>
      <c r="N183" s="173">
        <f>IF(AND(OR(Troupeau!$B$3="BV",Troupeau!$B$3="BL"),Scénario!$K$91&gt;0),Protection!N18,0)</f>
        <v>0</v>
      </c>
      <c r="O183" s="173">
        <f>IF(AND(OR(Troupeau!$B$3="BV",Troupeau!$B$3="BL"),Scénario!$K$91&gt;0),Protection!O18,0)</f>
        <v>0</v>
      </c>
      <c r="P183" s="173">
        <f>IF(AND(OR(Troupeau!$B$3="BV",Troupeau!$B$3="BL"),Scénario!$K$91&gt;0),Protection!P18,0)</f>
        <v>0</v>
      </c>
      <c r="Q183" s="173">
        <f>IF(AND(OR(Troupeau!$B$3="BV",Troupeau!$B$3="BL"),Scénario!$K$91&gt;0),Protection!Q18,0)</f>
        <v>0</v>
      </c>
      <c r="R183" s="173">
        <f>IF(AND(OR(Troupeau!$B$3="BV",Troupeau!$B$3="BL"),Scénario!$K$91&gt;0),Protection!R18,0)</f>
        <v>0</v>
      </c>
      <c r="S183" s="173">
        <f>IF(AND(OR(Troupeau!$B$3="BV",Troupeau!$B$3="BL"),Scénario!$K$91&gt;0),Protection!S18,0)</f>
        <v>0</v>
      </c>
      <c r="T183" s="173">
        <f>IF(AND(OR(Troupeau!$B$3="BV",Troupeau!$B$3="BL"),Scénario!$K$91&gt;0),Protection!T18,0)</f>
        <v>0</v>
      </c>
      <c r="U183" s="173">
        <f>IF(AND(OR(Troupeau!$B$3="BV",Troupeau!$B$3="BL"),Scénario!$K$91&gt;0),Protection!U18,0)</f>
        <v>0</v>
      </c>
      <c r="V183" s="173">
        <f>IF(AND(OR(Troupeau!$B$3="BV",Troupeau!$B$3="BL"),Scénario!$K$91&gt;0),Protection!V18,0)</f>
        <v>0</v>
      </c>
      <c r="W183" s="173">
        <f>IF(AND(OR(Troupeau!$B$3="BV",Troupeau!$B$3="BL"),Scénario!$K$91&gt;0),Protection!W18,0)</f>
        <v>0</v>
      </c>
      <c r="X183" s="173">
        <f>IF(AND(OR(Troupeau!$B$3="BV",Troupeau!$B$3="BL"),Scénario!$K$91&gt;0),Protection!X18,0)</f>
        <v>0</v>
      </c>
      <c r="Y183" s="173">
        <f>IF(AND(OR(Troupeau!$B$3="BV",Troupeau!$B$3="BL"),Scénario!$K$91&gt;0),Protection!Y18,0)</f>
        <v>0</v>
      </c>
      <c r="Z183" s="173">
        <f>IF(AND(OR(Troupeau!$B$3="BV",Troupeau!$B$3="BL"),Scénario!$K$91&gt;0),Protection!Z18,0)</f>
        <v>0</v>
      </c>
    </row>
    <row r="184" spans="1:26" x14ac:dyDescent="0.25">
      <c r="A184" t="s">
        <v>1399</v>
      </c>
      <c r="C184" s="173">
        <f>IF(AND(OR(Troupeau!$B$3="BV",Troupeau!$B$3="BL"),Scénario!$K$93&gt;1),Protection!C19+C21,0)</f>
        <v>0</v>
      </c>
      <c r="D184" s="173">
        <f>IF(AND(OR(Troupeau!$B$3="BV",Troupeau!$B$3="BL"),Scénario!$K$93&gt;1),Protection!D19+D21,0)</f>
        <v>0</v>
      </c>
      <c r="E184" s="173">
        <f>IF(AND(OR(Troupeau!$B$3="BV",Troupeau!$B$3="BL"),Scénario!$K$93&gt;1),Protection!E19+E21,0)</f>
        <v>0</v>
      </c>
      <c r="F184" s="173">
        <f>IF(AND(OR(Troupeau!$B$3="BV",Troupeau!$B$3="BL"),Scénario!$K$93&gt;1),Protection!F19+F21,0)</f>
        <v>0</v>
      </c>
      <c r="G184" s="173">
        <f>IF(AND(OR(Troupeau!$B$3="BV",Troupeau!$B$3="BL"),Scénario!$K$93&gt;1),Protection!G19+G21,0)</f>
        <v>0</v>
      </c>
      <c r="H184" s="173">
        <f>IF(AND(OR(Troupeau!$B$3="BV",Troupeau!$B$3="BL"),Scénario!$K$93&gt;1),Protection!H19+H21,0)</f>
        <v>0</v>
      </c>
      <c r="I184" s="173">
        <f>IF(AND(OR(Troupeau!$B$3="BV",Troupeau!$B$3="BL"),Scénario!$K$93&gt;1),Protection!I19+I21,0)</f>
        <v>0</v>
      </c>
      <c r="J184" s="173">
        <f>IF(AND(OR(Troupeau!$B$3="BV",Troupeau!$B$3="BL"),Scénario!$K$93&gt;1),Protection!J19+J21,0)</f>
        <v>0</v>
      </c>
      <c r="K184" s="173">
        <f>IF(AND(OR(Troupeau!$B$3="BV",Troupeau!$B$3="BL"),Scénario!$K$93&gt;1),Protection!K19+K21,0)</f>
        <v>0</v>
      </c>
      <c r="L184" s="173">
        <f>IF(AND(OR(Troupeau!$B$3="BV",Troupeau!$B$3="BL"),Scénario!$K$93&gt;1),Protection!L19+L21,0)</f>
        <v>0</v>
      </c>
      <c r="M184" s="173">
        <f>IF(AND(OR(Troupeau!$B$3="BV",Troupeau!$B$3="BL"),Scénario!$K$93&gt;1),Protection!M19+M21,0)</f>
        <v>0</v>
      </c>
      <c r="N184" s="173">
        <f>IF(AND(OR(Troupeau!$B$3="BV",Troupeau!$B$3="BL"),Scénario!$K$93&gt;1),Protection!N19+N21,0)</f>
        <v>0</v>
      </c>
      <c r="O184" s="173">
        <f>IF(AND(OR(Troupeau!$B$3="BV",Troupeau!$B$3="BL"),Scénario!$K$93&gt;1),Protection!O19+O21,0)</f>
        <v>0</v>
      </c>
      <c r="P184" s="173">
        <f>IF(AND(OR(Troupeau!$B$3="BV",Troupeau!$B$3="BL"),Scénario!$K$93&gt;1),Protection!P19+P21,0)</f>
        <v>0</v>
      </c>
      <c r="Q184" s="173">
        <f>IF(AND(OR(Troupeau!$B$3="BV",Troupeau!$B$3="BL"),Scénario!$K$93&gt;1),Protection!Q19+Q21,0)</f>
        <v>0</v>
      </c>
      <c r="R184" s="173">
        <f>IF(AND(OR(Troupeau!$B$3="BV",Troupeau!$B$3="BL"),Scénario!$K$93&gt;1),Protection!R19+R21,0)</f>
        <v>0</v>
      </c>
      <c r="S184" s="173">
        <f>IF(AND(OR(Troupeau!$B$3="BV",Troupeau!$B$3="BL"),Scénario!$K$93&gt;1),Protection!S19+S21,0)</f>
        <v>0</v>
      </c>
      <c r="T184" s="173">
        <f>IF(AND(OR(Troupeau!$B$3="BV",Troupeau!$B$3="BL"),Scénario!$K$93&gt;1),Protection!T19+T21,0)</f>
        <v>0</v>
      </c>
      <c r="U184" s="173">
        <f>IF(AND(OR(Troupeau!$B$3="BV",Troupeau!$B$3="BL"),Scénario!$K$93&gt;1),Protection!U19+U21,0)</f>
        <v>0</v>
      </c>
      <c r="V184" s="173">
        <f>IF(AND(OR(Troupeau!$B$3="BV",Troupeau!$B$3="BL"),Scénario!$K$93&gt;1),Protection!V19+V21,0)</f>
        <v>0</v>
      </c>
      <c r="W184" s="173">
        <f>IF(AND(OR(Troupeau!$B$3="BV",Troupeau!$B$3="BL"),Scénario!$K$93&gt;1),Protection!W19+W21,0)</f>
        <v>0</v>
      </c>
      <c r="X184" s="173">
        <f>IF(AND(OR(Troupeau!$B$3="BV",Troupeau!$B$3="BL"),Scénario!$K$93&gt;1),Protection!X19+X21,0)</f>
        <v>0</v>
      </c>
      <c r="Y184" s="173">
        <f>IF(AND(OR(Troupeau!$B$3="BV",Troupeau!$B$3="BL"),Scénario!$K$93&gt;1),Protection!Y19+Y21,0)</f>
        <v>0</v>
      </c>
      <c r="Z184" s="173">
        <f>IF(AND(OR(Troupeau!$B$3="BV",Troupeau!$B$3="BL"),Scénario!$K$93&gt;1),Protection!Z19+Z21,0)</f>
        <v>0</v>
      </c>
    </row>
    <row r="185" spans="1:26" x14ac:dyDescent="0.25">
      <c r="A185" t="s">
        <v>1400</v>
      </c>
      <c r="C185" s="173">
        <f>IF(Scénario!$K$91&gt;0,Protection!C39,0)</f>
        <v>0</v>
      </c>
      <c r="D185" s="173">
        <f>IF(Scénario!$K$91&gt;0,Protection!D39,0)</f>
        <v>0</v>
      </c>
      <c r="E185" s="173">
        <f>IF(Scénario!$K$91&gt;0,Protection!E39,0)</f>
        <v>0</v>
      </c>
      <c r="F185" s="173">
        <f>IF(Scénario!$K$91&gt;0,Protection!F39,0)</f>
        <v>0</v>
      </c>
      <c r="G185" s="173">
        <f>IF(Scénario!$K$91&gt;0,Protection!G39,0)</f>
        <v>0</v>
      </c>
      <c r="H185" s="173">
        <f>IF(Scénario!$K$91&gt;0,Protection!H39,0)</f>
        <v>0</v>
      </c>
      <c r="I185" s="173">
        <f>IF(Scénario!$K$91&gt;0,Protection!I39,0)</f>
        <v>0</v>
      </c>
      <c r="J185" s="173">
        <f>IF(Scénario!$K$91&gt;0,Protection!J39,0)</f>
        <v>0</v>
      </c>
      <c r="K185" s="173">
        <f>IF(Scénario!$K$91&gt;0,Protection!K39,0)</f>
        <v>0</v>
      </c>
      <c r="L185" s="173">
        <f>IF(Scénario!$K$91&gt;0,Protection!L39,0)</f>
        <v>0</v>
      </c>
      <c r="M185" s="173">
        <f>IF(Scénario!$K$91&gt;0,Protection!M39,0)</f>
        <v>0</v>
      </c>
      <c r="N185" s="173">
        <f>IF(Scénario!$K$91&gt;0,Protection!N39,0)</f>
        <v>0</v>
      </c>
      <c r="O185" s="173">
        <f>IF(Scénario!$K$91&gt;0,Protection!O39,0)</f>
        <v>0</v>
      </c>
      <c r="P185" s="173">
        <f>IF(Scénario!$K$91&gt;0,Protection!P39,0)</f>
        <v>0</v>
      </c>
      <c r="Q185" s="173">
        <f>IF(Scénario!$K$91&gt;0,Protection!Q39,0)</f>
        <v>0</v>
      </c>
      <c r="R185" s="173">
        <f>IF(Scénario!$K$91&gt;0,Protection!R39,0)</f>
        <v>0</v>
      </c>
      <c r="S185" s="173">
        <f>IF(Scénario!$K$91&gt;0,Protection!S39,0)</f>
        <v>0</v>
      </c>
      <c r="T185" s="173">
        <f>IF(Scénario!$K$91&gt;0,Protection!T39,0)</f>
        <v>0</v>
      </c>
      <c r="U185" s="173">
        <f>IF(Scénario!$K$91&gt;0,Protection!U39,0)</f>
        <v>0</v>
      </c>
      <c r="V185" s="173">
        <f>IF(Scénario!$K$91&gt;0,Protection!V39,0)</f>
        <v>0</v>
      </c>
      <c r="W185" s="173">
        <f>IF(Scénario!$K$91&gt;0,Protection!W39,0)</f>
        <v>0</v>
      </c>
      <c r="X185" s="173">
        <f>IF(Scénario!$K$91&gt;0,Protection!X39,0)</f>
        <v>0</v>
      </c>
      <c r="Y185" s="173">
        <f>IF(Scénario!$K$91&gt;0,Protection!Y39,0)</f>
        <v>0</v>
      </c>
      <c r="Z185" s="173">
        <f>IF(Scénario!$K$91&gt;0,Protection!Z39,0)</f>
        <v>0</v>
      </c>
    </row>
    <row r="186" spans="1:26" x14ac:dyDescent="0.25">
      <c r="A186" t="s">
        <v>1401</v>
      </c>
      <c r="C186" s="173">
        <f>IF(Scénario!$K$93&gt;1,Protection!C40+C42,0)</f>
        <v>0</v>
      </c>
      <c r="D186" s="173">
        <f>IF(Scénario!$K$93&gt;1,Protection!D40+D42,0)</f>
        <v>0</v>
      </c>
      <c r="E186" s="173">
        <f>IF(Scénario!$K$93&gt;1,Protection!E40+E42,0)</f>
        <v>0</v>
      </c>
      <c r="F186" s="173">
        <f>IF(Scénario!$K$93&gt;1,Protection!F40+F42,0)</f>
        <v>0</v>
      </c>
      <c r="G186" s="173">
        <f>IF(Scénario!$K$93&gt;1,Protection!G40+G42,0)</f>
        <v>0</v>
      </c>
      <c r="H186" s="173">
        <f>IF(Scénario!$K$93&gt;1,Protection!H40+H42,0)</f>
        <v>0</v>
      </c>
      <c r="I186" s="173">
        <f>IF(Scénario!$K$93&gt;1,Protection!I40+I42,0)</f>
        <v>0</v>
      </c>
      <c r="J186" s="173">
        <f>IF(Scénario!$K$93&gt;1,Protection!J40+J42,0)</f>
        <v>0</v>
      </c>
      <c r="K186" s="173">
        <f>IF(Scénario!$K$93&gt;1,Protection!K40+K42,0)</f>
        <v>0</v>
      </c>
      <c r="L186" s="173">
        <f>IF(Scénario!$K$93&gt;1,Protection!L40+L42,0)</f>
        <v>0</v>
      </c>
      <c r="M186" s="173">
        <f>IF(Scénario!$K$93&gt;1,Protection!M40+M42,0)</f>
        <v>0</v>
      </c>
      <c r="N186" s="173">
        <f>IF(Scénario!$K$93&gt;1,Protection!N40+N42,0)</f>
        <v>0</v>
      </c>
      <c r="O186" s="173">
        <f>IF(Scénario!$K$93&gt;1,Protection!O40+O42,0)</f>
        <v>0</v>
      </c>
      <c r="P186" s="173">
        <f>IF(Scénario!$K$93&gt;1,Protection!P40+P42,0)</f>
        <v>0</v>
      </c>
      <c r="Q186" s="173">
        <f>IF(Scénario!$K$93&gt;1,Protection!Q40+Q42,0)</f>
        <v>0</v>
      </c>
      <c r="R186" s="173">
        <f>IF(Scénario!$K$93&gt;1,Protection!R40+R42,0)</f>
        <v>0</v>
      </c>
      <c r="S186" s="173">
        <f>IF(Scénario!$K$93&gt;1,Protection!S40+S42,0)</f>
        <v>0</v>
      </c>
      <c r="T186" s="173">
        <f>IF(Scénario!$K$93&gt;1,Protection!T40+T42,0)</f>
        <v>0</v>
      </c>
      <c r="U186" s="173">
        <f>IF(Scénario!$K$93&gt;1,Protection!U40+U42,0)</f>
        <v>0</v>
      </c>
      <c r="V186" s="173">
        <f>IF(Scénario!$K$93&gt;1,Protection!V40+V42,0)</f>
        <v>0</v>
      </c>
      <c r="W186" s="173">
        <f>IF(Scénario!$K$93&gt;1,Protection!W40+W42,0)</f>
        <v>0</v>
      </c>
      <c r="X186" s="173">
        <f>IF(Scénario!$K$93&gt;1,Protection!X40+X42,0)</f>
        <v>0</v>
      </c>
      <c r="Y186" s="173">
        <f>IF(Scénario!$K$93&gt;1,Protection!Y40+Y42,0)</f>
        <v>0</v>
      </c>
      <c r="Z186" s="173">
        <f>IF(Scénario!$K$93&gt;1,Protection!Z40+Z42,0)</f>
        <v>0</v>
      </c>
    </row>
    <row r="187" spans="1:26" x14ac:dyDescent="0.25">
      <c r="A187" t="s">
        <v>1402</v>
      </c>
      <c r="C187" s="173">
        <f>IF(Scénario!$K$91&gt;0,C60,0)</f>
        <v>0</v>
      </c>
      <c r="D187" s="173">
        <f>IF(Scénario!$K$91&gt;0,D60,0)</f>
        <v>0</v>
      </c>
      <c r="E187" s="173">
        <f>IF(Scénario!$K$91&gt;0,E60,0)</f>
        <v>0</v>
      </c>
      <c r="F187" s="173">
        <f>IF(Scénario!$K$91&gt;0,F60,0)</f>
        <v>0</v>
      </c>
      <c r="G187" s="173">
        <f>IF(Scénario!$K$91&gt;0,G60,0)</f>
        <v>0</v>
      </c>
      <c r="H187" s="173">
        <f>IF(Scénario!$K$91&gt;0,H60,0)</f>
        <v>0</v>
      </c>
      <c r="I187" s="173">
        <f>IF(Scénario!$K$91&gt;0,I60,0)</f>
        <v>0</v>
      </c>
      <c r="J187" s="173">
        <f>IF(Scénario!$K$91&gt;0,J60,0)</f>
        <v>0</v>
      </c>
      <c r="K187" s="173">
        <f>IF(Scénario!$K$91&gt;0,K60,0)</f>
        <v>0</v>
      </c>
      <c r="L187" s="173">
        <f>IF(Scénario!$K$91&gt;0,L60,0)</f>
        <v>0</v>
      </c>
      <c r="M187" s="173">
        <f>IF(Scénario!$K$91&gt;0,M60,0)</f>
        <v>0</v>
      </c>
      <c r="N187" s="173">
        <f>IF(Scénario!$K$91&gt;0,N60,0)</f>
        <v>0</v>
      </c>
      <c r="O187" s="173">
        <f>IF(Scénario!$K$91&gt;0,O60,0)</f>
        <v>0</v>
      </c>
      <c r="P187" s="173">
        <f>IF(Scénario!$K$91&gt;0,P60,0)</f>
        <v>0</v>
      </c>
      <c r="Q187" s="173">
        <f>IF(Scénario!$K$91&gt;0,Q60,0)</f>
        <v>0</v>
      </c>
      <c r="R187" s="173">
        <f>IF(Scénario!$K$91&gt;0,R60,0)</f>
        <v>0</v>
      </c>
      <c r="S187" s="173">
        <f>IF(Scénario!$K$91&gt;0,S60,0)</f>
        <v>0</v>
      </c>
      <c r="T187" s="173">
        <f>IF(Scénario!$K$91&gt;0,T60,0)</f>
        <v>0</v>
      </c>
      <c r="U187" s="173">
        <f>IF(Scénario!$K$91&gt;0,U60,0)</f>
        <v>0</v>
      </c>
      <c r="V187" s="173">
        <f>IF(Scénario!$K$91&gt;0,V60,0)</f>
        <v>0</v>
      </c>
      <c r="W187" s="173">
        <f>IF(Scénario!$K$91&gt;0,W60,0)</f>
        <v>0</v>
      </c>
      <c r="X187" s="173">
        <f>IF(Scénario!$K$91&gt;0,X60,0)</f>
        <v>0</v>
      </c>
      <c r="Y187" s="173">
        <f>IF(Scénario!$K$91&gt;0,Y60,0)</f>
        <v>0</v>
      </c>
      <c r="Z187" s="173">
        <f>IF(Scénario!$K$91&gt;0,Z60,0)</f>
        <v>0</v>
      </c>
    </row>
    <row r="188" spans="1:26" x14ac:dyDescent="0.25">
      <c r="A188" t="s">
        <v>1403</v>
      </c>
      <c r="C188" s="173">
        <f>IF(Scénario!$K$93&gt;1,Protection!C61+C63,0)</f>
        <v>0</v>
      </c>
      <c r="D188" s="173">
        <f>IF(Scénario!$K$93&gt;1,Protection!D61+D63,0)</f>
        <v>0</v>
      </c>
      <c r="E188" s="173">
        <f>IF(Scénario!$K$93&gt;1,Protection!E61+E63,0)</f>
        <v>0</v>
      </c>
      <c r="F188" s="173">
        <f>IF(Scénario!$K$93&gt;1,Protection!F61+F63,0)</f>
        <v>0</v>
      </c>
      <c r="G188" s="173">
        <f>IF(Scénario!$K$93&gt;1,Protection!G61+G63,0)</f>
        <v>0</v>
      </c>
      <c r="H188" s="173">
        <f>IF(Scénario!$K$93&gt;1,Protection!H61+H63,0)</f>
        <v>0</v>
      </c>
      <c r="I188" s="173">
        <f>IF(Scénario!$K$93&gt;1,Protection!I61+I63,0)</f>
        <v>0</v>
      </c>
      <c r="J188" s="173">
        <f>IF(Scénario!$K$93&gt;1,Protection!J61+J63,0)</f>
        <v>0</v>
      </c>
      <c r="K188" s="173">
        <f>IF(Scénario!$K$93&gt;1,Protection!K61+K63,0)</f>
        <v>0</v>
      </c>
      <c r="L188" s="173">
        <f>IF(Scénario!$K$93&gt;1,Protection!L61+L63,0)</f>
        <v>0</v>
      </c>
      <c r="M188" s="173">
        <f>IF(Scénario!$K$93&gt;1,Protection!M61+M63,0)</f>
        <v>0</v>
      </c>
      <c r="N188" s="173">
        <f>IF(Scénario!$K$93&gt;1,Protection!N61+N63,0)</f>
        <v>0</v>
      </c>
      <c r="O188" s="173">
        <f>IF(Scénario!$K$93&gt;1,Protection!O61+O63,0)</f>
        <v>0</v>
      </c>
      <c r="P188" s="173">
        <f>IF(Scénario!$K$93&gt;1,Protection!P61+P63,0)</f>
        <v>0</v>
      </c>
      <c r="Q188" s="173">
        <f>IF(Scénario!$K$93&gt;1,Protection!Q61+Q63,0)</f>
        <v>0</v>
      </c>
      <c r="R188" s="173">
        <f>IF(Scénario!$K$93&gt;1,Protection!R61+R63,0)</f>
        <v>0</v>
      </c>
      <c r="S188" s="173">
        <f>IF(Scénario!$K$93&gt;1,Protection!S61+S63,0)</f>
        <v>0</v>
      </c>
      <c r="T188" s="173">
        <f>IF(Scénario!$K$93&gt;1,Protection!T61+T63,0)</f>
        <v>0</v>
      </c>
      <c r="U188" s="173">
        <f>IF(Scénario!$K$93&gt;1,Protection!U61+U63,0)</f>
        <v>0</v>
      </c>
      <c r="V188" s="173">
        <f>IF(Scénario!$K$93&gt;1,Protection!V61+V63,0)</f>
        <v>0</v>
      </c>
      <c r="W188" s="173">
        <f>IF(Scénario!$K$93&gt;1,Protection!W61+W63,0)</f>
        <v>0</v>
      </c>
      <c r="X188" s="173">
        <f>IF(Scénario!$K$93&gt;1,Protection!X61+X63,0)</f>
        <v>0</v>
      </c>
      <c r="Y188" s="173">
        <f>IF(Scénario!$K$93&gt;1,Protection!Y61+Y63,0)</f>
        <v>0</v>
      </c>
      <c r="Z188" s="173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1404</v>
      </c>
      <c r="C195" s="173">
        <f>C180+C183+C185+C187</f>
        <v>1</v>
      </c>
      <c r="D195" s="173">
        <f t="shared" ref="D195:Z196" si="50">D180+D183+D185+D187</f>
        <v>1</v>
      </c>
      <c r="E195" s="173">
        <f t="shared" si="50"/>
        <v>1</v>
      </c>
      <c r="F195" s="173">
        <f t="shared" si="50"/>
        <v>1</v>
      </c>
      <c r="G195" s="173">
        <f t="shared" si="50"/>
        <v>1</v>
      </c>
      <c r="H195" s="173">
        <f t="shared" si="50"/>
        <v>1</v>
      </c>
      <c r="I195" s="173">
        <f t="shared" si="50"/>
        <v>1</v>
      </c>
      <c r="J195" s="173">
        <f t="shared" si="50"/>
        <v>1</v>
      </c>
      <c r="K195" s="173">
        <f t="shared" si="50"/>
        <v>1</v>
      </c>
      <c r="L195" s="173">
        <f t="shared" si="50"/>
        <v>1</v>
      </c>
      <c r="M195" s="173">
        <f t="shared" si="50"/>
        <v>1</v>
      </c>
      <c r="N195" s="173">
        <f t="shared" si="50"/>
        <v>1</v>
      </c>
      <c r="O195" s="173">
        <f t="shared" si="50"/>
        <v>1</v>
      </c>
      <c r="P195" s="173">
        <f t="shared" si="50"/>
        <v>1</v>
      </c>
      <c r="Q195" s="173">
        <f t="shared" si="50"/>
        <v>1</v>
      </c>
      <c r="R195" s="173">
        <f t="shared" si="50"/>
        <v>1</v>
      </c>
      <c r="S195" s="173">
        <f t="shared" si="50"/>
        <v>1</v>
      </c>
      <c r="T195" s="173">
        <f t="shared" si="50"/>
        <v>1</v>
      </c>
      <c r="U195" s="173">
        <f t="shared" si="50"/>
        <v>1</v>
      </c>
      <c r="V195" s="173">
        <f t="shared" si="50"/>
        <v>1</v>
      </c>
      <c r="W195" s="173">
        <f t="shared" si="50"/>
        <v>1</v>
      </c>
      <c r="X195" s="173">
        <f t="shared" si="50"/>
        <v>1</v>
      </c>
      <c r="Y195" s="173">
        <f t="shared" si="50"/>
        <v>1</v>
      </c>
      <c r="Z195" s="173">
        <f t="shared" si="50"/>
        <v>1</v>
      </c>
    </row>
    <row r="196" spans="1:26" x14ac:dyDescent="0.25">
      <c r="B196" s="14" t="s">
        <v>1405</v>
      </c>
      <c r="C196" s="173">
        <f>C181+C184+C186+C188</f>
        <v>0</v>
      </c>
      <c r="D196" s="173">
        <f t="shared" si="50"/>
        <v>0</v>
      </c>
      <c r="E196" s="173">
        <f t="shared" si="50"/>
        <v>0</v>
      </c>
      <c r="F196" s="173">
        <f t="shared" si="50"/>
        <v>0</v>
      </c>
      <c r="G196" s="173">
        <f t="shared" si="50"/>
        <v>0</v>
      </c>
      <c r="H196" s="173">
        <f t="shared" si="50"/>
        <v>0</v>
      </c>
      <c r="I196" s="173">
        <f t="shared" si="50"/>
        <v>0</v>
      </c>
      <c r="J196" s="173">
        <f t="shared" si="50"/>
        <v>0</v>
      </c>
      <c r="K196" s="173">
        <f t="shared" si="50"/>
        <v>0</v>
      </c>
      <c r="L196" s="173">
        <f t="shared" si="50"/>
        <v>0</v>
      </c>
      <c r="M196" s="173">
        <f t="shared" si="50"/>
        <v>0</v>
      </c>
      <c r="N196" s="173">
        <f t="shared" si="50"/>
        <v>2</v>
      </c>
      <c r="O196" s="173">
        <f t="shared" si="50"/>
        <v>2</v>
      </c>
      <c r="P196" s="173">
        <f t="shared" si="50"/>
        <v>2</v>
      </c>
      <c r="Q196" s="173">
        <f t="shared" si="50"/>
        <v>2</v>
      </c>
      <c r="R196" s="173">
        <f t="shared" si="50"/>
        <v>2</v>
      </c>
      <c r="S196" s="173">
        <f t="shared" si="50"/>
        <v>2</v>
      </c>
      <c r="T196" s="173">
        <f t="shared" si="50"/>
        <v>2</v>
      </c>
      <c r="U196" s="173">
        <f t="shared" si="50"/>
        <v>0</v>
      </c>
      <c r="V196" s="173">
        <f t="shared" si="50"/>
        <v>0</v>
      </c>
      <c r="W196" s="173">
        <f t="shared" si="50"/>
        <v>0</v>
      </c>
      <c r="X196" s="173">
        <f t="shared" si="50"/>
        <v>0</v>
      </c>
      <c r="Y196" s="173">
        <f t="shared" si="50"/>
        <v>0</v>
      </c>
      <c r="Z196" s="173">
        <f t="shared" si="50"/>
        <v>0</v>
      </c>
    </row>
    <row r="201" spans="1:26" x14ac:dyDescent="0.25">
      <c r="A201" t="s">
        <v>1406</v>
      </c>
      <c r="C201" s="173">
        <f>IF(Troupeau!$B$3="OL",C8+C9,0)</f>
        <v>4</v>
      </c>
      <c r="D201" s="173">
        <f>IF(Troupeau!$B$3="OL",D8+D9,0)</f>
        <v>4</v>
      </c>
      <c r="E201" s="173">
        <f>IF(Troupeau!$B$3="OL",E8+E9,0)</f>
        <v>6</v>
      </c>
      <c r="F201" s="173">
        <f>IF(Troupeau!$B$3="OL",F8+F9,0)</f>
        <v>8</v>
      </c>
      <c r="G201" s="173">
        <f>IF(Troupeau!$B$3="OL",G8+G9,0)</f>
        <v>9</v>
      </c>
      <c r="H201" s="173">
        <f>IF(Troupeau!$B$3="OL",H8+H9,0)</f>
        <v>9</v>
      </c>
      <c r="I201" s="173">
        <f>IF(Troupeau!$B$3="OL",I8+I9,0)</f>
        <v>9</v>
      </c>
      <c r="J201" s="173">
        <f>IF(Troupeau!$B$3="OL",J8+J9,0)</f>
        <v>9</v>
      </c>
      <c r="K201" s="173">
        <f>IF(Troupeau!$B$3="OL",K8+K9,0)</f>
        <v>9</v>
      </c>
      <c r="L201" s="173">
        <f>IF(Troupeau!$B$3="OL",L8+L9,0)</f>
        <v>4</v>
      </c>
      <c r="M201" s="173">
        <f>IF(Troupeau!$B$3="OL",M8+M9,0)</f>
        <v>4</v>
      </c>
      <c r="N201" s="173">
        <f>IF(Troupeau!$B$3="OL",N8+N9,0)</f>
        <v>2</v>
      </c>
      <c r="O201" s="173">
        <f>IF(Troupeau!$B$3="OL",O8+O9,0)</f>
        <v>2</v>
      </c>
      <c r="P201" s="173">
        <f>IF(Troupeau!$B$3="OL",P8+P9,0)</f>
        <v>2</v>
      </c>
      <c r="Q201" s="173">
        <f>IF(Troupeau!$B$3="OL",Q8+Q9,0)</f>
        <v>2</v>
      </c>
      <c r="R201" s="173">
        <f>IF(Troupeau!$B$3="OL",R8+R9,0)</f>
        <v>2</v>
      </c>
      <c r="S201" s="173">
        <f>IF(Troupeau!$B$3="OL",S8+S9,0)</f>
        <v>2</v>
      </c>
      <c r="T201" s="173">
        <f>IF(Troupeau!$B$3="OL",T8+T9,0)</f>
        <v>2</v>
      </c>
      <c r="U201" s="173">
        <f>IF(Troupeau!$B$3="OL",U8+U9,0)</f>
        <v>4</v>
      </c>
      <c r="V201" s="173">
        <f>IF(Troupeau!$B$3="OL",V8+V9,0)</f>
        <v>7</v>
      </c>
      <c r="W201" s="173">
        <f>IF(Troupeau!$B$3="OL",W8+W9,0)</f>
        <v>5</v>
      </c>
      <c r="X201" s="173">
        <f>IF(Troupeau!$B$3="OL",X8+X9,0)</f>
        <v>5</v>
      </c>
      <c r="Y201" s="173">
        <f>IF(Troupeau!$B$3="OL",Y8+Y9,0)</f>
        <v>5</v>
      </c>
      <c r="Z201" s="173">
        <f>IF(Troupeau!$B$3="OL",Z8+Z9,0)</f>
        <v>4</v>
      </c>
    </row>
    <row r="202" spans="1:26" x14ac:dyDescent="0.25">
      <c r="A202" t="s">
        <v>1407</v>
      </c>
      <c r="C202" s="173">
        <f>IF(Troupeau!$B$3="OL",C10+C12,0)</f>
        <v>0</v>
      </c>
      <c r="D202" s="173">
        <f>IF(Troupeau!$B$3="OL",D10+D12,0)</f>
        <v>0</v>
      </c>
      <c r="E202" s="173">
        <f>IF(Troupeau!$B$3="OL",E10+E12,0)</f>
        <v>0</v>
      </c>
      <c r="F202" s="173">
        <f>IF(Troupeau!$B$3="OL",F10+F12,0)</f>
        <v>0</v>
      </c>
      <c r="G202" s="173">
        <f>IF(Troupeau!$B$3="OL",G10+G12,0)</f>
        <v>0</v>
      </c>
      <c r="H202" s="173">
        <f>IF(Troupeau!$B$3="OL",H10+H12,0)</f>
        <v>0</v>
      </c>
      <c r="I202" s="173">
        <f>IF(Troupeau!$B$3="OL",I10+I12,0)</f>
        <v>0</v>
      </c>
      <c r="J202" s="173">
        <f>IF(Troupeau!$B$3="OL",J10+J12,0)</f>
        <v>0</v>
      </c>
      <c r="K202" s="173">
        <f>IF(Troupeau!$B$3="OL",K10+K12,0)</f>
        <v>0</v>
      </c>
      <c r="L202" s="173">
        <f>IF(Troupeau!$B$3="OL",L10+L12,0)</f>
        <v>0</v>
      </c>
      <c r="M202" s="173">
        <f>IF(Troupeau!$B$3="OL",M10+M12,0)</f>
        <v>0</v>
      </c>
      <c r="N202" s="173">
        <f>IF(Troupeau!$B$3="OL",N10+N12,0)</f>
        <v>8</v>
      </c>
      <c r="O202" s="173">
        <f>IF(Troupeau!$B$3="OL",O10+O12,0)</f>
        <v>8</v>
      </c>
      <c r="P202" s="173">
        <f>IF(Troupeau!$B$3="OL",P10+P12,0)</f>
        <v>8</v>
      </c>
      <c r="Q202" s="173">
        <f>IF(Troupeau!$B$3="OL",Q10+Q12,0)</f>
        <v>8</v>
      </c>
      <c r="R202" s="173">
        <f>IF(Troupeau!$B$3="OL",R10+R12,0)</f>
        <v>8</v>
      </c>
      <c r="S202" s="173">
        <f>IF(Troupeau!$B$3="OL",S10+S12,0)</f>
        <v>8</v>
      </c>
      <c r="T202" s="173">
        <f>IF(Troupeau!$B$3="OL",T10+T12,0)</f>
        <v>8</v>
      </c>
      <c r="U202" s="173">
        <f>IF(Troupeau!$B$3="OL",U10+U12,0)</f>
        <v>0</v>
      </c>
      <c r="V202" s="173">
        <f>IF(Troupeau!$B$3="OL",V10+V12,0)</f>
        <v>0</v>
      </c>
      <c r="W202" s="173">
        <f>IF(Troupeau!$B$3="OL",W10+W12,0)</f>
        <v>0</v>
      </c>
      <c r="X202" s="173">
        <f>IF(Troupeau!$B$3="OL",X10+X12,0)</f>
        <v>0</v>
      </c>
      <c r="Y202" s="173">
        <f>IF(Troupeau!$B$3="OL",Y10+Y12,0)</f>
        <v>0</v>
      </c>
      <c r="Z202" s="173">
        <f>IF(Troupeau!$B$3="OL",Z10+Z12,0)</f>
        <v>0</v>
      </c>
    </row>
    <row r="203" spans="1:26" x14ac:dyDescent="0.25">
      <c r="A203" t="s">
        <v>1426</v>
      </c>
      <c r="C203" s="173">
        <f>SUM(C201:C202)</f>
        <v>4</v>
      </c>
      <c r="D203" s="173">
        <f t="shared" ref="D203:Z203" si="51">SUM(D201:D202)</f>
        <v>4</v>
      </c>
      <c r="E203" s="173">
        <f t="shared" si="51"/>
        <v>6</v>
      </c>
      <c r="F203" s="173">
        <f t="shared" si="51"/>
        <v>8</v>
      </c>
      <c r="G203" s="173">
        <f t="shared" si="51"/>
        <v>9</v>
      </c>
      <c r="H203" s="173">
        <f t="shared" si="51"/>
        <v>9</v>
      </c>
      <c r="I203" s="173">
        <f t="shared" si="51"/>
        <v>9</v>
      </c>
      <c r="J203" s="173">
        <f t="shared" si="51"/>
        <v>9</v>
      </c>
      <c r="K203" s="173">
        <f t="shared" si="51"/>
        <v>9</v>
      </c>
      <c r="L203" s="173">
        <f t="shared" si="51"/>
        <v>4</v>
      </c>
      <c r="M203" s="173">
        <f t="shared" si="51"/>
        <v>4</v>
      </c>
      <c r="N203" s="173">
        <f t="shared" si="51"/>
        <v>10</v>
      </c>
      <c r="O203" s="173">
        <f t="shared" si="51"/>
        <v>10</v>
      </c>
      <c r="P203" s="173">
        <f t="shared" si="51"/>
        <v>10</v>
      </c>
      <c r="Q203" s="173">
        <f t="shared" si="51"/>
        <v>10</v>
      </c>
      <c r="R203" s="173">
        <f t="shared" si="51"/>
        <v>10</v>
      </c>
      <c r="S203" s="173">
        <f t="shared" si="51"/>
        <v>10</v>
      </c>
      <c r="T203" s="173">
        <f t="shared" si="51"/>
        <v>10</v>
      </c>
      <c r="U203" s="173">
        <f t="shared" si="51"/>
        <v>4</v>
      </c>
      <c r="V203" s="173">
        <f t="shared" si="51"/>
        <v>7</v>
      </c>
      <c r="W203" s="173">
        <f t="shared" si="51"/>
        <v>5</v>
      </c>
      <c r="X203" s="173">
        <f t="shared" si="51"/>
        <v>5</v>
      </c>
      <c r="Y203" s="173">
        <f t="shared" si="51"/>
        <v>5</v>
      </c>
      <c r="Z203" s="173">
        <f t="shared" si="51"/>
        <v>4</v>
      </c>
    </row>
    <row r="204" spans="1:26" x14ac:dyDescent="0.25">
      <c r="A204" t="s">
        <v>1408</v>
      </c>
      <c r="C204" s="173">
        <f>IF(AND(OR(Troupeau!$B$3="BV",Troupeau!$B$3="BL"),Scénario!$K$91&gt;0),C8+C9,0)</f>
        <v>0</v>
      </c>
      <c r="D204" s="173">
        <f>IF(AND(OR(Troupeau!$B$3="BV",Troupeau!$B$3="BL"),Scénario!$K$91&gt;0),D8+D9,0)</f>
        <v>0</v>
      </c>
      <c r="E204" s="173">
        <f>IF(AND(OR(Troupeau!$B$3="BV",Troupeau!$B$3="BL"),Scénario!$K$91&gt;0),E8+E9,0)</f>
        <v>0</v>
      </c>
      <c r="F204" s="173">
        <f>IF(AND(OR(Troupeau!$B$3="BV",Troupeau!$B$3="BL"),Scénario!$K$91&gt;0),F8+F9,0)</f>
        <v>0</v>
      </c>
      <c r="G204" s="173">
        <f>IF(AND(OR(Troupeau!$B$3="BV",Troupeau!$B$3="BL"),Scénario!$K$91&gt;0),G8+G9,0)</f>
        <v>0</v>
      </c>
      <c r="H204" s="173">
        <f>IF(AND(OR(Troupeau!$B$3="BV",Troupeau!$B$3="BL"),Scénario!$K$91&gt;0),H8+H9,0)</f>
        <v>0</v>
      </c>
      <c r="I204" s="173">
        <f>IF(AND(OR(Troupeau!$B$3="BV",Troupeau!$B$3="BL"),Scénario!$K$91&gt;0),I8+I9,0)</f>
        <v>0</v>
      </c>
      <c r="J204" s="173">
        <f>IF(AND(OR(Troupeau!$B$3="BV",Troupeau!$B$3="BL"),Scénario!$K$91&gt;0),J8+J9,0)</f>
        <v>0</v>
      </c>
      <c r="K204" s="173">
        <f>IF(AND(OR(Troupeau!$B$3="BV",Troupeau!$B$3="BL"),Scénario!$K$91&gt;0),K8+K9,0)</f>
        <v>0</v>
      </c>
      <c r="L204" s="173">
        <f>IF(AND(OR(Troupeau!$B$3="BV",Troupeau!$B$3="BL"),Scénario!$K$91&gt;0),L8+L9,0)</f>
        <v>0</v>
      </c>
      <c r="M204" s="173">
        <f>IF(AND(OR(Troupeau!$B$3="BV",Troupeau!$B$3="BL"),Scénario!$K$91&gt;0),M8+M9,0)</f>
        <v>0</v>
      </c>
      <c r="N204" s="173">
        <f>IF(AND(OR(Troupeau!$B$3="BV",Troupeau!$B$3="BL"),Scénario!$K$91&gt;0),N8+N9,0)</f>
        <v>0</v>
      </c>
      <c r="O204" s="173">
        <f>IF(AND(OR(Troupeau!$B$3="BV",Troupeau!$B$3="BL"),Scénario!$K$91&gt;0),O8+O9,0)</f>
        <v>0</v>
      </c>
      <c r="P204" s="173">
        <f>IF(AND(OR(Troupeau!$B$3="BV",Troupeau!$B$3="BL"),Scénario!$K$91&gt;0),P8+P9,0)</f>
        <v>0</v>
      </c>
      <c r="Q204" s="173">
        <f>IF(AND(OR(Troupeau!$B$3="BV",Troupeau!$B$3="BL"),Scénario!$K$91&gt;0),Q8+Q9,0)</f>
        <v>0</v>
      </c>
      <c r="R204" s="173">
        <f>IF(AND(OR(Troupeau!$B$3="BV",Troupeau!$B$3="BL"),Scénario!$K$91&gt;0),R8+R9,0)</f>
        <v>0</v>
      </c>
      <c r="S204" s="173">
        <f>IF(AND(OR(Troupeau!$B$3="BV",Troupeau!$B$3="BL"),Scénario!$K$91&gt;0),S8+S9,0)</f>
        <v>0</v>
      </c>
      <c r="T204" s="173">
        <f>IF(AND(OR(Troupeau!$B$3="BV",Troupeau!$B$3="BL"),Scénario!$K$91&gt;0),T8+T9,0)</f>
        <v>0</v>
      </c>
      <c r="U204" s="173">
        <f>IF(AND(OR(Troupeau!$B$3="BV",Troupeau!$B$3="BL"),Scénario!$K$91&gt;0),U8+U9,0)</f>
        <v>0</v>
      </c>
      <c r="V204" s="173">
        <f>IF(AND(OR(Troupeau!$B$3="BV",Troupeau!$B$3="BL"),Scénario!$K$91&gt;0),V8+V9,0)</f>
        <v>0</v>
      </c>
      <c r="W204" s="173">
        <f>IF(AND(OR(Troupeau!$B$3="BV",Troupeau!$B$3="BL"),Scénario!$K$91&gt;0),W8+W9,0)</f>
        <v>0</v>
      </c>
      <c r="X204" s="173">
        <f>IF(AND(OR(Troupeau!$B$3="BV",Troupeau!$B$3="BL"),Scénario!$K$91&gt;0),X8+X9,0)</f>
        <v>0</v>
      </c>
      <c r="Y204" s="173">
        <f>IF(AND(OR(Troupeau!$B$3="BV",Troupeau!$B$3="BL"),Scénario!$K$91&gt;0),Y8+Y9,0)</f>
        <v>0</v>
      </c>
      <c r="Z204" s="173">
        <f>IF(AND(OR(Troupeau!$B$3="BV",Troupeau!$B$3="BL"),Scénario!$K$91&gt;0),Z8+Z9,0)</f>
        <v>0</v>
      </c>
    </row>
    <row r="205" spans="1:26" x14ac:dyDescent="0.25">
      <c r="A205" t="s">
        <v>1409</v>
      </c>
      <c r="C205" s="173">
        <f>IF(AND(OR(Troupeau!$B$3="BV",Troupeau!$B$3="BL"),Scénario!$K$93&gt;1),C10+C12,0)</f>
        <v>0</v>
      </c>
      <c r="D205" s="173">
        <f>IF(AND(OR(Troupeau!$B$3="BV",Troupeau!$B$3="BL"),Scénario!$K$93&gt;1),D10+D12,0)</f>
        <v>0</v>
      </c>
      <c r="E205" s="173">
        <f>IF(AND(OR(Troupeau!$B$3="BV",Troupeau!$B$3="BL"),Scénario!$K$93&gt;1),E10+E12,0)</f>
        <v>0</v>
      </c>
      <c r="F205" s="173">
        <f>IF(AND(OR(Troupeau!$B$3="BV",Troupeau!$B$3="BL"),Scénario!$K$93&gt;1),F10+F12,0)</f>
        <v>0</v>
      </c>
      <c r="G205" s="173">
        <f>IF(AND(OR(Troupeau!$B$3="BV",Troupeau!$B$3="BL"),Scénario!$K$93&gt;1),G10+G12,0)</f>
        <v>0</v>
      </c>
      <c r="H205" s="173">
        <f>IF(AND(OR(Troupeau!$B$3="BV",Troupeau!$B$3="BL"),Scénario!$K$93&gt;1),H10+H12,0)</f>
        <v>0</v>
      </c>
      <c r="I205" s="173">
        <f>IF(AND(OR(Troupeau!$B$3="BV",Troupeau!$B$3="BL"),Scénario!$K$93&gt;1),I10+I12,0)</f>
        <v>0</v>
      </c>
      <c r="J205" s="173">
        <f>IF(AND(OR(Troupeau!$B$3="BV",Troupeau!$B$3="BL"),Scénario!$K$93&gt;1),J10+J12,0)</f>
        <v>0</v>
      </c>
      <c r="K205" s="173">
        <f>IF(AND(OR(Troupeau!$B$3="BV",Troupeau!$B$3="BL"),Scénario!$K$93&gt;1),K10+K12,0)</f>
        <v>0</v>
      </c>
      <c r="L205" s="173">
        <f>IF(AND(OR(Troupeau!$B$3="BV",Troupeau!$B$3="BL"),Scénario!$K$93&gt;1),L10+L12,0)</f>
        <v>0</v>
      </c>
      <c r="M205" s="173">
        <f>IF(AND(OR(Troupeau!$B$3="BV",Troupeau!$B$3="BL"),Scénario!$K$93&gt;1),M10+M12,0)</f>
        <v>0</v>
      </c>
      <c r="N205" s="173">
        <f>IF(AND(OR(Troupeau!$B$3="BV",Troupeau!$B$3="BL"),Scénario!$K$93&gt;1),N10+N12,0)</f>
        <v>0</v>
      </c>
      <c r="O205" s="173">
        <f>IF(AND(OR(Troupeau!$B$3="BV",Troupeau!$B$3="BL"),Scénario!$K$93&gt;1),O10+O12,0)</f>
        <v>0</v>
      </c>
      <c r="P205" s="173">
        <f>IF(AND(OR(Troupeau!$B$3="BV",Troupeau!$B$3="BL"),Scénario!$K$93&gt;1),P10+P12,0)</f>
        <v>0</v>
      </c>
      <c r="Q205" s="173">
        <f>IF(AND(OR(Troupeau!$B$3="BV",Troupeau!$B$3="BL"),Scénario!$K$93&gt;1),Q10+Q12,0)</f>
        <v>0</v>
      </c>
      <c r="R205" s="173">
        <f>IF(AND(OR(Troupeau!$B$3="BV",Troupeau!$B$3="BL"),Scénario!$K$93&gt;1),R10+R12,0)</f>
        <v>0</v>
      </c>
      <c r="S205" s="173">
        <f>IF(AND(OR(Troupeau!$B$3="BV",Troupeau!$B$3="BL"),Scénario!$K$93&gt;1),S10+S12,0)</f>
        <v>0</v>
      </c>
      <c r="T205" s="173">
        <f>IF(AND(OR(Troupeau!$B$3="BV",Troupeau!$B$3="BL"),Scénario!$K$93&gt;1),T10+T12,0)</f>
        <v>0</v>
      </c>
      <c r="U205" s="173">
        <f>IF(AND(OR(Troupeau!$B$3="BV",Troupeau!$B$3="BL"),Scénario!$K$93&gt;1),U10+U12,0)</f>
        <v>0</v>
      </c>
      <c r="V205" s="173">
        <f>IF(AND(OR(Troupeau!$B$3="BV",Troupeau!$B$3="BL"),Scénario!$K$93&gt;1),V10+V12,0)</f>
        <v>0</v>
      </c>
      <c r="W205" s="173">
        <f>IF(AND(OR(Troupeau!$B$3="BV",Troupeau!$B$3="BL"),Scénario!$K$93&gt;1),W10+W12,0)</f>
        <v>0</v>
      </c>
      <c r="X205" s="173">
        <f>IF(AND(OR(Troupeau!$B$3="BV",Troupeau!$B$3="BL"),Scénario!$K$93&gt;1),X10+X12,0)</f>
        <v>0</v>
      </c>
      <c r="Y205" s="173">
        <f>IF(AND(OR(Troupeau!$B$3="BV",Troupeau!$B$3="BL"),Scénario!$K$93&gt;1),Y10+Y12,0)</f>
        <v>0</v>
      </c>
      <c r="Z205" s="173">
        <f>IF(AND(OR(Troupeau!$B$3="BV",Troupeau!$B$3="BL"),Scénario!$K$93&gt;1),Z10+Z12,0)</f>
        <v>0</v>
      </c>
    </row>
    <row r="206" spans="1:26" x14ac:dyDescent="0.25">
      <c r="A206" t="s">
        <v>1410</v>
      </c>
      <c r="C206" s="173">
        <f>IF(Scénario!$K$91&gt;0,C30+C29,0)</f>
        <v>0</v>
      </c>
      <c r="D206" s="173">
        <f>IF(Scénario!$K$91&gt;0,D30+D29,0)</f>
        <v>0</v>
      </c>
      <c r="E206" s="173">
        <f>IF(Scénario!$K$91&gt;0,E30+E29,0)</f>
        <v>0</v>
      </c>
      <c r="F206" s="173">
        <f>IF(Scénario!$K$91&gt;0,F30+F29,0)</f>
        <v>0</v>
      </c>
      <c r="G206" s="173">
        <f>IF(Scénario!$K$91&gt;0,G30+G29,0)</f>
        <v>0</v>
      </c>
      <c r="H206" s="173">
        <f>IF(Scénario!$K$91&gt;0,H30+H29,0)</f>
        <v>0</v>
      </c>
      <c r="I206" s="173">
        <f>IF(Scénario!$K$91&gt;0,I30+I29,0)</f>
        <v>0</v>
      </c>
      <c r="J206" s="173">
        <f>IF(Scénario!$K$91&gt;0,J30+J29,0)</f>
        <v>0</v>
      </c>
      <c r="K206" s="173">
        <f>IF(Scénario!$K$91&gt;0,K30+K29,0)</f>
        <v>0</v>
      </c>
      <c r="L206" s="173">
        <f>IF(Scénario!$K$91&gt;0,L30+L29,0)</f>
        <v>0</v>
      </c>
      <c r="M206" s="173">
        <f>IF(Scénario!$K$91&gt;0,M30+M29,0)</f>
        <v>0</v>
      </c>
      <c r="N206" s="173">
        <f>IF(Scénario!$K$91&gt;0,N30+N29,0)</f>
        <v>0</v>
      </c>
      <c r="O206" s="173">
        <f>IF(Scénario!$K$91&gt;0,O30+O29,0)</f>
        <v>0</v>
      </c>
      <c r="P206" s="173">
        <f>IF(Scénario!$K$91&gt;0,P30+P29,0)</f>
        <v>0</v>
      </c>
      <c r="Q206" s="173">
        <f>IF(Scénario!$K$91&gt;0,Q30+Q29,0)</f>
        <v>0</v>
      </c>
      <c r="R206" s="173">
        <f>IF(Scénario!$K$91&gt;0,R30+R29,0)</f>
        <v>0</v>
      </c>
      <c r="S206" s="173">
        <f>IF(Scénario!$K$91&gt;0,S30+S29,0)</f>
        <v>0</v>
      </c>
      <c r="T206" s="173">
        <f>IF(Scénario!$K$91&gt;0,T30+T29,0)</f>
        <v>0</v>
      </c>
      <c r="U206" s="173">
        <f>IF(Scénario!$K$91&gt;0,U30+U29,0)</f>
        <v>0</v>
      </c>
      <c r="V206" s="173">
        <f>IF(Scénario!$K$91&gt;0,V30+V29,0)</f>
        <v>0</v>
      </c>
      <c r="W206" s="173">
        <f>IF(Scénario!$K$91&gt;0,W30+W29,0)</f>
        <v>0</v>
      </c>
      <c r="X206" s="173">
        <f>IF(Scénario!$K$91&gt;0,X30+X29,0)</f>
        <v>0</v>
      </c>
      <c r="Y206" s="173">
        <f>IF(Scénario!$K$91&gt;0,Y30+Y29,0)</f>
        <v>0</v>
      </c>
      <c r="Z206" s="173">
        <f>IF(Scénario!$K$91&gt;0,Z30+Z29,0)</f>
        <v>0</v>
      </c>
    </row>
    <row r="207" spans="1:26" x14ac:dyDescent="0.25">
      <c r="A207" t="s">
        <v>1411</v>
      </c>
      <c r="C207" s="173">
        <f>IF(Scénario!$K$93&gt;1,Protection!C31+C33,0)</f>
        <v>0</v>
      </c>
      <c r="D207" s="173">
        <f>IF(Scénario!$K$93&gt;1,Protection!D31+D33,0)</f>
        <v>0</v>
      </c>
      <c r="E207" s="173">
        <f>IF(Scénario!$K$93&gt;1,Protection!E31+E33,0)</f>
        <v>0</v>
      </c>
      <c r="F207" s="173">
        <f>IF(Scénario!$K$93&gt;1,Protection!F31+F33,0)</f>
        <v>0</v>
      </c>
      <c r="G207" s="173">
        <f>IF(Scénario!$K$93&gt;1,Protection!G31+G33,0)</f>
        <v>0</v>
      </c>
      <c r="H207" s="173">
        <f>IF(Scénario!$K$93&gt;1,Protection!H31+H33,0)</f>
        <v>0</v>
      </c>
      <c r="I207" s="173">
        <f>IF(Scénario!$K$93&gt;1,Protection!I31+I33,0)</f>
        <v>0</v>
      </c>
      <c r="J207" s="173">
        <f>IF(Scénario!$K$93&gt;1,Protection!J31+J33,0)</f>
        <v>0</v>
      </c>
      <c r="K207" s="173">
        <f>IF(Scénario!$K$93&gt;1,Protection!K31+K33,0)</f>
        <v>0</v>
      </c>
      <c r="L207" s="173">
        <f>IF(Scénario!$K$93&gt;1,Protection!L31+L33,0)</f>
        <v>0</v>
      </c>
      <c r="M207" s="173">
        <f>IF(Scénario!$K$93&gt;1,Protection!M31+M33,0)</f>
        <v>0</v>
      </c>
      <c r="N207" s="173">
        <f>IF(Scénario!$K$93&gt;1,Protection!N31+N33,0)</f>
        <v>0</v>
      </c>
      <c r="O207" s="173">
        <f>IF(Scénario!$K$93&gt;1,Protection!O31+O33,0)</f>
        <v>0</v>
      </c>
      <c r="P207" s="173">
        <f>IF(Scénario!$K$93&gt;1,Protection!P31+P33,0)</f>
        <v>0</v>
      </c>
      <c r="Q207" s="173">
        <f>IF(Scénario!$K$93&gt;1,Protection!Q31+Q33,0)</f>
        <v>0</v>
      </c>
      <c r="R207" s="173">
        <f>IF(Scénario!$K$93&gt;1,Protection!R31+R33,0)</f>
        <v>0</v>
      </c>
      <c r="S207" s="173">
        <f>IF(Scénario!$K$93&gt;1,Protection!S31+S33,0)</f>
        <v>0</v>
      </c>
      <c r="T207" s="173">
        <f>IF(Scénario!$K$93&gt;1,Protection!T31+T33,0)</f>
        <v>0</v>
      </c>
      <c r="U207" s="173">
        <f>IF(Scénario!$K$93&gt;1,Protection!U31+U33,0)</f>
        <v>0</v>
      </c>
      <c r="V207" s="173">
        <f>IF(Scénario!$K$93&gt;1,Protection!V31+V33,0)</f>
        <v>0</v>
      </c>
      <c r="W207" s="173">
        <f>IF(Scénario!$K$93&gt;1,Protection!W31+W33,0)</f>
        <v>0</v>
      </c>
      <c r="X207" s="173">
        <f>IF(Scénario!$K$93&gt;1,Protection!X31+X33,0)</f>
        <v>0</v>
      </c>
      <c r="Y207" s="173">
        <f>IF(Scénario!$K$93&gt;1,Protection!Y31+Y33,0)</f>
        <v>0</v>
      </c>
      <c r="Z207" s="173">
        <f>IF(Scénario!$K$93&gt;1,Protection!Z31+Z33,0)</f>
        <v>0</v>
      </c>
    </row>
    <row r="208" spans="1:26" x14ac:dyDescent="0.25">
      <c r="A208" t="s">
        <v>1412</v>
      </c>
      <c r="C208" s="173">
        <f>IF(Scénario!$K$91&gt;0,C50+C51,0)</f>
        <v>0</v>
      </c>
      <c r="D208" s="173">
        <f>IF(Scénario!$K$91&gt;0,D50+D51,0)</f>
        <v>0</v>
      </c>
      <c r="E208" s="173">
        <f>IF(Scénario!$K$91&gt;0,E50+E51,0)</f>
        <v>0</v>
      </c>
      <c r="F208" s="173">
        <f>IF(Scénario!$K$91&gt;0,F50+F51,0)</f>
        <v>0</v>
      </c>
      <c r="G208" s="173">
        <f>IF(Scénario!$K$91&gt;0,G50+G51,0)</f>
        <v>0</v>
      </c>
      <c r="H208" s="173">
        <f>IF(Scénario!$K$91&gt;0,H50+H51,0)</f>
        <v>0</v>
      </c>
      <c r="I208" s="173">
        <f>IF(Scénario!$K$91&gt;0,I50+I51,0)</f>
        <v>0</v>
      </c>
      <c r="J208" s="173">
        <f>IF(Scénario!$K$91&gt;0,J50+J51,0)</f>
        <v>0</v>
      </c>
      <c r="K208" s="173">
        <f>IF(Scénario!$K$91&gt;0,K50+K51,0)</f>
        <v>0</v>
      </c>
      <c r="L208" s="173">
        <f>IF(Scénario!$K$91&gt;0,L50+L51,0)</f>
        <v>0</v>
      </c>
      <c r="M208" s="173">
        <f>IF(Scénario!$K$91&gt;0,M50+M51,0)</f>
        <v>0</v>
      </c>
      <c r="N208" s="173">
        <f>IF(Scénario!$K$91&gt;0,N50+N51,0)</f>
        <v>0</v>
      </c>
      <c r="O208" s="173">
        <f>IF(Scénario!$K$91&gt;0,O50+O51,0)</f>
        <v>0</v>
      </c>
      <c r="P208" s="173">
        <f>IF(Scénario!$K$91&gt;0,P50+P51,0)</f>
        <v>0</v>
      </c>
      <c r="Q208" s="173">
        <f>IF(Scénario!$K$91&gt;0,Q50+Q51,0)</f>
        <v>0</v>
      </c>
      <c r="R208" s="173">
        <f>IF(Scénario!$K$91&gt;0,R50+R51,0)</f>
        <v>0</v>
      </c>
      <c r="S208" s="173">
        <f>IF(Scénario!$K$91&gt;0,S50+S51,0)</f>
        <v>0</v>
      </c>
      <c r="T208" s="173">
        <f>IF(Scénario!$K$91&gt;0,T50+T51,0)</f>
        <v>0</v>
      </c>
      <c r="U208" s="173">
        <f>IF(Scénario!$K$91&gt;0,U50+U51,0)</f>
        <v>0</v>
      </c>
      <c r="V208" s="173">
        <f>IF(Scénario!$K$91&gt;0,V50+V51,0)</f>
        <v>0</v>
      </c>
      <c r="W208" s="173">
        <f>IF(Scénario!$K$91&gt;0,W50+W51,0)</f>
        <v>0</v>
      </c>
      <c r="X208" s="173">
        <f>IF(Scénario!$K$91&gt;0,X50+X51,0)</f>
        <v>0</v>
      </c>
      <c r="Y208" s="173">
        <f>IF(Scénario!$K$91&gt;0,Y50+Y51,0)</f>
        <v>0</v>
      </c>
      <c r="Z208" s="173">
        <f>IF(Scénario!$K$91&gt;0,Z50+Z51,0)</f>
        <v>0</v>
      </c>
    </row>
    <row r="209" spans="1:26" x14ac:dyDescent="0.25">
      <c r="A209" t="s">
        <v>1413</v>
      </c>
      <c r="C209" s="173">
        <f>IF(Scénario!$K$93&gt;1,Protection!C52+C54,0)</f>
        <v>0</v>
      </c>
      <c r="D209" s="173">
        <f>IF(Scénario!$K$93&gt;1,Protection!D52+D54,0)</f>
        <v>0</v>
      </c>
      <c r="E209" s="173">
        <f>IF(Scénario!$K$93&gt;1,Protection!E52+E54,0)</f>
        <v>0</v>
      </c>
      <c r="F209" s="173">
        <f>IF(Scénario!$K$93&gt;1,Protection!F52+F54,0)</f>
        <v>0</v>
      </c>
      <c r="G209" s="173">
        <f>IF(Scénario!$K$93&gt;1,Protection!G52+G54,0)</f>
        <v>0</v>
      </c>
      <c r="H209" s="173">
        <f>IF(Scénario!$K$93&gt;1,Protection!H52+H54,0)</f>
        <v>0</v>
      </c>
      <c r="I209" s="173">
        <f>IF(Scénario!$K$93&gt;1,Protection!I52+I54,0)</f>
        <v>0</v>
      </c>
      <c r="J209" s="173">
        <f>IF(Scénario!$K$93&gt;1,Protection!J52+J54,0)</f>
        <v>0</v>
      </c>
      <c r="K209" s="173">
        <f>IF(Scénario!$K$93&gt;1,Protection!K52+K54,0)</f>
        <v>0</v>
      </c>
      <c r="L209" s="173">
        <f>IF(Scénario!$K$93&gt;1,Protection!L52+L54,0)</f>
        <v>0</v>
      </c>
      <c r="M209" s="173">
        <f>IF(Scénario!$K$93&gt;1,Protection!M52+M54,0)</f>
        <v>0</v>
      </c>
      <c r="N209" s="173">
        <f>IF(Scénario!$K$93&gt;1,Protection!N52+N54,0)</f>
        <v>0</v>
      </c>
      <c r="O209" s="173">
        <f>IF(Scénario!$K$93&gt;1,Protection!O52+O54,0)</f>
        <v>0</v>
      </c>
      <c r="P209" s="173">
        <f>IF(Scénario!$K$93&gt;1,Protection!P52+P54,0)</f>
        <v>0</v>
      </c>
      <c r="Q209" s="173">
        <f>IF(Scénario!$K$93&gt;1,Protection!Q52+Q54,0)</f>
        <v>0</v>
      </c>
      <c r="R209" s="173">
        <f>IF(Scénario!$K$93&gt;1,Protection!R52+R54,0)</f>
        <v>0</v>
      </c>
      <c r="S209" s="173">
        <f>IF(Scénario!$K$93&gt;1,Protection!S52+S54,0)</f>
        <v>0</v>
      </c>
      <c r="T209" s="173">
        <f>IF(Scénario!$K$93&gt;1,Protection!T52+T54,0)</f>
        <v>0</v>
      </c>
      <c r="U209" s="173">
        <f>IF(Scénario!$K$93&gt;1,Protection!U52+U54,0)</f>
        <v>0</v>
      </c>
      <c r="V209" s="173">
        <f>IF(Scénario!$K$93&gt;1,Protection!V52+V54,0)</f>
        <v>0</v>
      </c>
      <c r="W209" s="173">
        <f>IF(Scénario!$K$93&gt;1,Protection!W52+W54,0)</f>
        <v>0</v>
      </c>
      <c r="X209" s="173">
        <f>IF(Scénario!$K$93&gt;1,Protection!X52+X54,0)</f>
        <v>0</v>
      </c>
      <c r="Y209" s="173">
        <f>IF(Scénario!$K$93&gt;1,Protection!Y52+Y54,0)</f>
        <v>0</v>
      </c>
      <c r="Z209" s="173">
        <f>IF(Scénario!$K$93&gt;1,Protection!Z52+Z54,0)</f>
        <v>0</v>
      </c>
    </row>
    <row r="212" spans="1:26" x14ac:dyDescent="0.25">
      <c r="A212" s="15" t="s">
        <v>1414</v>
      </c>
      <c r="C212" s="173">
        <f>C201+C204+C206+C208</f>
        <v>4</v>
      </c>
      <c r="D212" s="173">
        <f t="shared" ref="D212:Z213" si="52">D201+D204+D206+D208</f>
        <v>4</v>
      </c>
      <c r="E212" s="173">
        <f t="shared" si="52"/>
        <v>6</v>
      </c>
      <c r="F212" s="173">
        <f t="shared" si="52"/>
        <v>8</v>
      </c>
      <c r="G212" s="173">
        <f t="shared" si="52"/>
        <v>9</v>
      </c>
      <c r="H212" s="173">
        <f t="shared" si="52"/>
        <v>9</v>
      </c>
      <c r="I212" s="173">
        <f t="shared" si="52"/>
        <v>9</v>
      </c>
      <c r="J212" s="173">
        <f t="shared" si="52"/>
        <v>9</v>
      </c>
      <c r="K212" s="173">
        <f t="shared" si="52"/>
        <v>9</v>
      </c>
      <c r="L212" s="173">
        <f t="shared" si="52"/>
        <v>4</v>
      </c>
      <c r="M212" s="173">
        <f t="shared" si="52"/>
        <v>4</v>
      </c>
      <c r="N212" s="173">
        <f t="shared" si="52"/>
        <v>2</v>
      </c>
      <c r="O212" s="173">
        <f t="shared" si="52"/>
        <v>2</v>
      </c>
      <c r="P212" s="173">
        <f t="shared" si="52"/>
        <v>2</v>
      </c>
      <c r="Q212" s="173">
        <f t="shared" si="52"/>
        <v>2</v>
      </c>
      <c r="R212" s="173">
        <f t="shared" si="52"/>
        <v>2</v>
      </c>
      <c r="S212" s="173">
        <f t="shared" si="52"/>
        <v>2</v>
      </c>
      <c r="T212" s="173">
        <f t="shared" si="52"/>
        <v>2</v>
      </c>
      <c r="U212" s="173">
        <f t="shared" si="52"/>
        <v>4</v>
      </c>
      <c r="V212" s="173">
        <f t="shared" si="52"/>
        <v>7</v>
      </c>
      <c r="W212" s="173">
        <f t="shared" si="52"/>
        <v>5</v>
      </c>
      <c r="X212" s="173">
        <f t="shared" si="52"/>
        <v>5</v>
      </c>
      <c r="Y212" s="173">
        <f t="shared" si="52"/>
        <v>5</v>
      </c>
      <c r="Z212" s="173">
        <f t="shared" si="52"/>
        <v>4</v>
      </c>
    </row>
    <row r="213" spans="1:26" x14ac:dyDescent="0.25">
      <c r="A213" s="15" t="s">
        <v>1415</v>
      </c>
      <c r="C213" s="173">
        <f>C202+C205+C207+C209</f>
        <v>0</v>
      </c>
      <c r="D213" s="173">
        <f t="shared" si="52"/>
        <v>0</v>
      </c>
      <c r="E213" s="173">
        <f t="shared" si="52"/>
        <v>0</v>
      </c>
      <c r="F213" s="173">
        <f t="shared" si="52"/>
        <v>0</v>
      </c>
      <c r="G213" s="173">
        <f t="shared" si="52"/>
        <v>0</v>
      </c>
      <c r="H213" s="173">
        <f t="shared" si="52"/>
        <v>0</v>
      </c>
      <c r="I213" s="173">
        <f t="shared" si="52"/>
        <v>0</v>
      </c>
      <c r="J213" s="173">
        <f t="shared" si="52"/>
        <v>0</v>
      </c>
      <c r="K213" s="173">
        <f t="shared" si="52"/>
        <v>0</v>
      </c>
      <c r="L213" s="173">
        <f t="shared" si="52"/>
        <v>0</v>
      </c>
      <c r="M213" s="173">
        <f t="shared" si="52"/>
        <v>0</v>
      </c>
      <c r="N213" s="173">
        <f t="shared" si="52"/>
        <v>8</v>
      </c>
      <c r="O213" s="173">
        <f t="shared" si="52"/>
        <v>8</v>
      </c>
      <c r="P213" s="173">
        <f t="shared" si="52"/>
        <v>8</v>
      </c>
      <c r="Q213" s="173">
        <f t="shared" si="52"/>
        <v>8</v>
      </c>
      <c r="R213" s="173">
        <f t="shared" si="52"/>
        <v>8</v>
      </c>
      <c r="S213" s="173">
        <f t="shared" si="52"/>
        <v>8</v>
      </c>
      <c r="T213" s="173">
        <f t="shared" si="52"/>
        <v>8</v>
      </c>
      <c r="U213" s="173">
        <f t="shared" si="52"/>
        <v>0</v>
      </c>
      <c r="V213" s="173">
        <f t="shared" si="52"/>
        <v>0</v>
      </c>
      <c r="W213" s="173">
        <f t="shared" si="52"/>
        <v>0</v>
      </c>
      <c r="X213" s="173">
        <f t="shared" si="52"/>
        <v>0</v>
      </c>
      <c r="Y213" s="173">
        <f t="shared" si="52"/>
        <v>0</v>
      </c>
      <c r="Z213" s="173">
        <f t="shared" si="52"/>
        <v>0</v>
      </c>
    </row>
    <row r="214" spans="1:26" x14ac:dyDescent="0.25">
      <c r="A214" s="15" t="s">
        <v>1416</v>
      </c>
      <c r="C214" s="173">
        <f>C212+C213</f>
        <v>4</v>
      </c>
      <c r="D214" s="173">
        <f t="shared" ref="D214:Z214" si="53">D212+D213</f>
        <v>4</v>
      </c>
      <c r="E214" s="173">
        <f t="shared" si="53"/>
        <v>6</v>
      </c>
      <c r="F214" s="173">
        <f t="shared" si="53"/>
        <v>8</v>
      </c>
      <c r="G214" s="173">
        <f t="shared" si="53"/>
        <v>9</v>
      </c>
      <c r="H214" s="173">
        <f t="shared" si="53"/>
        <v>9</v>
      </c>
      <c r="I214" s="173">
        <f t="shared" si="53"/>
        <v>9</v>
      </c>
      <c r="J214" s="173">
        <f t="shared" si="53"/>
        <v>9</v>
      </c>
      <c r="K214" s="173">
        <f t="shared" si="53"/>
        <v>9</v>
      </c>
      <c r="L214" s="173">
        <f t="shared" si="53"/>
        <v>4</v>
      </c>
      <c r="M214" s="173">
        <f t="shared" si="53"/>
        <v>4</v>
      </c>
      <c r="N214" s="173">
        <f t="shared" si="53"/>
        <v>10</v>
      </c>
      <c r="O214" s="173">
        <f t="shared" si="53"/>
        <v>10</v>
      </c>
      <c r="P214" s="173">
        <f t="shared" si="53"/>
        <v>10</v>
      </c>
      <c r="Q214" s="173">
        <f t="shared" si="53"/>
        <v>10</v>
      </c>
      <c r="R214" s="173">
        <f t="shared" si="53"/>
        <v>10</v>
      </c>
      <c r="S214" s="173">
        <f t="shared" si="53"/>
        <v>10</v>
      </c>
      <c r="T214" s="173">
        <f t="shared" si="53"/>
        <v>10</v>
      </c>
      <c r="U214" s="173">
        <f t="shared" si="53"/>
        <v>4</v>
      </c>
      <c r="V214" s="173">
        <f t="shared" si="53"/>
        <v>7</v>
      </c>
      <c r="W214" s="173">
        <f t="shared" si="53"/>
        <v>5</v>
      </c>
      <c r="X214" s="173">
        <f t="shared" si="53"/>
        <v>5</v>
      </c>
      <c r="Y214" s="173">
        <f t="shared" si="53"/>
        <v>5</v>
      </c>
      <c r="Z214" s="173">
        <f t="shared" si="53"/>
        <v>4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Normal="100" workbookViewId="0">
      <pane ySplit="1" topLeftCell="A62" activePane="bottomLeft" state="frozen"/>
      <selection activeCell="J83" sqref="J83"/>
      <selection pane="bottomLeft" activeCell="F75" sqref="F75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71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200"/>
    <col min="45" max="45" width="54" customWidth="1"/>
    <col min="48" max="48" width="6.7109375" style="171" customWidth="1"/>
    <col min="49" max="71" width="6.140625" style="171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71" t="s">
        <v>746</v>
      </c>
      <c r="G1" s="296" t="s">
        <v>2</v>
      </c>
      <c r="H1" s="296"/>
      <c r="I1" s="296" t="s">
        <v>0</v>
      </c>
      <c r="J1" s="296"/>
      <c r="K1" s="296" t="s">
        <v>1</v>
      </c>
      <c r="L1" s="296"/>
      <c r="M1" s="296" t="s">
        <v>3</v>
      </c>
      <c r="N1" s="296"/>
      <c r="O1" s="296" t="s">
        <v>4</v>
      </c>
      <c r="P1" s="296"/>
      <c r="Q1" s="296" t="s">
        <v>5</v>
      </c>
      <c r="R1" s="296"/>
      <c r="S1" s="296" t="s">
        <v>6</v>
      </c>
      <c r="T1" s="296"/>
      <c r="U1" s="296" t="s">
        <v>7</v>
      </c>
      <c r="V1" s="296"/>
      <c r="W1" s="296" t="s">
        <v>8</v>
      </c>
      <c r="X1" s="296"/>
      <c r="Y1" s="296" t="s">
        <v>9</v>
      </c>
      <c r="Z1" s="296"/>
      <c r="AA1" s="296" t="s">
        <v>10</v>
      </c>
      <c r="AB1" s="296"/>
      <c r="AC1" s="296" t="s">
        <v>11</v>
      </c>
      <c r="AD1" s="296"/>
      <c r="AR1" s="188" t="s">
        <v>747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8" t="s">
        <v>747</v>
      </c>
      <c r="AS2" s="40" t="s">
        <v>568</v>
      </c>
      <c r="AT2" s="173" t="str">
        <f>Troupeau!B3</f>
        <v>OL</v>
      </c>
      <c r="AU2" s="173">
        <f>IF(AT2="OL",1,IF(AT2="BV",2,IF(AT2="BL",3,IF(AT2="EQ",4,0))))</f>
        <v>1</v>
      </c>
      <c r="BY2" s="40" t="s">
        <v>601</v>
      </c>
      <c r="BZ2" s="173" t="str">
        <f>Troupeau!C3</f>
        <v>BV</v>
      </c>
      <c r="CA2" s="173">
        <f>IF(BZ2="OL",1,IF(BZ2="BV",2,IF(BZ2="BL",3,IF(BZ2="EQ",4,0))))</f>
        <v>2</v>
      </c>
      <c r="CB2" s="171"/>
      <c r="CC2" s="171"/>
      <c r="CD2" s="171"/>
      <c r="CE2" s="171"/>
      <c r="CF2" s="171"/>
      <c r="CG2" s="171"/>
      <c r="CH2" s="171"/>
      <c r="CI2" s="171"/>
      <c r="CJ2" s="171"/>
      <c r="CK2" s="171"/>
      <c r="CL2" s="171"/>
      <c r="CM2" s="171"/>
      <c r="CN2" s="171"/>
      <c r="CO2" s="171"/>
      <c r="CP2" s="171"/>
      <c r="CQ2" s="171"/>
      <c r="CR2" s="171"/>
      <c r="CS2" s="171"/>
      <c r="CT2" s="171"/>
      <c r="CU2" s="171"/>
      <c r="CV2" s="171"/>
      <c r="CW2" s="171"/>
      <c r="CX2" s="171"/>
      <c r="CY2" s="171"/>
      <c r="DB2" s="40" t="s">
        <v>738</v>
      </c>
      <c r="DC2" s="173">
        <f>Troupeau!D3</f>
        <v>0</v>
      </c>
      <c r="DD2" s="173">
        <f>IF(DC2="OL",1,IF(DC2="BV",2,IF(DC2="BL",3,IF(DC2="EQ",4,0))))</f>
        <v>0</v>
      </c>
      <c r="DE2" s="171"/>
      <c r="DF2" s="171"/>
      <c r="DG2" s="171"/>
      <c r="DH2" s="171"/>
      <c r="DI2" s="171"/>
      <c r="DJ2" s="171"/>
      <c r="DK2" s="171"/>
      <c r="DL2" s="171"/>
      <c r="DM2" s="171"/>
      <c r="DN2" s="171"/>
      <c r="DO2" s="171"/>
      <c r="DP2" s="171"/>
      <c r="DQ2" s="171"/>
      <c r="DR2" s="171"/>
      <c r="DS2" s="171"/>
      <c r="DT2" s="171"/>
      <c r="DU2" s="171"/>
      <c r="DV2" s="171"/>
      <c r="DW2" s="171"/>
      <c r="DX2" s="171"/>
      <c r="DY2" s="171"/>
      <c r="DZ2" s="171"/>
      <c r="EA2" s="171"/>
      <c r="EB2" s="171"/>
    </row>
    <row r="3" spans="1:132" x14ac:dyDescent="0.25">
      <c r="A3" s="2" t="s">
        <v>748</v>
      </c>
      <c r="B3" s="2"/>
      <c r="C3" s="2"/>
      <c r="D3" s="23"/>
      <c r="E3" s="23"/>
      <c r="AR3" s="188" t="s">
        <v>747</v>
      </c>
      <c r="AT3" s="2" t="s">
        <v>749</v>
      </c>
      <c r="AU3" s="172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749</v>
      </c>
      <c r="CA3" s="172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749</v>
      </c>
      <c r="DD3" s="172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750</v>
      </c>
      <c r="B4" s="2"/>
      <c r="C4" s="2"/>
      <c r="D4" s="23"/>
      <c r="E4" s="23"/>
      <c r="F4" s="33"/>
      <c r="AR4" s="188" t="s">
        <v>747</v>
      </c>
      <c r="AT4" s="189" t="str">
        <f>AT26</f>
        <v>brebis</v>
      </c>
      <c r="AU4" s="172"/>
      <c r="AV4" s="173">
        <f>CdTrp1!B15</f>
        <v>264.3478260869565</v>
      </c>
      <c r="AW4" s="173">
        <f>CdTrp1!C15</f>
        <v>261.70434782608697</v>
      </c>
      <c r="AX4" s="173">
        <f>CdTrp1!D15</f>
        <v>259.06086956521739</v>
      </c>
      <c r="AY4" s="173">
        <f>CdTrp1!E15</f>
        <v>257.73913043478262</v>
      </c>
      <c r="AZ4" s="173">
        <f>CdTrp1!F15</f>
        <v>256.4173913043478</v>
      </c>
      <c r="BA4" s="173">
        <f>CdTrp1!G15</f>
        <v>255.09565217391304</v>
      </c>
      <c r="BB4" s="173">
        <f>CdTrp1!H15</f>
        <v>253.77391304347827</v>
      </c>
      <c r="BC4" s="173">
        <f>CdTrp1!I15</f>
        <v>252.45217391304348</v>
      </c>
      <c r="BD4" s="173">
        <f>CdTrp1!J15</f>
        <v>249.80869565217392</v>
      </c>
      <c r="BE4" s="173">
        <f>CdTrp1!K15</f>
        <v>255.09565217391304</v>
      </c>
      <c r="BF4" s="173">
        <f>CdTrp1!L15</f>
        <v>255.09565217391304</v>
      </c>
      <c r="BG4" s="173">
        <f>CdTrp1!M15</f>
        <v>255.09565217391304</v>
      </c>
      <c r="BH4" s="173">
        <f>CdTrp1!N15</f>
        <v>255.09565217391304</v>
      </c>
      <c r="BI4" s="173">
        <f>CdTrp1!O15</f>
        <v>255.09565217391304</v>
      </c>
      <c r="BJ4" s="173">
        <f>CdTrp1!P15</f>
        <v>255.09565217391304</v>
      </c>
      <c r="BK4" s="173">
        <f>CdTrp1!Q15</f>
        <v>255.09565217391304</v>
      </c>
      <c r="BL4" s="173">
        <f>CdTrp1!R15</f>
        <v>255.09565217391304</v>
      </c>
      <c r="BM4" s="173">
        <f>CdTrp1!S15</f>
        <v>255.09565217391304</v>
      </c>
      <c r="BN4" s="173">
        <f>CdTrp1!T15</f>
        <v>255.09565217391304</v>
      </c>
      <c r="BO4" s="173">
        <f>CdTrp1!U15</f>
        <v>278.88695652173914</v>
      </c>
      <c r="BP4" s="173">
        <f>CdTrp1!V15</f>
        <v>278.88695652173914</v>
      </c>
      <c r="BQ4" s="173">
        <f>CdTrp1!W15</f>
        <v>264.3478260869565</v>
      </c>
      <c r="BR4" s="173">
        <f>CdTrp1!X15</f>
        <v>264.3478260869565</v>
      </c>
      <c r="BS4" s="173">
        <f>CdTrp1!Y15</f>
        <v>264.3478260869565</v>
      </c>
      <c r="BZ4" s="189" t="str">
        <f>+CdTrp2!A15</f>
        <v xml:space="preserve">vaches </v>
      </c>
      <c r="CA4" s="172"/>
      <c r="CB4" s="270">
        <f>CdTrp2!B15</f>
        <v>14.44</v>
      </c>
      <c r="CC4" s="270">
        <f>CdTrp2!C15</f>
        <v>14.44</v>
      </c>
      <c r="CD4" s="270">
        <f>CdTrp2!D15</f>
        <v>14.44</v>
      </c>
      <c r="CE4" s="270">
        <f>CdTrp2!E15</f>
        <v>14.44</v>
      </c>
      <c r="CF4" s="270">
        <f>CdTrp2!F15</f>
        <v>14.44</v>
      </c>
      <c r="CG4" s="270">
        <f>CdTrp2!G15</f>
        <v>14.44</v>
      </c>
      <c r="CH4" s="270">
        <f>CdTrp2!H15</f>
        <v>14.44</v>
      </c>
      <c r="CI4" s="270">
        <f>CdTrp2!I15</f>
        <v>14.44</v>
      </c>
      <c r="CJ4" s="270">
        <f>CdTrp2!J15</f>
        <v>14.44</v>
      </c>
      <c r="CK4" s="270">
        <f>CdTrp2!K15</f>
        <v>14.44</v>
      </c>
      <c r="CL4" s="270">
        <f>CdTrp2!L15</f>
        <v>14.44</v>
      </c>
      <c r="CM4" s="270">
        <f>CdTrp2!M15</f>
        <v>14.44</v>
      </c>
      <c r="CN4" s="270">
        <f>CdTrp2!N15</f>
        <v>14.44</v>
      </c>
      <c r="CO4" s="270">
        <f>CdTrp2!O15</f>
        <v>14.44</v>
      </c>
      <c r="CP4" s="270">
        <f>CdTrp2!P15</f>
        <v>14.44</v>
      </c>
      <c r="CQ4" s="270">
        <f>CdTrp2!Q15</f>
        <v>14.44</v>
      </c>
      <c r="CR4" s="270">
        <f>CdTrp2!R15</f>
        <v>13.68</v>
      </c>
      <c r="CS4" s="270">
        <f>CdTrp2!S15</f>
        <v>13.68</v>
      </c>
      <c r="CT4" s="270">
        <f>CdTrp2!T15</f>
        <v>13.68</v>
      </c>
      <c r="CU4" s="270">
        <f>CdTrp2!U15</f>
        <v>13.68</v>
      </c>
      <c r="CV4" s="270">
        <f>CdTrp2!V15</f>
        <v>14.44</v>
      </c>
      <c r="CW4" s="270">
        <f>CdTrp2!W15</f>
        <v>14.44</v>
      </c>
      <c r="CX4" s="270">
        <f>CdTrp2!X15</f>
        <v>14.44</v>
      </c>
      <c r="CY4" s="270">
        <f>CdTrp2!Y15</f>
        <v>14.44</v>
      </c>
      <c r="DC4" s="189" t="str">
        <f>+CdTrp3!A15</f>
        <v>lot1</v>
      </c>
      <c r="DD4" s="172"/>
      <c r="DE4" s="173">
        <f>CdTrp3!B15</f>
        <v>0</v>
      </c>
      <c r="DF4" s="173">
        <f>CdTrp3!C15</f>
        <v>0</v>
      </c>
      <c r="DG4" s="173">
        <f>CdTrp3!D15</f>
        <v>0</v>
      </c>
      <c r="DH4" s="173">
        <f>CdTrp3!E15</f>
        <v>0</v>
      </c>
      <c r="DI4" s="173">
        <f>CdTrp3!F15</f>
        <v>0</v>
      </c>
      <c r="DJ4" s="173">
        <f>CdTrp3!G15</f>
        <v>0</v>
      </c>
      <c r="DK4" s="173">
        <f>CdTrp3!H15</f>
        <v>0</v>
      </c>
      <c r="DL4" s="173">
        <f>CdTrp3!I15</f>
        <v>0</v>
      </c>
      <c r="DM4" s="173">
        <f>CdTrp3!J15</f>
        <v>0</v>
      </c>
      <c r="DN4" s="173">
        <f>CdTrp3!K15</f>
        <v>0</v>
      </c>
      <c r="DO4" s="173">
        <f>CdTrp3!L15</f>
        <v>0</v>
      </c>
      <c r="DP4" s="173">
        <f>CdTrp3!M15</f>
        <v>0</v>
      </c>
      <c r="DQ4" s="173">
        <f>CdTrp3!N15</f>
        <v>0</v>
      </c>
      <c r="DR4" s="173">
        <f>CdTrp3!O15</f>
        <v>0</v>
      </c>
      <c r="DS4" s="173">
        <f>CdTrp3!P15</f>
        <v>0</v>
      </c>
      <c r="DT4" s="173">
        <f>CdTrp3!Q15</f>
        <v>0</v>
      </c>
      <c r="DU4" s="173">
        <f>CdTrp3!R15</f>
        <v>0</v>
      </c>
      <c r="DV4" s="173">
        <f>CdTrp3!S15</f>
        <v>0</v>
      </c>
      <c r="DW4" s="173">
        <f>CdTrp3!T15</f>
        <v>0</v>
      </c>
      <c r="DX4" s="173">
        <f>CdTrp3!U15</f>
        <v>0</v>
      </c>
      <c r="DY4" s="173">
        <f>CdTrp3!V15</f>
        <v>0</v>
      </c>
      <c r="DZ4" s="173">
        <f>CdTrp3!W15</f>
        <v>0</v>
      </c>
      <c r="EA4" s="173">
        <f>CdTrp3!X15</f>
        <v>0</v>
      </c>
      <c r="EB4" s="173">
        <f>CdTrp3!Y15</f>
        <v>0</v>
      </c>
    </row>
    <row r="5" spans="1:132" x14ac:dyDescent="0.25">
      <c r="A5" t="s">
        <v>568</v>
      </c>
      <c r="F5" s="173">
        <f>SUM(G5:AD5)</f>
        <v>917</v>
      </c>
      <c r="G5" s="173">
        <f>AV117</f>
        <v>42</v>
      </c>
      <c r="H5" s="173">
        <f t="shared" ref="H5:AD5" si="0">AW117</f>
        <v>42</v>
      </c>
      <c r="I5" s="173">
        <f t="shared" si="0"/>
        <v>42</v>
      </c>
      <c r="J5" s="173">
        <f t="shared" si="0"/>
        <v>56</v>
      </c>
      <c r="K5" s="173">
        <f t="shared" si="0"/>
        <v>56</v>
      </c>
      <c r="L5" s="173">
        <f t="shared" si="0"/>
        <v>70</v>
      </c>
      <c r="M5" s="173">
        <f t="shared" si="0"/>
        <v>70</v>
      </c>
      <c r="N5" s="173">
        <f t="shared" si="0"/>
        <v>70</v>
      </c>
      <c r="O5" s="173">
        <f t="shared" si="0"/>
        <v>63</v>
      </c>
      <c r="P5" s="173">
        <f t="shared" si="0"/>
        <v>28</v>
      </c>
      <c r="Q5" s="173">
        <f t="shared" si="0"/>
        <v>28</v>
      </c>
      <c r="R5" s="173">
        <f t="shared" si="0"/>
        <v>14</v>
      </c>
      <c r="S5" s="173">
        <f t="shared" si="0"/>
        <v>14</v>
      </c>
      <c r="T5" s="173">
        <f t="shared" si="0"/>
        <v>14</v>
      </c>
      <c r="U5" s="173">
        <f t="shared" si="0"/>
        <v>14</v>
      </c>
      <c r="V5" s="173">
        <f t="shared" si="0"/>
        <v>14</v>
      </c>
      <c r="W5" s="173">
        <f t="shared" si="0"/>
        <v>14</v>
      </c>
      <c r="X5" s="173">
        <f t="shared" si="0"/>
        <v>14</v>
      </c>
      <c r="Y5" s="173">
        <f t="shared" si="0"/>
        <v>28</v>
      </c>
      <c r="Z5" s="173">
        <f t="shared" si="0"/>
        <v>56</v>
      </c>
      <c r="AA5" s="173">
        <f t="shared" si="0"/>
        <v>42</v>
      </c>
      <c r="AB5" s="173">
        <f t="shared" si="0"/>
        <v>42</v>
      </c>
      <c r="AC5" s="173">
        <f t="shared" si="0"/>
        <v>42</v>
      </c>
      <c r="AD5" s="173">
        <f t="shared" si="0"/>
        <v>42</v>
      </c>
      <c r="AR5" s="188" t="s">
        <v>747</v>
      </c>
      <c r="AT5" s="189" t="str">
        <f t="shared" ref="AT5:AT13" si="1">AT27</f>
        <v>vides</v>
      </c>
      <c r="AU5" s="172"/>
      <c r="AV5" s="173">
        <f>CdTrp1!B16</f>
        <v>25.11304347826087</v>
      </c>
      <c r="AW5" s="173">
        <f>CdTrp1!C16</f>
        <v>25.11304347826087</v>
      </c>
      <c r="AX5" s="173">
        <f>CdTrp1!D16</f>
        <v>25.11304347826087</v>
      </c>
      <c r="AY5" s="173">
        <f>CdTrp1!E16</f>
        <v>25.11304347826087</v>
      </c>
      <c r="AZ5" s="173">
        <f>CdTrp1!F16</f>
        <v>25.11304347826087</v>
      </c>
      <c r="BA5" s="173">
        <f>CdTrp1!G16</f>
        <v>25.11304347826087</v>
      </c>
      <c r="BB5" s="173">
        <f>CdTrp1!H16</f>
        <v>25.11304347826087</v>
      </c>
      <c r="BC5" s="173">
        <f>CdTrp1!I16</f>
        <v>25.11304347826087</v>
      </c>
      <c r="BD5" s="173">
        <f>CdTrp1!J16</f>
        <v>25.11304347826087</v>
      </c>
      <c r="BE5" s="173">
        <f>CdTrp1!K16</f>
        <v>0</v>
      </c>
      <c r="BF5" s="173">
        <f>CdTrp1!L16</f>
        <v>0</v>
      </c>
      <c r="BG5" s="173">
        <f>CdTrp1!M16</f>
        <v>0</v>
      </c>
      <c r="BH5" s="173">
        <f>CdTrp1!N16</f>
        <v>0</v>
      </c>
      <c r="BI5" s="173">
        <f>CdTrp1!O16</f>
        <v>0</v>
      </c>
      <c r="BJ5" s="173">
        <f>CdTrp1!P16</f>
        <v>0</v>
      </c>
      <c r="BK5" s="173">
        <f>CdTrp1!Q16</f>
        <v>0</v>
      </c>
      <c r="BL5" s="173">
        <f>CdTrp1!R16</f>
        <v>0</v>
      </c>
      <c r="BM5" s="173">
        <f>CdTrp1!S16</f>
        <v>0</v>
      </c>
      <c r="BN5" s="173">
        <f>CdTrp1!T16</f>
        <v>0</v>
      </c>
      <c r="BO5" s="173">
        <f>CdTrp1!U16</f>
        <v>25.11304347826087</v>
      </c>
      <c r="BP5" s="173">
        <f>CdTrp1!V16</f>
        <v>25.11304347826087</v>
      </c>
      <c r="BQ5" s="173">
        <f>CdTrp1!W16</f>
        <v>25.11304347826087</v>
      </c>
      <c r="BR5" s="173">
        <f>CdTrp1!X16</f>
        <v>25.11304347826087</v>
      </c>
      <c r="BS5" s="173">
        <f>CdTrp1!Y16</f>
        <v>25.11304347826087</v>
      </c>
      <c r="BZ5" s="189" t="str">
        <f>+CdTrp2!A16</f>
        <v>genisses -1an</v>
      </c>
      <c r="CA5" s="172"/>
      <c r="CB5" s="270">
        <f>CdTrp2!B16</f>
        <v>0</v>
      </c>
      <c r="CC5" s="270">
        <f>CdTrp2!C16</f>
        <v>0</v>
      </c>
      <c r="CD5" s="270">
        <f>CdTrp2!D16</f>
        <v>0</v>
      </c>
      <c r="CE5" s="270">
        <f>CdTrp2!E16</f>
        <v>0</v>
      </c>
      <c r="CF5" s="270">
        <f>CdTrp2!F16</f>
        <v>0</v>
      </c>
      <c r="CG5" s="270">
        <f>CdTrp2!G16</f>
        <v>1.52</v>
      </c>
      <c r="CH5" s="270">
        <f>CdTrp2!H16</f>
        <v>3.04</v>
      </c>
      <c r="CI5" s="270">
        <f>CdTrp2!I16</f>
        <v>4.5599999999999996</v>
      </c>
      <c r="CJ5" s="270">
        <f>CdTrp2!J16</f>
        <v>4.5599999999999996</v>
      </c>
      <c r="CK5" s="270">
        <f>CdTrp2!K16</f>
        <v>4.5599999999999996</v>
      </c>
      <c r="CL5" s="270">
        <f>CdTrp2!L16</f>
        <v>4.5599999999999996</v>
      </c>
      <c r="CM5" s="270">
        <f>CdTrp2!M16</f>
        <v>4.5599999999999996</v>
      </c>
      <c r="CN5" s="270">
        <f>CdTrp2!N16</f>
        <v>4.5599999999999996</v>
      </c>
      <c r="CO5" s="270">
        <f>CdTrp2!O16</f>
        <v>4.5599999999999996</v>
      </c>
      <c r="CP5" s="270">
        <f>CdTrp2!P16</f>
        <v>4.5599999999999996</v>
      </c>
      <c r="CQ5" s="270">
        <f>CdTrp2!Q16</f>
        <v>4.5599999999999996</v>
      </c>
      <c r="CR5" s="270">
        <f>CdTrp2!R16</f>
        <v>4.5599999999999996</v>
      </c>
      <c r="CS5" s="270">
        <f>CdTrp2!S16</f>
        <v>4.5599999999999996</v>
      </c>
      <c r="CT5" s="270">
        <f>CdTrp2!T16</f>
        <v>3.8</v>
      </c>
      <c r="CU5" s="270">
        <f>CdTrp2!U16</f>
        <v>3.8</v>
      </c>
      <c r="CV5" s="270">
        <f>CdTrp2!V16</f>
        <v>1.52</v>
      </c>
      <c r="CW5" s="270">
        <f>CdTrp2!W16</f>
        <v>0.76</v>
      </c>
      <c r="CX5" s="270">
        <f>CdTrp2!X16</f>
        <v>0</v>
      </c>
      <c r="CY5" s="270">
        <f>CdTrp2!Y16</f>
        <v>0</v>
      </c>
      <c r="DC5" s="189" t="str">
        <f>+CdTrp3!A16</f>
        <v>lot2</v>
      </c>
      <c r="DD5" s="172"/>
      <c r="DE5" s="173">
        <f>CdTrp3!B16</f>
        <v>0</v>
      </c>
      <c r="DF5" s="173">
        <f>CdTrp3!C16</f>
        <v>0</v>
      </c>
      <c r="DG5" s="173">
        <f>CdTrp3!D16</f>
        <v>0</v>
      </c>
      <c r="DH5" s="173">
        <f>CdTrp3!E16</f>
        <v>0</v>
      </c>
      <c r="DI5" s="173">
        <f>CdTrp3!F16</f>
        <v>0</v>
      </c>
      <c r="DJ5" s="173">
        <f>CdTrp3!G16</f>
        <v>0</v>
      </c>
      <c r="DK5" s="173">
        <f>CdTrp3!H16</f>
        <v>0</v>
      </c>
      <c r="DL5" s="173">
        <f>CdTrp3!I16</f>
        <v>0</v>
      </c>
      <c r="DM5" s="173">
        <f>CdTrp3!J16</f>
        <v>0</v>
      </c>
      <c r="DN5" s="173">
        <f>CdTrp3!K16</f>
        <v>0</v>
      </c>
      <c r="DO5" s="173">
        <f>CdTrp3!L16</f>
        <v>0</v>
      </c>
      <c r="DP5" s="173">
        <f>CdTrp3!M16</f>
        <v>0</v>
      </c>
      <c r="DQ5" s="173">
        <f>CdTrp3!N16</f>
        <v>0</v>
      </c>
      <c r="DR5" s="173">
        <f>CdTrp3!O16</f>
        <v>0</v>
      </c>
      <c r="DS5" s="173">
        <f>CdTrp3!P16</f>
        <v>0</v>
      </c>
      <c r="DT5" s="173">
        <f>CdTrp3!Q16</f>
        <v>0</v>
      </c>
      <c r="DU5" s="173">
        <f>CdTrp3!R16</f>
        <v>0</v>
      </c>
      <c r="DV5" s="173">
        <f>CdTrp3!S16</f>
        <v>0</v>
      </c>
      <c r="DW5" s="173">
        <f>CdTrp3!T16</f>
        <v>0</v>
      </c>
      <c r="DX5" s="173">
        <f>CdTrp3!U16</f>
        <v>0</v>
      </c>
      <c r="DY5" s="173">
        <f>CdTrp3!V16</f>
        <v>0</v>
      </c>
      <c r="DZ5" s="173">
        <f>CdTrp3!W16</f>
        <v>0</v>
      </c>
      <c r="EA5" s="173">
        <f>CdTrp3!X16</f>
        <v>0</v>
      </c>
      <c r="EB5" s="173">
        <f>CdTrp3!Y16</f>
        <v>0</v>
      </c>
    </row>
    <row r="6" spans="1:132" x14ac:dyDescent="0.25">
      <c r="A6" t="s">
        <v>601</v>
      </c>
      <c r="F6" s="173">
        <f>IF(Troupeau!B3="OL",SUM(G6:AD6)*0.6,SUM(G6:AD6))</f>
        <v>189</v>
      </c>
      <c r="G6" s="173">
        <f>CB117</f>
        <v>0</v>
      </c>
      <c r="H6" s="173">
        <f t="shared" ref="H6:AD6" si="2">CC117</f>
        <v>0</v>
      </c>
      <c r="I6" s="173">
        <f t="shared" si="2"/>
        <v>5.25</v>
      </c>
      <c r="J6" s="173">
        <f t="shared" si="2"/>
        <v>5.25</v>
      </c>
      <c r="K6" s="173">
        <f t="shared" si="2"/>
        <v>5.25</v>
      </c>
      <c r="L6" s="173">
        <f t="shared" si="2"/>
        <v>8.75</v>
      </c>
      <c r="M6" s="173">
        <f t="shared" si="2"/>
        <v>19.25</v>
      </c>
      <c r="N6" s="173">
        <f t="shared" si="2"/>
        <v>19.25</v>
      </c>
      <c r="O6" s="173">
        <f t="shared" si="2"/>
        <v>22.75</v>
      </c>
      <c r="P6" s="173">
        <f t="shared" si="2"/>
        <v>22.75</v>
      </c>
      <c r="Q6" s="173">
        <f t="shared" si="2"/>
        <v>14</v>
      </c>
      <c r="R6" s="173">
        <f t="shared" si="2"/>
        <v>14</v>
      </c>
      <c r="S6" s="173">
        <f t="shared" si="2"/>
        <v>14</v>
      </c>
      <c r="T6" s="173">
        <f t="shared" si="2"/>
        <v>12.25</v>
      </c>
      <c r="U6" s="173">
        <f t="shared" si="2"/>
        <v>12.25</v>
      </c>
      <c r="V6" s="173">
        <f t="shared" si="2"/>
        <v>12.25</v>
      </c>
      <c r="W6" s="173">
        <f t="shared" si="2"/>
        <v>14</v>
      </c>
      <c r="X6" s="173">
        <f t="shared" si="2"/>
        <v>14</v>
      </c>
      <c r="Y6" s="173">
        <f t="shared" si="2"/>
        <v>22.75</v>
      </c>
      <c r="Z6" s="173">
        <f t="shared" si="2"/>
        <v>21</v>
      </c>
      <c r="AA6" s="173">
        <f t="shared" si="2"/>
        <v>28</v>
      </c>
      <c r="AB6" s="173">
        <f t="shared" si="2"/>
        <v>28</v>
      </c>
      <c r="AC6" s="173">
        <f t="shared" si="2"/>
        <v>0</v>
      </c>
      <c r="AD6" s="173">
        <f t="shared" si="2"/>
        <v>0</v>
      </c>
      <c r="AR6" s="188" t="s">
        <v>747</v>
      </c>
      <c r="AT6" s="189" t="str">
        <f t="shared" si="1"/>
        <v>agnelles</v>
      </c>
      <c r="AU6" s="172"/>
      <c r="AV6" s="173">
        <f>CdTrp1!B17</f>
        <v>68.730434782608697</v>
      </c>
      <c r="AW6" s="173">
        <f>CdTrp1!C17</f>
        <v>68.730434782608697</v>
      </c>
      <c r="AX6" s="173">
        <f>CdTrp1!D17</f>
        <v>68.730434782608697</v>
      </c>
      <c r="AY6" s="173">
        <f>CdTrp1!E17</f>
        <v>68.730434782608697</v>
      </c>
      <c r="AZ6" s="173">
        <f>CdTrp1!F17</f>
        <v>68.730434782608697</v>
      </c>
      <c r="BA6" s="173">
        <f>CdTrp1!G17</f>
        <v>68.730434782608697</v>
      </c>
      <c r="BB6" s="173">
        <f>CdTrp1!H17</f>
        <v>68.730434782608697</v>
      </c>
      <c r="BC6" s="173">
        <f>CdTrp1!I17</f>
        <v>68.730434782608697</v>
      </c>
      <c r="BD6" s="173">
        <f>CdTrp1!J17</f>
        <v>68.730434782608697</v>
      </c>
      <c r="BE6" s="173">
        <f>CdTrp1!K17</f>
        <v>68.730434782608697</v>
      </c>
      <c r="BF6" s="173">
        <f>CdTrp1!L17</f>
        <v>68.730434782608697</v>
      </c>
      <c r="BG6" s="173">
        <f>CdTrp1!M17</f>
        <v>68.730434782608697</v>
      </c>
      <c r="BH6" s="173">
        <f>CdTrp1!N17</f>
        <v>68.730434782608697</v>
      </c>
      <c r="BI6" s="173">
        <f>CdTrp1!O17</f>
        <v>68.730434782608697</v>
      </c>
      <c r="BJ6" s="173">
        <f>CdTrp1!P17</f>
        <v>68.730434782608697</v>
      </c>
      <c r="BK6" s="173">
        <f>CdTrp1!Q17</f>
        <v>68.730434782608697</v>
      </c>
      <c r="BL6" s="173">
        <f>CdTrp1!R17</f>
        <v>68.730434782608697</v>
      </c>
      <c r="BM6" s="173">
        <f>CdTrp1!S17</f>
        <v>68.730434782608697</v>
      </c>
      <c r="BN6" s="173">
        <f>CdTrp1!T17</f>
        <v>68.730434782608697</v>
      </c>
      <c r="BO6" s="173">
        <f>CdTrp1!U17</f>
        <v>0</v>
      </c>
      <c r="BP6" s="173">
        <f>CdTrp1!V17</f>
        <v>0</v>
      </c>
      <c r="BQ6" s="173">
        <f>CdTrp1!W17</f>
        <v>68.730434782608697</v>
      </c>
      <c r="BR6" s="173">
        <f>CdTrp1!X17</f>
        <v>68.730434782608697</v>
      </c>
      <c r="BS6" s="173">
        <f>CdTrp1!Y17</f>
        <v>68.730434782608697</v>
      </c>
      <c r="BZ6" s="189" t="str">
        <f>+CdTrp2!A17</f>
        <v>genisses +1an</v>
      </c>
      <c r="CA6" s="172"/>
      <c r="CB6" s="270">
        <f>CdTrp2!B17</f>
        <v>9.1199999999999992</v>
      </c>
      <c r="CC6" s="270">
        <f>CdTrp2!C17</f>
        <v>9.1199999999999992</v>
      </c>
      <c r="CD6" s="270">
        <f>CdTrp2!D17</f>
        <v>9.1199999999999992</v>
      </c>
      <c r="CE6" s="270">
        <f>CdTrp2!E17</f>
        <v>9.1199999999999992</v>
      </c>
      <c r="CF6" s="270">
        <f>CdTrp2!F17</f>
        <v>9.1199999999999992</v>
      </c>
      <c r="CG6" s="270">
        <f>CdTrp2!G17</f>
        <v>9.1199999999999992</v>
      </c>
      <c r="CH6" s="270">
        <f>CdTrp2!H17</f>
        <v>9.1199999999999992</v>
      </c>
      <c r="CI6" s="270">
        <f>CdTrp2!I17</f>
        <v>9.1199999999999992</v>
      </c>
      <c r="CJ6" s="270">
        <f>CdTrp2!J17</f>
        <v>9.1199999999999992</v>
      </c>
      <c r="CK6" s="270">
        <f>CdTrp2!K17</f>
        <v>9.1199999999999992</v>
      </c>
      <c r="CL6" s="270">
        <f>CdTrp2!L17</f>
        <v>9.1199999999999992</v>
      </c>
      <c r="CM6" s="270">
        <f>CdTrp2!M17</f>
        <v>9.1199999999999992</v>
      </c>
      <c r="CN6" s="270">
        <f>CdTrp2!N17</f>
        <v>9.1199999999999992</v>
      </c>
      <c r="CO6" s="270">
        <f>CdTrp2!O17</f>
        <v>9.1199999999999992</v>
      </c>
      <c r="CP6" s="270">
        <f>CdTrp2!P17</f>
        <v>9.1199999999999992</v>
      </c>
      <c r="CQ6" s="270">
        <f>CdTrp2!Q17</f>
        <v>9.1199999999999992</v>
      </c>
      <c r="CR6" s="270">
        <f>CdTrp2!R17</f>
        <v>9.1199999999999992</v>
      </c>
      <c r="CS6" s="270">
        <f>CdTrp2!S17</f>
        <v>9.1199999999999992</v>
      </c>
      <c r="CT6" s="270">
        <f>CdTrp2!T17</f>
        <v>9.1199999999999992</v>
      </c>
      <c r="CU6" s="270">
        <f>CdTrp2!U17</f>
        <v>9.1199999999999992</v>
      </c>
      <c r="CV6" s="270">
        <f>CdTrp2!V17</f>
        <v>9.1199999999999992</v>
      </c>
      <c r="CW6" s="270">
        <f>CdTrp2!W17</f>
        <v>9.1199999999999992</v>
      </c>
      <c r="CX6" s="270">
        <f>CdTrp2!X17</f>
        <v>9.1199999999999992</v>
      </c>
      <c r="CY6" s="270">
        <f>CdTrp2!Y17</f>
        <v>9.1199999999999992</v>
      </c>
      <c r="DC6" s="189" t="str">
        <f>+CdTrp3!A17</f>
        <v>lot3</v>
      </c>
      <c r="DD6" s="172"/>
      <c r="DE6" s="173">
        <f>CdTrp3!B17</f>
        <v>0</v>
      </c>
      <c r="DF6" s="173">
        <f>CdTrp3!C17</f>
        <v>0</v>
      </c>
      <c r="DG6" s="173">
        <f>CdTrp3!D17</f>
        <v>0</v>
      </c>
      <c r="DH6" s="173">
        <f>CdTrp3!E17</f>
        <v>0</v>
      </c>
      <c r="DI6" s="173">
        <f>CdTrp3!F17</f>
        <v>0</v>
      </c>
      <c r="DJ6" s="173">
        <f>CdTrp3!G17</f>
        <v>0</v>
      </c>
      <c r="DK6" s="173">
        <f>CdTrp3!H17</f>
        <v>0</v>
      </c>
      <c r="DL6" s="173">
        <f>CdTrp3!I17</f>
        <v>0</v>
      </c>
      <c r="DM6" s="173">
        <f>CdTrp3!J17</f>
        <v>0</v>
      </c>
      <c r="DN6" s="173">
        <f>CdTrp3!K17</f>
        <v>0</v>
      </c>
      <c r="DO6" s="173">
        <f>CdTrp3!L17</f>
        <v>0</v>
      </c>
      <c r="DP6" s="173">
        <f>CdTrp3!M17</f>
        <v>0</v>
      </c>
      <c r="DQ6" s="173">
        <f>CdTrp3!N17</f>
        <v>0</v>
      </c>
      <c r="DR6" s="173">
        <f>CdTrp3!O17</f>
        <v>0</v>
      </c>
      <c r="DS6" s="173">
        <f>CdTrp3!P17</f>
        <v>0</v>
      </c>
      <c r="DT6" s="173">
        <f>CdTrp3!Q17</f>
        <v>0</v>
      </c>
      <c r="DU6" s="173">
        <f>CdTrp3!R17</f>
        <v>0</v>
      </c>
      <c r="DV6" s="173">
        <f>CdTrp3!S17</f>
        <v>0</v>
      </c>
      <c r="DW6" s="173">
        <f>CdTrp3!T17</f>
        <v>0</v>
      </c>
      <c r="DX6" s="173">
        <f>CdTrp3!U17</f>
        <v>0</v>
      </c>
      <c r="DY6" s="173">
        <f>CdTrp3!V17</f>
        <v>0</v>
      </c>
      <c r="DZ6" s="173">
        <f>CdTrp3!W17</f>
        <v>0</v>
      </c>
      <c r="EA6" s="173">
        <f>CdTrp3!X17</f>
        <v>0</v>
      </c>
      <c r="EB6" s="173">
        <f>CdTrp3!Y17</f>
        <v>0</v>
      </c>
    </row>
    <row r="7" spans="1:132" x14ac:dyDescent="0.25">
      <c r="A7" t="s">
        <v>738</v>
      </c>
      <c r="F7" s="173">
        <f>SUM(G7:AD7)</f>
        <v>0</v>
      </c>
      <c r="G7" s="173">
        <f>DE117</f>
        <v>0</v>
      </c>
      <c r="H7" s="173">
        <f t="shared" ref="H7:AD7" si="3">DF117</f>
        <v>0</v>
      </c>
      <c r="I7" s="173">
        <f t="shared" si="3"/>
        <v>0</v>
      </c>
      <c r="J7" s="173">
        <f t="shared" si="3"/>
        <v>0</v>
      </c>
      <c r="K7" s="173">
        <f t="shared" si="3"/>
        <v>0</v>
      </c>
      <c r="L7" s="173">
        <f t="shared" si="3"/>
        <v>0</v>
      </c>
      <c r="M7" s="173">
        <f t="shared" si="3"/>
        <v>0</v>
      </c>
      <c r="N7" s="173">
        <f t="shared" si="3"/>
        <v>0</v>
      </c>
      <c r="O7" s="173">
        <f t="shared" si="3"/>
        <v>0</v>
      </c>
      <c r="P7" s="173">
        <f t="shared" si="3"/>
        <v>0</v>
      </c>
      <c r="Q7" s="173">
        <f t="shared" si="3"/>
        <v>0</v>
      </c>
      <c r="R7" s="173">
        <f t="shared" si="3"/>
        <v>0</v>
      </c>
      <c r="S7" s="173">
        <f t="shared" si="3"/>
        <v>0</v>
      </c>
      <c r="T7" s="173">
        <f t="shared" si="3"/>
        <v>0</v>
      </c>
      <c r="U7" s="173">
        <f t="shared" si="3"/>
        <v>0</v>
      </c>
      <c r="V7" s="173">
        <f t="shared" si="3"/>
        <v>0</v>
      </c>
      <c r="W7" s="173">
        <f t="shared" si="3"/>
        <v>0</v>
      </c>
      <c r="X7" s="173">
        <f t="shared" si="3"/>
        <v>0</v>
      </c>
      <c r="Y7" s="173">
        <f t="shared" si="3"/>
        <v>0</v>
      </c>
      <c r="Z7" s="173">
        <f t="shared" si="3"/>
        <v>0</v>
      </c>
      <c r="AA7" s="173">
        <f t="shared" si="3"/>
        <v>0</v>
      </c>
      <c r="AB7" s="173">
        <f t="shared" si="3"/>
        <v>0</v>
      </c>
      <c r="AC7" s="173">
        <f t="shared" si="3"/>
        <v>0</v>
      </c>
      <c r="AD7" s="173">
        <f t="shared" si="3"/>
        <v>0</v>
      </c>
      <c r="AR7" s="188" t="s">
        <v>747</v>
      </c>
      <c r="AT7" s="189" t="str">
        <f t="shared" si="1"/>
        <v>beliers</v>
      </c>
      <c r="AU7" s="172"/>
      <c r="AV7" s="173">
        <f>CdTrp1!B18</f>
        <v>7.9304347826086961</v>
      </c>
      <c r="AW7" s="173">
        <f>CdTrp1!C18</f>
        <v>7.9304347826086961</v>
      </c>
      <c r="AX7" s="173">
        <f>CdTrp1!D18</f>
        <v>7.9304347826086961</v>
      </c>
      <c r="AY7" s="173">
        <f>CdTrp1!E18</f>
        <v>7.9304347826086961</v>
      </c>
      <c r="AZ7" s="173">
        <f>CdTrp1!F18</f>
        <v>7.9304347826086961</v>
      </c>
      <c r="BA7" s="173">
        <f>CdTrp1!G18</f>
        <v>7.9304347826086961</v>
      </c>
      <c r="BB7" s="173">
        <f>CdTrp1!H18</f>
        <v>7.9304347826086961</v>
      </c>
      <c r="BC7" s="173">
        <f>CdTrp1!I18</f>
        <v>7.9304347826086961</v>
      </c>
      <c r="BD7" s="173">
        <f>CdTrp1!J18</f>
        <v>7.9304347826086961</v>
      </c>
      <c r="BE7" s="173">
        <f>CdTrp1!K18</f>
        <v>0</v>
      </c>
      <c r="BF7" s="173">
        <f>CdTrp1!L18</f>
        <v>0</v>
      </c>
      <c r="BG7" s="173">
        <f>CdTrp1!M18</f>
        <v>0</v>
      </c>
      <c r="BH7" s="173">
        <f>CdTrp1!N18</f>
        <v>0</v>
      </c>
      <c r="BI7" s="173">
        <f>CdTrp1!O18</f>
        <v>0</v>
      </c>
      <c r="BJ7" s="173">
        <f>CdTrp1!P18</f>
        <v>0</v>
      </c>
      <c r="BK7" s="173">
        <f>CdTrp1!Q18</f>
        <v>0</v>
      </c>
      <c r="BL7" s="173">
        <f>CdTrp1!R18</f>
        <v>0</v>
      </c>
      <c r="BM7" s="173">
        <f>CdTrp1!S18</f>
        <v>0</v>
      </c>
      <c r="BN7" s="173">
        <f>CdTrp1!T18</f>
        <v>0</v>
      </c>
      <c r="BO7" s="173">
        <f>CdTrp1!U18</f>
        <v>7.9304347826086961</v>
      </c>
      <c r="BP7" s="173">
        <f>CdTrp1!V18</f>
        <v>7.9304347826086961</v>
      </c>
      <c r="BQ7" s="173">
        <f>CdTrp1!W18</f>
        <v>7.9304347826086961</v>
      </c>
      <c r="BR7" s="173">
        <f>CdTrp1!X18</f>
        <v>7.9304347826086961</v>
      </c>
      <c r="BS7" s="173">
        <f>CdTrp1!Y18</f>
        <v>7.9304347826086961</v>
      </c>
      <c r="BZ7" s="189" t="str">
        <f>+CdTrp2!A18</f>
        <v>lot4</v>
      </c>
      <c r="CA7" s="172"/>
      <c r="CB7" s="270">
        <f>CdTrp2!B18</f>
        <v>0</v>
      </c>
      <c r="CC7" s="270">
        <f>CdTrp2!C18</f>
        <v>0</v>
      </c>
      <c r="CD7" s="270">
        <f>CdTrp2!D18</f>
        <v>0</v>
      </c>
      <c r="CE7" s="270">
        <f>CdTrp2!E18</f>
        <v>0</v>
      </c>
      <c r="CF7" s="270">
        <f>CdTrp2!F18</f>
        <v>0</v>
      </c>
      <c r="CG7" s="270">
        <f>CdTrp2!G18</f>
        <v>0</v>
      </c>
      <c r="CH7" s="270">
        <f>CdTrp2!H18</f>
        <v>0</v>
      </c>
      <c r="CI7" s="270">
        <f>CdTrp2!I18</f>
        <v>0</v>
      </c>
      <c r="CJ7" s="270">
        <f>CdTrp2!J18</f>
        <v>0</v>
      </c>
      <c r="CK7" s="270">
        <f>CdTrp2!K18</f>
        <v>0</v>
      </c>
      <c r="CL7" s="270">
        <f>CdTrp2!L18</f>
        <v>0</v>
      </c>
      <c r="CM7" s="270">
        <f>CdTrp2!M18</f>
        <v>0</v>
      </c>
      <c r="CN7" s="270">
        <f>CdTrp2!N18</f>
        <v>0</v>
      </c>
      <c r="CO7" s="270">
        <f>CdTrp2!O18</f>
        <v>0</v>
      </c>
      <c r="CP7" s="270">
        <f>CdTrp2!P18</f>
        <v>0</v>
      </c>
      <c r="CQ7" s="270">
        <f>CdTrp2!Q18</f>
        <v>0</v>
      </c>
      <c r="CR7" s="270">
        <f>CdTrp2!R18</f>
        <v>0</v>
      </c>
      <c r="CS7" s="270">
        <f>CdTrp2!S18</f>
        <v>0</v>
      </c>
      <c r="CT7" s="270">
        <f>CdTrp2!T18</f>
        <v>0</v>
      </c>
      <c r="CU7" s="270">
        <f>CdTrp2!U18</f>
        <v>0</v>
      </c>
      <c r="CV7" s="270">
        <f>CdTrp2!V18</f>
        <v>0</v>
      </c>
      <c r="CW7" s="270">
        <f>CdTrp2!W18</f>
        <v>0</v>
      </c>
      <c r="CX7" s="270">
        <f>CdTrp2!X18</f>
        <v>0</v>
      </c>
      <c r="CY7" s="270">
        <f>CdTrp2!Y18</f>
        <v>0</v>
      </c>
      <c r="DC7" s="189" t="str">
        <f>+CdTrp3!A18</f>
        <v>lot4</v>
      </c>
      <c r="DD7" s="172"/>
      <c r="DE7" s="173">
        <f>CdTrp3!B18</f>
        <v>0</v>
      </c>
      <c r="DF7" s="173">
        <f>CdTrp3!C18</f>
        <v>0</v>
      </c>
      <c r="DG7" s="173">
        <f>CdTrp3!D18</f>
        <v>0</v>
      </c>
      <c r="DH7" s="173">
        <f>CdTrp3!E18</f>
        <v>0</v>
      </c>
      <c r="DI7" s="173">
        <f>CdTrp3!F18</f>
        <v>0</v>
      </c>
      <c r="DJ7" s="173">
        <f>CdTrp3!G18</f>
        <v>0</v>
      </c>
      <c r="DK7" s="173">
        <f>CdTrp3!H18</f>
        <v>0</v>
      </c>
      <c r="DL7" s="173">
        <f>CdTrp3!I18</f>
        <v>0</v>
      </c>
      <c r="DM7" s="173">
        <f>CdTrp3!J18</f>
        <v>0</v>
      </c>
      <c r="DN7" s="173">
        <f>CdTrp3!K18</f>
        <v>0</v>
      </c>
      <c r="DO7" s="173">
        <f>CdTrp3!L18</f>
        <v>0</v>
      </c>
      <c r="DP7" s="173">
        <f>CdTrp3!M18</f>
        <v>0</v>
      </c>
      <c r="DQ7" s="173">
        <f>CdTrp3!N18</f>
        <v>0</v>
      </c>
      <c r="DR7" s="173">
        <f>CdTrp3!O18</f>
        <v>0</v>
      </c>
      <c r="DS7" s="173">
        <f>CdTrp3!P18</f>
        <v>0</v>
      </c>
      <c r="DT7" s="173">
        <f>CdTrp3!Q18</f>
        <v>0</v>
      </c>
      <c r="DU7" s="173">
        <f>CdTrp3!R18</f>
        <v>0</v>
      </c>
      <c r="DV7" s="173">
        <f>CdTrp3!S18</f>
        <v>0</v>
      </c>
      <c r="DW7" s="173">
        <f>CdTrp3!T18</f>
        <v>0</v>
      </c>
      <c r="DX7" s="173">
        <f>CdTrp3!U18</f>
        <v>0</v>
      </c>
      <c r="DY7" s="173">
        <f>CdTrp3!V18</f>
        <v>0</v>
      </c>
      <c r="DZ7" s="173">
        <f>CdTrp3!W18</f>
        <v>0</v>
      </c>
      <c r="EA7" s="173">
        <f>CdTrp3!X18</f>
        <v>0</v>
      </c>
      <c r="EB7" s="173">
        <f>CdTrp3!Y18</f>
        <v>0</v>
      </c>
    </row>
    <row r="8" spans="1:132" x14ac:dyDescent="0.25">
      <c r="A8" s="2" t="s">
        <v>751</v>
      </c>
      <c r="B8" s="2"/>
      <c r="C8" s="2"/>
      <c r="D8" s="23"/>
      <c r="E8" s="23"/>
      <c r="AR8" s="188" t="s">
        <v>747</v>
      </c>
      <c r="AT8" s="189" t="str">
        <f t="shared" si="1"/>
        <v>lot5</v>
      </c>
      <c r="AU8" s="172"/>
      <c r="AV8" s="173">
        <f>CdTrp1!B19</f>
        <v>0</v>
      </c>
      <c r="AW8" s="173">
        <f>CdTrp1!C19</f>
        <v>0</v>
      </c>
      <c r="AX8" s="173">
        <f>CdTrp1!D19</f>
        <v>0</v>
      </c>
      <c r="AY8" s="173">
        <f>CdTrp1!E19</f>
        <v>0</v>
      </c>
      <c r="AZ8" s="173">
        <f>CdTrp1!F19</f>
        <v>0</v>
      </c>
      <c r="BA8" s="173">
        <f>CdTrp1!G19</f>
        <v>0</v>
      </c>
      <c r="BB8" s="173">
        <f>CdTrp1!H19</f>
        <v>0</v>
      </c>
      <c r="BC8" s="173">
        <f>CdTrp1!I19</f>
        <v>0</v>
      </c>
      <c r="BD8" s="173">
        <f>CdTrp1!J19</f>
        <v>0</v>
      </c>
      <c r="BE8" s="173">
        <f>CdTrp1!K19</f>
        <v>0</v>
      </c>
      <c r="BF8" s="173">
        <f>CdTrp1!L19</f>
        <v>0</v>
      </c>
      <c r="BG8" s="173">
        <f>CdTrp1!M19</f>
        <v>0</v>
      </c>
      <c r="BH8" s="173">
        <f>CdTrp1!N19</f>
        <v>0</v>
      </c>
      <c r="BI8" s="173">
        <f>CdTrp1!O19</f>
        <v>0</v>
      </c>
      <c r="BJ8" s="173">
        <f>CdTrp1!P19</f>
        <v>0</v>
      </c>
      <c r="BK8" s="173">
        <f>CdTrp1!Q19</f>
        <v>0</v>
      </c>
      <c r="BL8" s="173">
        <f>CdTrp1!R19</f>
        <v>0</v>
      </c>
      <c r="BM8" s="173">
        <f>CdTrp1!S19</f>
        <v>0</v>
      </c>
      <c r="BN8" s="173">
        <f>CdTrp1!T19</f>
        <v>0</v>
      </c>
      <c r="BO8" s="173">
        <f>CdTrp1!U19</f>
        <v>0</v>
      </c>
      <c r="BP8" s="173">
        <f>CdTrp1!V19</f>
        <v>0</v>
      </c>
      <c r="BQ8" s="173">
        <f>CdTrp1!W19</f>
        <v>0</v>
      </c>
      <c r="BR8" s="173">
        <f>CdTrp1!X19</f>
        <v>0</v>
      </c>
      <c r="BS8" s="173">
        <f>CdTrp1!Y19</f>
        <v>0</v>
      </c>
      <c r="BZ8" s="189" t="str">
        <f>+CdTrp2!A19</f>
        <v>lot5</v>
      </c>
      <c r="CA8" s="172"/>
      <c r="CB8" s="173">
        <f>CdTrp2!B19</f>
        <v>0</v>
      </c>
      <c r="CC8" s="173">
        <f>CdTrp2!C19</f>
        <v>0</v>
      </c>
      <c r="CD8" s="173">
        <f>CdTrp2!D19</f>
        <v>0</v>
      </c>
      <c r="CE8" s="173">
        <f>CdTrp2!E19</f>
        <v>0</v>
      </c>
      <c r="CF8" s="173">
        <f>CdTrp2!F19</f>
        <v>0</v>
      </c>
      <c r="CG8" s="173">
        <f>CdTrp2!G19</f>
        <v>0</v>
      </c>
      <c r="CH8" s="173">
        <f>CdTrp2!H19</f>
        <v>0</v>
      </c>
      <c r="CI8" s="173">
        <f>CdTrp2!I19</f>
        <v>0</v>
      </c>
      <c r="CJ8" s="173">
        <f>CdTrp2!J19</f>
        <v>0</v>
      </c>
      <c r="CK8" s="173">
        <f>CdTrp2!K19</f>
        <v>0</v>
      </c>
      <c r="CL8" s="173">
        <f>CdTrp2!L19</f>
        <v>0</v>
      </c>
      <c r="CM8" s="173">
        <f>CdTrp2!M19</f>
        <v>0</v>
      </c>
      <c r="CN8" s="173">
        <f>CdTrp2!N19</f>
        <v>0</v>
      </c>
      <c r="CO8" s="173">
        <f>CdTrp2!O19</f>
        <v>0</v>
      </c>
      <c r="CP8" s="173">
        <f>CdTrp2!P19</f>
        <v>0</v>
      </c>
      <c r="CQ8" s="173">
        <f>CdTrp2!Q19</f>
        <v>0</v>
      </c>
      <c r="CR8" s="173">
        <f>CdTrp2!R19</f>
        <v>0</v>
      </c>
      <c r="CS8" s="173">
        <f>CdTrp2!S19</f>
        <v>0</v>
      </c>
      <c r="CT8" s="173">
        <f>CdTrp2!T19</f>
        <v>0</v>
      </c>
      <c r="CU8" s="173">
        <f>CdTrp2!U19</f>
        <v>0</v>
      </c>
      <c r="CV8" s="173">
        <f>CdTrp2!V19</f>
        <v>0</v>
      </c>
      <c r="CW8" s="173">
        <f>CdTrp2!W19</f>
        <v>0</v>
      </c>
      <c r="CX8" s="173">
        <f>CdTrp2!X19</f>
        <v>0</v>
      </c>
      <c r="CY8" s="173">
        <f>CdTrp2!Y19</f>
        <v>0</v>
      </c>
      <c r="DC8" s="189" t="str">
        <f>+CdTrp3!A19</f>
        <v>lot5</v>
      </c>
      <c r="DD8" s="172"/>
      <c r="DE8" s="173">
        <f>CdTrp3!B19</f>
        <v>0</v>
      </c>
      <c r="DF8" s="173">
        <f>CdTrp3!C19</f>
        <v>0</v>
      </c>
      <c r="DG8" s="173">
        <f>CdTrp3!D19</f>
        <v>0</v>
      </c>
      <c r="DH8" s="173">
        <f>CdTrp3!E19</f>
        <v>0</v>
      </c>
      <c r="DI8" s="173">
        <f>CdTrp3!F19</f>
        <v>0</v>
      </c>
      <c r="DJ8" s="173">
        <f>CdTrp3!G19</f>
        <v>0</v>
      </c>
      <c r="DK8" s="173">
        <f>CdTrp3!H19</f>
        <v>0</v>
      </c>
      <c r="DL8" s="173">
        <f>CdTrp3!I19</f>
        <v>0</v>
      </c>
      <c r="DM8" s="173">
        <f>CdTrp3!J19</f>
        <v>0</v>
      </c>
      <c r="DN8" s="173">
        <f>CdTrp3!K19</f>
        <v>0</v>
      </c>
      <c r="DO8" s="173">
        <f>CdTrp3!L19</f>
        <v>0</v>
      </c>
      <c r="DP8" s="173">
        <f>CdTrp3!M19</f>
        <v>0</v>
      </c>
      <c r="DQ8" s="173">
        <f>CdTrp3!N19</f>
        <v>0</v>
      </c>
      <c r="DR8" s="173">
        <f>CdTrp3!O19</f>
        <v>0</v>
      </c>
      <c r="DS8" s="173">
        <f>CdTrp3!P19</f>
        <v>0</v>
      </c>
      <c r="DT8" s="173">
        <f>CdTrp3!Q19</f>
        <v>0</v>
      </c>
      <c r="DU8" s="173">
        <f>CdTrp3!R19</f>
        <v>0</v>
      </c>
      <c r="DV8" s="173">
        <f>CdTrp3!S19</f>
        <v>0</v>
      </c>
      <c r="DW8" s="173">
        <f>CdTrp3!T19</f>
        <v>0</v>
      </c>
      <c r="DX8" s="173">
        <f>CdTrp3!U19</f>
        <v>0</v>
      </c>
      <c r="DY8" s="173">
        <f>CdTrp3!V19</f>
        <v>0</v>
      </c>
      <c r="DZ8" s="173">
        <f>CdTrp3!W19</f>
        <v>0</v>
      </c>
      <c r="EA8" s="173">
        <f>CdTrp3!X19</f>
        <v>0</v>
      </c>
      <c r="EB8" s="173">
        <f>CdTrp3!Y19</f>
        <v>0</v>
      </c>
    </row>
    <row r="9" spans="1:132" x14ac:dyDescent="0.25">
      <c r="A9" t="s">
        <v>568</v>
      </c>
      <c r="F9" s="173">
        <f>SUM(G9:AD9)</f>
        <v>875.04139130434783</v>
      </c>
      <c r="G9" s="30">
        <f>AV102</f>
        <v>53.064260869565217</v>
      </c>
      <c r="H9" s="30">
        <f t="shared" ref="H9:AD9" si="4">AW102</f>
        <v>52.971739130434784</v>
      </c>
      <c r="I9" s="30">
        <f t="shared" si="4"/>
        <v>52.879217391304351</v>
      </c>
      <c r="J9" s="30">
        <f t="shared" si="4"/>
        <v>52.832956521739135</v>
      </c>
      <c r="K9" s="30">
        <f t="shared" si="4"/>
        <v>52.786695652173911</v>
      </c>
      <c r="L9" s="30">
        <f t="shared" si="4"/>
        <v>31.740434782608695</v>
      </c>
      <c r="M9" s="30">
        <f t="shared" si="4"/>
        <v>31.694173913043478</v>
      </c>
      <c r="N9" s="30">
        <f t="shared" si="4"/>
        <v>31.647913043478262</v>
      </c>
      <c r="O9" s="30">
        <f t="shared" si="4"/>
        <v>31.555391304347829</v>
      </c>
      <c r="P9" s="30">
        <f t="shared" si="4"/>
        <v>30.583913043478262</v>
      </c>
      <c r="Q9" s="30">
        <f t="shared" si="4"/>
        <v>30.583913043478262</v>
      </c>
      <c r="R9" s="30">
        <f t="shared" si="4"/>
        <v>21.655565217391306</v>
      </c>
      <c r="S9" s="30">
        <f t="shared" si="4"/>
        <v>21.655565217391306</v>
      </c>
      <c r="T9" s="30">
        <f t="shared" si="4"/>
        <v>21.655565217391306</v>
      </c>
      <c r="U9" s="30">
        <f t="shared" si="4"/>
        <v>21.655565217391306</v>
      </c>
      <c r="V9" s="30">
        <f t="shared" si="4"/>
        <v>21.655565217391306</v>
      </c>
      <c r="W9" s="30">
        <f t="shared" si="4"/>
        <v>21.655565217391306</v>
      </c>
      <c r="X9" s="30">
        <f t="shared" si="4"/>
        <v>21.655565217391306</v>
      </c>
      <c r="Y9" s="30">
        <f t="shared" si="4"/>
        <v>30.583913043478262</v>
      </c>
      <c r="Z9" s="30">
        <f t="shared" si="4"/>
        <v>30.167565217391306</v>
      </c>
      <c r="AA9" s="30">
        <f t="shared" si="4"/>
        <v>51.167565217391306</v>
      </c>
      <c r="AB9" s="30">
        <f t="shared" si="4"/>
        <v>53.064260869565217</v>
      </c>
      <c r="AC9" s="30">
        <f t="shared" si="4"/>
        <v>53.064260869565217</v>
      </c>
      <c r="AD9" s="30">
        <f t="shared" si="4"/>
        <v>53.064260869565217</v>
      </c>
      <c r="AR9" s="188" t="s">
        <v>747</v>
      </c>
      <c r="AT9" s="189" t="str">
        <f t="shared" si="1"/>
        <v>lot6</v>
      </c>
      <c r="AU9" s="172"/>
      <c r="AV9" s="173">
        <f>CdTrp1!B20</f>
        <v>0</v>
      </c>
      <c r="AW9" s="173">
        <f>CdTrp1!C20</f>
        <v>0</v>
      </c>
      <c r="AX9" s="173">
        <f>CdTrp1!D20</f>
        <v>0</v>
      </c>
      <c r="AY9" s="173">
        <f>CdTrp1!E20</f>
        <v>0</v>
      </c>
      <c r="AZ9" s="173">
        <f>CdTrp1!F20</f>
        <v>0</v>
      </c>
      <c r="BA9" s="173">
        <f>CdTrp1!G20</f>
        <v>0</v>
      </c>
      <c r="BB9" s="173">
        <f>CdTrp1!H20</f>
        <v>0</v>
      </c>
      <c r="BC9" s="173">
        <f>CdTrp1!I20</f>
        <v>0</v>
      </c>
      <c r="BD9" s="173">
        <f>CdTrp1!J20</f>
        <v>0</v>
      </c>
      <c r="BE9" s="173">
        <f>CdTrp1!K20</f>
        <v>0</v>
      </c>
      <c r="BF9" s="173">
        <f>CdTrp1!L20</f>
        <v>0</v>
      </c>
      <c r="BG9" s="173">
        <f>CdTrp1!M20</f>
        <v>0</v>
      </c>
      <c r="BH9" s="173">
        <f>CdTrp1!N20</f>
        <v>0</v>
      </c>
      <c r="BI9" s="173">
        <f>CdTrp1!O20</f>
        <v>0</v>
      </c>
      <c r="BJ9" s="173">
        <f>CdTrp1!P20</f>
        <v>0</v>
      </c>
      <c r="BK9" s="173">
        <f>CdTrp1!Q20</f>
        <v>0</v>
      </c>
      <c r="BL9" s="173">
        <f>CdTrp1!R20</f>
        <v>0</v>
      </c>
      <c r="BM9" s="173">
        <f>CdTrp1!S20</f>
        <v>0</v>
      </c>
      <c r="BN9" s="173">
        <f>CdTrp1!T20</f>
        <v>0</v>
      </c>
      <c r="BO9" s="173">
        <f>CdTrp1!U20</f>
        <v>0</v>
      </c>
      <c r="BP9" s="173">
        <f>CdTrp1!V20</f>
        <v>0</v>
      </c>
      <c r="BQ9" s="173">
        <f>CdTrp1!W20</f>
        <v>0</v>
      </c>
      <c r="BR9" s="173">
        <f>CdTrp1!X20</f>
        <v>0</v>
      </c>
      <c r="BS9" s="173">
        <f>CdTrp1!Y20</f>
        <v>0</v>
      </c>
      <c r="BZ9" s="189" t="str">
        <f>+CdTrp2!A20</f>
        <v>lot6</v>
      </c>
      <c r="CA9" s="172"/>
      <c r="CB9" s="270">
        <f>CdTrp2!B20</f>
        <v>0</v>
      </c>
      <c r="CC9" s="270">
        <f>CdTrp2!C20</f>
        <v>0</v>
      </c>
      <c r="CD9" s="270">
        <f>CdTrp2!D20</f>
        <v>0</v>
      </c>
      <c r="CE9" s="270">
        <f>CdTrp2!E20</f>
        <v>0</v>
      </c>
      <c r="CF9" s="270">
        <f>CdTrp2!F20</f>
        <v>0</v>
      </c>
      <c r="CG9" s="270">
        <f>CdTrp2!G20</f>
        <v>0</v>
      </c>
      <c r="CH9" s="270">
        <f>CdTrp2!H20</f>
        <v>0</v>
      </c>
      <c r="CI9" s="270">
        <f>CdTrp2!I20</f>
        <v>0</v>
      </c>
      <c r="CJ9" s="270">
        <f>CdTrp2!J20</f>
        <v>0</v>
      </c>
      <c r="CK9" s="270">
        <f>CdTrp2!K20</f>
        <v>0</v>
      </c>
      <c r="CL9" s="270">
        <f>CdTrp2!L20</f>
        <v>0</v>
      </c>
      <c r="CM9" s="270">
        <f>CdTrp2!M20</f>
        <v>0</v>
      </c>
      <c r="CN9" s="270">
        <f>CdTrp2!N20</f>
        <v>0</v>
      </c>
      <c r="CO9" s="270">
        <f>CdTrp2!O20</f>
        <v>0</v>
      </c>
      <c r="CP9" s="270">
        <f>CdTrp2!P20</f>
        <v>0</v>
      </c>
      <c r="CQ9" s="270">
        <f>CdTrp2!Q20</f>
        <v>0</v>
      </c>
      <c r="CR9" s="270">
        <f>CdTrp2!R20</f>
        <v>0</v>
      </c>
      <c r="CS9" s="270">
        <f>CdTrp2!S20</f>
        <v>0</v>
      </c>
      <c r="CT9" s="270">
        <f>CdTrp2!T20</f>
        <v>0</v>
      </c>
      <c r="CU9" s="270">
        <f>CdTrp2!U20</f>
        <v>0</v>
      </c>
      <c r="CV9" s="270">
        <f>CdTrp2!V20</f>
        <v>0</v>
      </c>
      <c r="CW9" s="270">
        <f>CdTrp2!W20</f>
        <v>0</v>
      </c>
      <c r="CX9" s="270">
        <f>CdTrp2!X20</f>
        <v>0</v>
      </c>
      <c r="CY9" s="270">
        <f>CdTrp2!Y20</f>
        <v>0</v>
      </c>
      <c r="DC9" s="189" t="str">
        <f>+CdTrp3!A20</f>
        <v>lot6</v>
      </c>
      <c r="DD9" s="172"/>
      <c r="DE9" s="173">
        <f>CdTrp3!B20</f>
        <v>0</v>
      </c>
      <c r="DF9" s="173">
        <f>CdTrp3!C20</f>
        <v>0</v>
      </c>
      <c r="DG9" s="173">
        <f>CdTrp3!D20</f>
        <v>0</v>
      </c>
      <c r="DH9" s="173">
        <f>CdTrp3!E20</f>
        <v>0</v>
      </c>
      <c r="DI9" s="173">
        <f>CdTrp3!F20</f>
        <v>0</v>
      </c>
      <c r="DJ9" s="173">
        <f>CdTrp3!G20</f>
        <v>0</v>
      </c>
      <c r="DK9" s="173">
        <f>CdTrp3!H20</f>
        <v>0</v>
      </c>
      <c r="DL9" s="173">
        <f>CdTrp3!I20</f>
        <v>0</v>
      </c>
      <c r="DM9" s="173">
        <f>CdTrp3!J20</f>
        <v>0</v>
      </c>
      <c r="DN9" s="173">
        <f>CdTrp3!K20</f>
        <v>0</v>
      </c>
      <c r="DO9" s="173">
        <f>CdTrp3!L20</f>
        <v>0</v>
      </c>
      <c r="DP9" s="173">
        <f>CdTrp3!M20</f>
        <v>0</v>
      </c>
      <c r="DQ9" s="173">
        <f>CdTrp3!N20</f>
        <v>0</v>
      </c>
      <c r="DR9" s="173">
        <f>CdTrp3!O20</f>
        <v>0</v>
      </c>
      <c r="DS9" s="173">
        <f>CdTrp3!P20</f>
        <v>0</v>
      </c>
      <c r="DT9" s="173">
        <f>CdTrp3!Q20</f>
        <v>0</v>
      </c>
      <c r="DU9" s="173">
        <f>CdTrp3!R20</f>
        <v>0</v>
      </c>
      <c r="DV9" s="173">
        <f>CdTrp3!S20</f>
        <v>0</v>
      </c>
      <c r="DW9" s="173">
        <f>CdTrp3!T20</f>
        <v>0</v>
      </c>
      <c r="DX9" s="173">
        <f>CdTrp3!U20</f>
        <v>0</v>
      </c>
      <c r="DY9" s="173">
        <f>CdTrp3!V20</f>
        <v>0</v>
      </c>
      <c r="DZ9" s="173">
        <f>CdTrp3!W20</f>
        <v>0</v>
      </c>
      <c r="EA9" s="173">
        <f>CdTrp3!X20</f>
        <v>0</v>
      </c>
      <c r="EB9" s="173">
        <f>CdTrp3!Y20</f>
        <v>0</v>
      </c>
    </row>
    <row r="10" spans="1:132" x14ac:dyDescent="0.25">
      <c r="A10" t="s">
        <v>601</v>
      </c>
      <c r="F10" s="173">
        <f t="shared" ref="F10:F13" si="5">SUM(G10:AD10)</f>
        <v>504</v>
      </c>
      <c r="G10" s="30">
        <f>CB102</f>
        <v>42</v>
      </c>
      <c r="H10" s="30">
        <f t="shared" ref="H10:AD10" si="6">CC102</f>
        <v>42</v>
      </c>
      <c r="I10" s="30">
        <f t="shared" si="6"/>
        <v>42</v>
      </c>
      <c r="J10" s="30">
        <f t="shared" si="6"/>
        <v>42</v>
      </c>
      <c r="K10" s="30">
        <f t="shared" si="6"/>
        <v>42</v>
      </c>
      <c r="L10" s="30">
        <f t="shared" si="6"/>
        <v>42</v>
      </c>
      <c r="M10" s="30">
        <f t="shared" si="6"/>
        <v>21</v>
      </c>
      <c r="N10" s="30">
        <f t="shared" si="6"/>
        <v>21</v>
      </c>
      <c r="O10" s="30">
        <f t="shared" si="6"/>
        <v>21</v>
      </c>
      <c r="P10" s="30">
        <f t="shared" si="6"/>
        <v>21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21</v>
      </c>
      <c r="Z10" s="30">
        <f t="shared" si="6"/>
        <v>21</v>
      </c>
      <c r="AA10" s="30">
        <f t="shared" si="6"/>
        <v>21</v>
      </c>
      <c r="AB10" s="30">
        <f t="shared" si="6"/>
        <v>21</v>
      </c>
      <c r="AC10" s="30">
        <f t="shared" si="6"/>
        <v>42</v>
      </c>
      <c r="AD10" s="30">
        <f t="shared" si="6"/>
        <v>42</v>
      </c>
      <c r="AR10" s="188" t="s">
        <v>747</v>
      </c>
      <c r="AT10" s="189" t="str">
        <f t="shared" si="1"/>
        <v>lot7</v>
      </c>
      <c r="AU10" s="172"/>
      <c r="AV10" s="173">
        <f>CdTrp1!B21</f>
        <v>0</v>
      </c>
      <c r="AW10" s="173">
        <f>CdTrp1!C21</f>
        <v>0</v>
      </c>
      <c r="AX10" s="173">
        <f>CdTrp1!D21</f>
        <v>0</v>
      </c>
      <c r="AY10" s="173">
        <f>CdTrp1!E21</f>
        <v>0</v>
      </c>
      <c r="AZ10" s="173">
        <f>CdTrp1!F21</f>
        <v>0</v>
      </c>
      <c r="BA10" s="173">
        <f>CdTrp1!G21</f>
        <v>0</v>
      </c>
      <c r="BB10" s="173">
        <f>CdTrp1!H21</f>
        <v>0</v>
      </c>
      <c r="BC10" s="173">
        <f>CdTrp1!I21</f>
        <v>0</v>
      </c>
      <c r="BD10" s="173">
        <f>CdTrp1!J21</f>
        <v>0</v>
      </c>
      <c r="BE10" s="173">
        <f>CdTrp1!K21</f>
        <v>0</v>
      </c>
      <c r="BF10" s="173">
        <f>CdTrp1!L21</f>
        <v>0</v>
      </c>
      <c r="BG10" s="173">
        <f>CdTrp1!M21</f>
        <v>0</v>
      </c>
      <c r="BH10" s="173">
        <f>CdTrp1!N21</f>
        <v>0</v>
      </c>
      <c r="BI10" s="173">
        <f>CdTrp1!O21</f>
        <v>0</v>
      </c>
      <c r="BJ10" s="173">
        <f>CdTrp1!P21</f>
        <v>0</v>
      </c>
      <c r="BK10" s="173">
        <f>CdTrp1!Q21</f>
        <v>0</v>
      </c>
      <c r="BL10" s="173">
        <f>CdTrp1!R21</f>
        <v>0</v>
      </c>
      <c r="BM10" s="173">
        <f>CdTrp1!S21</f>
        <v>0</v>
      </c>
      <c r="BN10" s="173">
        <f>CdTrp1!T21</f>
        <v>0</v>
      </c>
      <c r="BO10" s="173">
        <f>CdTrp1!U21</f>
        <v>0</v>
      </c>
      <c r="BP10" s="173">
        <f>CdTrp1!V21</f>
        <v>0</v>
      </c>
      <c r="BQ10" s="173">
        <f>CdTrp1!W21</f>
        <v>0</v>
      </c>
      <c r="BR10" s="173">
        <f>CdTrp1!X21</f>
        <v>0</v>
      </c>
      <c r="BS10" s="173">
        <f>CdTrp1!Y21</f>
        <v>0</v>
      </c>
      <c r="BZ10" s="189" t="str">
        <f>+CdTrp2!A21</f>
        <v>lot7</v>
      </c>
      <c r="CA10" s="172"/>
      <c r="CB10" s="270">
        <f>CdTrp2!B21</f>
        <v>0</v>
      </c>
      <c r="CC10" s="270">
        <f>CdTrp2!C21</f>
        <v>0</v>
      </c>
      <c r="CD10" s="270">
        <f>CdTrp2!D21</f>
        <v>0</v>
      </c>
      <c r="CE10" s="270">
        <f>CdTrp2!E21</f>
        <v>0</v>
      </c>
      <c r="CF10" s="270">
        <f>CdTrp2!F21</f>
        <v>0</v>
      </c>
      <c r="CG10" s="270">
        <f>CdTrp2!G21</f>
        <v>0</v>
      </c>
      <c r="CH10" s="270">
        <f>CdTrp2!H21</f>
        <v>0</v>
      </c>
      <c r="CI10" s="270">
        <f>CdTrp2!I21</f>
        <v>0</v>
      </c>
      <c r="CJ10" s="270">
        <f>CdTrp2!J21</f>
        <v>0</v>
      </c>
      <c r="CK10" s="270">
        <f>CdTrp2!K21</f>
        <v>0</v>
      </c>
      <c r="CL10" s="270">
        <f>CdTrp2!L21</f>
        <v>0</v>
      </c>
      <c r="CM10" s="270">
        <f>CdTrp2!M21</f>
        <v>0</v>
      </c>
      <c r="CN10" s="270">
        <f>CdTrp2!N21</f>
        <v>0</v>
      </c>
      <c r="CO10" s="270">
        <f>CdTrp2!O21</f>
        <v>0</v>
      </c>
      <c r="CP10" s="270">
        <f>CdTrp2!P21</f>
        <v>0</v>
      </c>
      <c r="CQ10" s="270">
        <f>CdTrp2!Q21</f>
        <v>0</v>
      </c>
      <c r="CR10" s="270">
        <f>CdTrp2!R21</f>
        <v>0</v>
      </c>
      <c r="CS10" s="270">
        <f>CdTrp2!S21</f>
        <v>0</v>
      </c>
      <c r="CT10" s="270">
        <f>CdTrp2!T21</f>
        <v>0</v>
      </c>
      <c r="CU10" s="270">
        <f>CdTrp2!U21</f>
        <v>0</v>
      </c>
      <c r="CV10" s="270">
        <f>CdTrp2!V21</f>
        <v>0</v>
      </c>
      <c r="CW10" s="270">
        <f>CdTrp2!W21</f>
        <v>0</v>
      </c>
      <c r="CX10" s="270">
        <f>CdTrp2!X21</f>
        <v>0</v>
      </c>
      <c r="CY10" s="270">
        <f>CdTrp2!Y21</f>
        <v>0</v>
      </c>
      <c r="DC10" s="189" t="str">
        <f>+CdTrp3!A21</f>
        <v>lot7</v>
      </c>
      <c r="DD10" s="172"/>
      <c r="DE10" s="173">
        <f>CdTrp3!B21</f>
        <v>0</v>
      </c>
      <c r="DF10" s="173">
        <f>CdTrp3!C21</f>
        <v>0</v>
      </c>
      <c r="DG10" s="173">
        <f>CdTrp3!D21</f>
        <v>0</v>
      </c>
      <c r="DH10" s="173">
        <f>CdTrp3!E21</f>
        <v>0</v>
      </c>
      <c r="DI10" s="173">
        <f>CdTrp3!F21</f>
        <v>0</v>
      </c>
      <c r="DJ10" s="173">
        <f>CdTrp3!G21</f>
        <v>0</v>
      </c>
      <c r="DK10" s="173">
        <f>CdTrp3!H21</f>
        <v>0</v>
      </c>
      <c r="DL10" s="173">
        <f>CdTrp3!I21</f>
        <v>0</v>
      </c>
      <c r="DM10" s="173">
        <f>CdTrp3!J21</f>
        <v>0</v>
      </c>
      <c r="DN10" s="173">
        <f>CdTrp3!K21</f>
        <v>0</v>
      </c>
      <c r="DO10" s="173">
        <f>CdTrp3!L21</f>
        <v>0</v>
      </c>
      <c r="DP10" s="173">
        <f>CdTrp3!M21</f>
        <v>0</v>
      </c>
      <c r="DQ10" s="173">
        <f>CdTrp3!N21</f>
        <v>0</v>
      </c>
      <c r="DR10" s="173">
        <f>CdTrp3!O21</f>
        <v>0</v>
      </c>
      <c r="DS10" s="173">
        <f>CdTrp3!P21</f>
        <v>0</v>
      </c>
      <c r="DT10" s="173">
        <f>CdTrp3!Q21</f>
        <v>0</v>
      </c>
      <c r="DU10" s="173">
        <f>CdTrp3!R21</f>
        <v>0</v>
      </c>
      <c r="DV10" s="173">
        <f>CdTrp3!S21</f>
        <v>0</v>
      </c>
      <c r="DW10" s="173">
        <f>CdTrp3!T21</f>
        <v>0</v>
      </c>
      <c r="DX10" s="173">
        <f>CdTrp3!U21</f>
        <v>0</v>
      </c>
      <c r="DY10" s="173">
        <f>CdTrp3!V21</f>
        <v>0</v>
      </c>
      <c r="DZ10" s="173">
        <f>CdTrp3!W21</f>
        <v>0</v>
      </c>
      <c r="EA10" s="173">
        <f>CdTrp3!X21</f>
        <v>0</v>
      </c>
      <c r="EB10" s="173">
        <f>CdTrp3!Y21</f>
        <v>0</v>
      </c>
    </row>
    <row r="11" spans="1:132" x14ac:dyDescent="0.25">
      <c r="A11" t="s">
        <v>738</v>
      </c>
      <c r="F11" s="173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8" t="s">
        <v>747</v>
      </c>
      <c r="AT11" s="189" t="str">
        <f t="shared" si="1"/>
        <v>lot8</v>
      </c>
      <c r="AU11" s="172"/>
      <c r="AV11" s="173">
        <f>CdTrp1!B22</f>
        <v>0</v>
      </c>
      <c r="AW11" s="173">
        <f>CdTrp1!C22</f>
        <v>0</v>
      </c>
      <c r="AX11" s="173">
        <f>CdTrp1!D22</f>
        <v>0</v>
      </c>
      <c r="AY11" s="173">
        <f>CdTrp1!E22</f>
        <v>0</v>
      </c>
      <c r="AZ11" s="173">
        <f>CdTrp1!F22</f>
        <v>0</v>
      </c>
      <c r="BA11" s="173">
        <f>CdTrp1!G22</f>
        <v>0</v>
      </c>
      <c r="BB11" s="173">
        <f>CdTrp1!H22</f>
        <v>0</v>
      </c>
      <c r="BC11" s="173">
        <f>CdTrp1!I22</f>
        <v>0</v>
      </c>
      <c r="BD11" s="173">
        <f>CdTrp1!J22</f>
        <v>0</v>
      </c>
      <c r="BE11" s="173">
        <f>CdTrp1!K22</f>
        <v>0</v>
      </c>
      <c r="BF11" s="173">
        <f>CdTrp1!L22</f>
        <v>0</v>
      </c>
      <c r="BG11" s="173">
        <f>CdTrp1!M22</f>
        <v>0</v>
      </c>
      <c r="BH11" s="173">
        <f>CdTrp1!N22</f>
        <v>0</v>
      </c>
      <c r="BI11" s="173">
        <f>CdTrp1!O22</f>
        <v>0</v>
      </c>
      <c r="BJ11" s="173">
        <f>CdTrp1!P22</f>
        <v>0</v>
      </c>
      <c r="BK11" s="173">
        <f>CdTrp1!Q22</f>
        <v>0</v>
      </c>
      <c r="BL11" s="173">
        <f>CdTrp1!R22</f>
        <v>0</v>
      </c>
      <c r="BM11" s="173">
        <f>CdTrp1!S22</f>
        <v>0</v>
      </c>
      <c r="BN11" s="173">
        <f>CdTrp1!T22</f>
        <v>0</v>
      </c>
      <c r="BO11" s="173">
        <f>CdTrp1!U22</f>
        <v>0</v>
      </c>
      <c r="BP11" s="173">
        <f>CdTrp1!V22</f>
        <v>0</v>
      </c>
      <c r="BQ11" s="173">
        <f>CdTrp1!W22</f>
        <v>0</v>
      </c>
      <c r="BR11" s="173">
        <f>CdTrp1!X22</f>
        <v>0</v>
      </c>
      <c r="BS11" s="173">
        <f>CdTrp1!Y22</f>
        <v>0</v>
      </c>
      <c r="BZ11" s="189" t="str">
        <f>+CdTrp2!A22</f>
        <v>lot8</v>
      </c>
      <c r="CA11" s="172"/>
      <c r="CB11" s="270">
        <f>CdTrp2!B22</f>
        <v>0</v>
      </c>
      <c r="CC11" s="270">
        <f>CdTrp2!C22</f>
        <v>0</v>
      </c>
      <c r="CD11" s="270">
        <f>CdTrp2!D22</f>
        <v>0</v>
      </c>
      <c r="CE11" s="270">
        <f>CdTrp2!E22</f>
        <v>0</v>
      </c>
      <c r="CF11" s="270">
        <f>CdTrp2!F22</f>
        <v>0</v>
      </c>
      <c r="CG11" s="270">
        <f>CdTrp2!G22</f>
        <v>0</v>
      </c>
      <c r="CH11" s="270">
        <f>CdTrp2!H22</f>
        <v>0</v>
      </c>
      <c r="CI11" s="270">
        <f>CdTrp2!I22</f>
        <v>0</v>
      </c>
      <c r="CJ11" s="270">
        <f>CdTrp2!J22</f>
        <v>0</v>
      </c>
      <c r="CK11" s="270">
        <f>CdTrp2!K22</f>
        <v>0</v>
      </c>
      <c r="CL11" s="270">
        <f>CdTrp2!L22</f>
        <v>0</v>
      </c>
      <c r="CM11" s="270">
        <f>CdTrp2!M22</f>
        <v>0</v>
      </c>
      <c r="CN11" s="270">
        <f>CdTrp2!N22</f>
        <v>0</v>
      </c>
      <c r="CO11" s="270">
        <f>CdTrp2!O22</f>
        <v>0</v>
      </c>
      <c r="CP11" s="270">
        <f>CdTrp2!P22</f>
        <v>0</v>
      </c>
      <c r="CQ11" s="270">
        <f>CdTrp2!Q22</f>
        <v>0</v>
      </c>
      <c r="CR11" s="270">
        <f>CdTrp2!R22</f>
        <v>0</v>
      </c>
      <c r="CS11" s="270">
        <f>CdTrp2!S22</f>
        <v>0</v>
      </c>
      <c r="CT11" s="270">
        <f>CdTrp2!T22</f>
        <v>0</v>
      </c>
      <c r="CU11" s="270">
        <f>CdTrp2!U22</f>
        <v>0</v>
      </c>
      <c r="CV11" s="270">
        <f>CdTrp2!V22</f>
        <v>0</v>
      </c>
      <c r="CW11" s="270">
        <f>CdTrp2!W22</f>
        <v>0</v>
      </c>
      <c r="CX11" s="270">
        <f>CdTrp2!X22</f>
        <v>0</v>
      </c>
      <c r="CY11" s="270">
        <f>CdTrp2!Y22</f>
        <v>0</v>
      </c>
      <c r="DC11" s="189" t="str">
        <f>+CdTrp3!A22</f>
        <v>lot8</v>
      </c>
      <c r="DD11" s="172"/>
      <c r="DE11" s="173">
        <f>CdTrp3!B22</f>
        <v>0</v>
      </c>
      <c r="DF11" s="173">
        <f>CdTrp3!C22</f>
        <v>0</v>
      </c>
      <c r="DG11" s="173">
        <f>CdTrp3!D22</f>
        <v>0</v>
      </c>
      <c r="DH11" s="173">
        <f>CdTrp3!E22</f>
        <v>0</v>
      </c>
      <c r="DI11" s="173">
        <f>CdTrp3!F22</f>
        <v>0</v>
      </c>
      <c r="DJ11" s="173">
        <f>CdTrp3!G22</f>
        <v>0</v>
      </c>
      <c r="DK11" s="173">
        <f>CdTrp3!H22</f>
        <v>0</v>
      </c>
      <c r="DL11" s="173">
        <f>CdTrp3!I22</f>
        <v>0</v>
      </c>
      <c r="DM11" s="173">
        <f>CdTrp3!J22</f>
        <v>0</v>
      </c>
      <c r="DN11" s="173">
        <f>CdTrp3!K22</f>
        <v>0</v>
      </c>
      <c r="DO11" s="173">
        <f>CdTrp3!L22</f>
        <v>0</v>
      </c>
      <c r="DP11" s="173">
        <f>CdTrp3!M22</f>
        <v>0</v>
      </c>
      <c r="DQ11" s="173">
        <f>CdTrp3!N22</f>
        <v>0</v>
      </c>
      <c r="DR11" s="173">
        <f>CdTrp3!O22</f>
        <v>0</v>
      </c>
      <c r="DS11" s="173">
        <f>CdTrp3!P22</f>
        <v>0</v>
      </c>
      <c r="DT11" s="173">
        <f>CdTrp3!Q22</f>
        <v>0</v>
      </c>
      <c r="DU11" s="173">
        <f>CdTrp3!R22</f>
        <v>0</v>
      </c>
      <c r="DV11" s="173">
        <f>CdTrp3!S22</f>
        <v>0</v>
      </c>
      <c r="DW11" s="173">
        <f>CdTrp3!T22</f>
        <v>0</v>
      </c>
      <c r="DX11" s="173">
        <f>CdTrp3!U22</f>
        <v>0</v>
      </c>
      <c r="DY11" s="173">
        <f>CdTrp3!V22</f>
        <v>0</v>
      </c>
      <c r="DZ11" s="173">
        <f>CdTrp3!W22</f>
        <v>0</v>
      </c>
      <c r="EA11" s="173">
        <f>CdTrp3!X22</f>
        <v>0</v>
      </c>
      <c r="EB11" s="173">
        <f>CdTrp3!Y22</f>
        <v>0</v>
      </c>
    </row>
    <row r="12" spans="1:132" x14ac:dyDescent="0.25">
      <c r="AR12" s="188" t="s">
        <v>747</v>
      </c>
      <c r="AT12" s="189" t="str">
        <f t="shared" si="1"/>
        <v>lot9</v>
      </c>
      <c r="AU12" s="172"/>
      <c r="AV12" s="173">
        <f>CdTrp1!B23</f>
        <v>0</v>
      </c>
      <c r="AW12" s="173">
        <f>CdTrp1!C23</f>
        <v>0</v>
      </c>
      <c r="AX12" s="173">
        <f>CdTrp1!D23</f>
        <v>0</v>
      </c>
      <c r="AY12" s="173">
        <f>CdTrp1!E23</f>
        <v>0</v>
      </c>
      <c r="AZ12" s="173">
        <f>CdTrp1!F23</f>
        <v>0</v>
      </c>
      <c r="BA12" s="173">
        <f>CdTrp1!G23</f>
        <v>0</v>
      </c>
      <c r="BB12" s="173">
        <f>CdTrp1!H23</f>
        <v>0</v>
      </c>
      <c r="BC12" s="173">
        <f>CdTrp1!I23</f>
        <v>0</v>
      </c>
      <c r="BD12" s="173">
        <f>CdTrp1!J23</f>
        <v>0</v>
      </c>
      <c r="BE12" s="173">
        <f>CdTrp1!K23</f>
        <v>0</v>
      </c>
      <c r="BF12" s="173">
        <f>CdTrp1!L23</f>
        <v>0</v>
      </c>
      <c r="BG12" s="173">
        <f>CdTrp1!M23</f>
        <v>0</v>
      </c>
      <c r="BH12" s="173">
        <f>CdTrp1!N23</f>
        <v>0</v>
      </c>
      <c r="BI12" s="173">
        <f>CdTrp1!O23</f>
        <v>0</v>
      </c>
      <c r="BJ12" s="173">
        <f>CdTrp1!P23</f>
        <v>0</v>
      </c>
      <c r="BK12" s="173">
        <f>CdTrp1!Q23</f>
        <v>0</v>
      </c>
      <c r="BL12" s="173">
        <f>CdTrp1!R23</f>
        <v>0</v>
      </c>
      <c r="BM12" s="173">
        <f>CdTrp1!S23</f>
        <v>0</v>
      </c>
      <c r="BN12" s="173">
        <f>CdTrp1!T23</f>
        <v>0</v>
      </c>
      <c r="BO12" s="173">
        <f>CdTrp1!U23</f>
        <v>0</v>
      </c>
      <c r="BP12" s="173">
        <f>CdTrp1!V23</f>
        <v>0</v>
      </c>
      <c r="BQ12" s="173">
        <f>CdTrp1!W23</f>
        <v>0</v>
      </c>
      <c r="BR12" s="173">
        <f>CdTrp1!X23</f>
        <v>0</v>
      </c>
      <c r="BS12" s="173">
        <f>CdTrp1!Y23</f>
        <v>0</v>
      </c>
      <c r="BZ12" s="189" t="str">
        <f>+CdTrp2!A23</f>
        <v>lot9</v>
      </c>
      <c r="CA12" s="172"/>
      <c r="CB12" s="173">
        <f>CdTrp2!B23</f>
        <v>0</v>
      </c>
      <c r="CC12" s="173">
        <f>CdTrp2!C23</f>
        <v>0</v>
      </c>
      <c r="CD12" s="173">
        <f>CdTrp2!D23</f>
        <v>0</v>
      </c>
      <c r="CE12" s="173">
        <f>CdTrp2!E23</f>
        <v>0</v>
      </c>
      <c r="CF12" s="173">
        <f>CdTrp2!F23</f>
        <v>0</v>
      </c>
      <c r="CG12" s="173">
        <f>CdTrp2!G23</f>
        <v>0</v>
      </c>
      <c r="CH12" s="173">
        <f>CdTrp2!H23</f>
        <v>0</v>
      </c>
      <c r="CI12" s="173">
        <f>CdTrp2!I23</f>
        <v>0</v>
      </c>
      <c r="CJ12" s="173">
        <f>CdTrp2!J23</f>
        <v>0</v>
      </c>
      <c r="CK12" s="173">
        <f>CdTrp2!K23</f>
        <v>0</v>
      </c>
      <c r="CL12" s="173">
        <f>CdTrp2!L23</f>
        <v>0</v>
      </c>
      <c r="CM12" s="173">
        <f>CdTrp2!M23</f>
        <v>0</v>
      </c>
      <c r="CN12" s="173">
        <f>CdTrp2!N23</f>
        <v>0</v>
      </c>
      <c r="CO12" s="173">
        <f>CdTrp2!O23</f>
        <v>0</v>
      </c>
      <c r="CP12" s="173">
        <f>CdTrp2!P23</f>
        <v>0</v>
      </c>
      <c r="CQ12" s="173">
        <f>CdTrp2!Q23</f>
        <v>0</v>
      </c>
      <c r="CR12" s="173">
        <f>CdTrp2!R23</f>
        <v>0</v>
      </c>
      <c r="CS12" s="173">
        <f>CdTrp2!S23</f>
        <v>0</v>
      </c>
      <c r="CT12" s="173">
        <f>CdTrp2!T23</f>
        <v>0</v>
      </c>
      <c r="CU12" s="173">
        <f>CdTrp2!U23</f>
        <v>0</v>
      </c>
      <c r="CV12" s="173">
        <f>CdTrp2!V23</f>
        <v>0</v>
      </c>
      <c r="CW12" s="173">
        <f>CdTrp2!W23</f>
        <v>0</v>
      </c>
      <c r="CX12" s="173">
        <f>CdTrp2!X23</f>
        <v>0</v>
      </c>
      <c r="CY12" s="173">
        <f>CdTrp2!Y23</f>
        <v>0</v>
      </c>
      <c r="DC12" s="189" t="str">
        <f>+CdTrp3!A23</f>
        <v>lot9</v>
      </c>
      <c r="DD12" s="172"/>
      <c r="DE12" s="173">
        <f>CdTrp3!B23</f>
        <v>0</v>
      </c>
      <c r="DF12" s="173">
        <f>CdTrp3!C23</f>
        <v>0</v>
      </c>
      <c r="DG12" s="173">
        <f>CdTrp3!D23</f>
        <v>0</v>
      </c>
      <c r="DH12" s="173">
        <f>CdTrp3!E23</f>
        <v>0</v>
      </c>
      <c r="DI12" s="173">
        <f>CdTrp3!F23</f>
        <v>0</v>
      </c>
      <c r="DJ12" s="173">
        <f>CdTrp3!G23</f>
        <v>0</v>
      </c>
      <c r="DK12" s="173">
        <f>CdTrp3!H23</f>
        <v>0</v>
      </c>
      <c r="DL12" s="173">
        <f>CdTrp3!I23</f>
        <v>0</v>
      </c>
      <c r="DM12" s="173">
        <f>CdTrp3!J23</f>
        <v>0</v>
      </c>
      <c r="DN12" s="173">
        <f>CdTrp3!K23</f>
        <v>0</v>
      </c>
      <c r="DO12" s="173">
        <f>CdTrp3!L23</f>
        <v>0</v>
      </c>
      <c r="DP12" s="173">
        <f>CdTrp3!M23</f>
        <v>0</v>
      </c>
      <c r="DQ12" s="173">
        <f>CdTrp3!N23</f>
        <v>0</v>
      </c>
      <c r="DR12" s="173">
        <f>CdTrp3!O23</f>
        <v>0</v>
      </c>
      <c r="DS12" s="173">
        <f>CdTrp3!P23</f>
        <v>0</v>
      </c>
      <c r="DT12" s="173">
        <f>CdTrp3!Q23</f>
        <v>0</v>
      </c>
      <c r="DU12" s="173">
        <f>CdTrp3!R23</f>
        <v>0</v>
      </c>
      <c r="DV12" s="173">
        <f>CdTrp3!S23</f>
        <v>0</v>
      </c>
      <c r="DW12" s="173">
        <f>CdTrp3!T23</f>
        <v>0</v>
      </c>
      <c r="DX12" s="173">
        <f>CdTrp3!U23</f>
        <v>0</v>
      </c>
      <c r="DY12" s="173">
        <f>CdTrp3!V23</f>
        <v>0</v>
      </c>
      <c r="DZ12" s="173">
        <f>CdTrp3!W23</f>
        <v>0</v>
      </c>
      <c r="EA12" s="173">
        <f>CdTrp3!X23</f>
        <v>0</v>
      </c>
      <c r="EB12" s="173">
        <f>CdTrp3!Y23</f>
        <v>0</v>
      </c>
    </row>
    <row r="13" spans="1:132" x14ac:dyDescent="0.25">
      <c r="A13" s="2" t="s">
        <v>752</v>
      </c>
      <c r="F13" s="173">
        <f t="shared" si="5"/>
        <v>2611.0413913043481</v>
      </c>
      <c r="G13" s="30">
        <f>SUM(G5:G11)</f>
        <v>137.0642608695652</v>
      </c>
      <c r="H13" s="30">
        <f t="shared" ref="H13:AD13" si="8">SUM(H5:H11)</f>
        <v>136.9717391304348</v>
      </c>
      <c r="I13" s="30">
        <f t="shared" si="8"/>
        <v>142.12921739130434</v>
      </c>
      <c r="J13" s="30">
        <f t="shared" si="8"/>
        <v>156.08295652173913</v>
      </c>
      <c r="K13" s="30">
        <f t="shared" si="8"/>
        <v>156.0366956521739</v>
      </c>
      <c r="L13" s="30">
        <f t="shared" si="8"/>
        <v>152.4904347826087</v>
      </c>
      <c r="M13" s="30">
        <f t="shared" si="8"/>
        <v>141.94417391304347</v>
      </c>
      <c r="N13" s="30">
        <f t="shared" si="8"/>
        <v>141.89791304347827</v>
      </c>
      <c r="O13" s="30">
        <f t="shared" si="8"/>
        <v>138.30539130434784</v>
      </c>
      <c r="P13" s="30">
        <f t="shared" si="8"/>
        <v>102.33391304347826</v>
      </c>
      <c r="Q13" s="30">
        <f t="shared" si="8"/>
        <v>72.583913043478262</v>
      </c>
      <c r="R13" s="30">
        <f t="shared" si="8"/>
        <v>49.655565217391306</v>
      </c>
      <c r="S13" s="30">
        <f t="shared" si="8"/>
        <v>49.655565217391306</v>
      </c>
      <c r="T13" s="30">
        <f t="shared" si="8"/>
        <v>47.905565217391306</v>
      </c>
      <c r="U13" s="30">
        <f t="shared" si="8"/>
        <v>47.905565217391306</v>
      </c>
      <c r="V13" s="30">
        <f t="shared" si="8"/>
        <v>47.905565217391306</v>
      </c>
      <c r="W13" s="30">
        <f t="shared" si="8"/>
        <v>49.655565217391306</v>
      </c>
      <c r="X13" s="30">
        <f t="shared" si="8"/>
        <v>49.655565217391306</v>
      </c>
      <c r="Y13" s="30">
        <f t="shared" si="8"/>
        <v>102.33391304347826</v>
      </c>
      <c r="Z13" s="30">
        <f t="shared" si="8"/>
        <v>128.16756521739131</v>
      </c>
      <c r="AA13" s="30">
        <f t="shared" si="8"/>
        <v>142.16756521739131</v>
      </c>
      <c r="AB13" s="30">
        <f t="shared" si="8"/>
        <v>144.0642608695652</v>
      </c>
      <c r="AC13" s="30">
        <f t="shared" si="8"/>
        <v>137.0642608695652</v>
      </c>
      <c r="AD13" s="30">
        <f t="shared" si="8"/>
        <v>137.0642608695652</v>
      </c>
      <c r="AR13" s="188" t="s">
        <v>747</v>
      </c>
      <c r="AT13" s="189" t="str">
        <f t="shared" si="1"/>
        <v>lot10</v>
      </c>
      <c r="AU13" s="172"/>
      <c r="AV13" s="173">
        <f>CdTrp1!B24</f>
        <v>0</v>
      </c>
      <c r="AW13" s="173">
        <f>CdTrp1!C24</f>
        <v>0</v>
      </c>
      <c r="AX13" s="173">
        <f>CdTrp1!D24</f>
        <v>0</v>
      </c>
      <c r="AY13" s="173">
        <f>CdTrp1!E24</f>
        <v>0</v>
      </c>
      <c r="AZ13" s="173">
        <f>CdTrp1!F24</f>
        <v>0</v>
      </c>
      <c r="BA13" s="173">
        <f>CdTrp1!G24</f>
        <v>0</v>
      </c>
      <c r="BB13" s="173">
        <f>CdTrp1!H24</f>
        <v>0</v>
      </c>
      <c r="BC13" s="173">
        <f>CdTrp1!I24</f>
        <v>0</v>
      </c>
      <c r="BD13" s="173">
        <f>CdTrp1!J24</f>
        <v>0</v>
      </c>
      <c r="BE13" s="173">
        <f>CdTrp1!K24</f>
        <v>0</v>
      </c>
      <c r="BF13" s="173">
        <f>CdTrp1!L24</f>
        <v>0</v>
      </c>
      <c r="BG13" s="173">
        <f>CdTrp1!M24</f>
        <v>0</v>
      </c>
      <c r="BH13" s="173">
        <f>CdTrp1!N24</f>
        <v>0</v>
      </c>
      <c r="BI13" s="173">
        <f>CdTrp1!O24</f>
        <v>0</v>
      </c>
      <c r="BJ13" s="173">
        <f>CdTrp1!P24</f>
        <v>0</v>
      </c>
      <c r="BK13" s="173">
        <f>CdTrp1!Q24</f>
        <v>0</v>
      </c>
      <c r="BL13" s="173">
        <f>CdTrp1!R24</f>
        <v>0</v>
      </c>
      <c r="BM13" s="173">
        <f>CdTrp1!S24</f>
        <v>0</v>
      </c>
      <c r="BN13" s="173">
        <f>CdTrp1!T24</f>
        <v>0</v>
      </c>
      <c r="BO13" s="173">
        <f>CdTrp1!U24</f>
        <v>0</v>
      </c>
      <c r="BP13" s="173">
        <f>CdTrp1!V24</f>
        <v>0</v>
      </c>
      <c r="BQ13" s="173">
        <f>CdTrp1!W24</f>
        <v>0</v>
      </c>
      <c r="BR13" s="173">
        <f>CdTrp1!X24</f>
        <v>0</v>
      </c>
      <c r="BS13" s="173">
        <f>CdTrp1!Y24</f>
        <v>0</v>
      </c>
      <c r="BZ13" s="189" t="str">
        <f>+CdTrp2!A24</f>
        <v>lot10</v>
      </c>
      <c r="CA13" s="172"/>
      <c r="CB13" s="173">
        <f>CdTrp2!B24</f>
        <v>0</v>
      </c>
      <c r="CC13" s="173">
        <f>CdTrp2!C24</f>
        <v>0</v>
      </c>
      <c r="CD13" s="173">
        <f>CdTrp2!D24</f>
        <v>0</v>
      </c>
      <c r="CE13" s="173">
        <f>CdTrp2!E24</f>
        <v>0</v>
      </c>
      <c r="CF13" s="173">
        <f>CdTrp2!F24</f>
        <v>0</v>
      </c>
      <c r="CG13" s="173">
        <f>CdTrp2!G24</f>
        <v>0</v>
      </c>
      <c r="CH13" s="173">
        <f>CdTrp2!H24</f>
        <v>0</v>
      </c>
      <c r="CI13" s="173">
        <f>CdTrp2!I24</f>
        <v>0</v>
      </c>
      <c r="CJ13" s="173">
        <f>CdTrp2!J24</f>
        <v>0</v>
      </c>
      <c r="CK13" s="173">
        <f>CdTrp2!K24</f>
        <v>0</v>
      </c>
      <c r="CL13" s="173">
        <f>CdTrp2!L24</f>
        <v>0</v>
      </c>
      <c r="CM13" s="173">
        <f>CdTrp2!M24</f>
        <v>0</v>
      </c>
      <c r="CN13" s="173">
        <f>CdTrp2!N24</f>
        <v>0</v>
      </c>
      <c r="CO13" s="173">
        <f>CdTrp2!O24</f>
        <v>0</v>
      </c>
      <c r="CP13" s="173">
        <f>CdTrp2!P24</f>
        <v>0</v>
      </c>
      <c r="CQ13" s="173">
        <f>CdTrp2!Q24</f>
        <v>0</v>
      </c>
      <c r="CR13" s="173">
        <f>CdTrp2!R24</f>
        <v>0</v>
      </c>
      <c r="CS13" s="173">
        <f>CdTrp2!S24</f>
        <v>0</v>
      </c>
      <c r="CT13" s="173">
        <f>CdTrp2!T24</f>
        <v>0</v>
      </c>
      <c r="CU13" s="173">
        <f>CdTrp2!U24</f>
        <v>0</v>
      </c>
      <c r="CV13" s="173">
        <f>CdTrp2!V24</f>
        <v>0</v>
      </c>
      <c r="CW13" s="173">
        <f>CdTrp2!W24</f>
        <v>0</v>
      </c>
      <c r="CX13" s="173">
        <f>CdTrp2!X24</f>
        <v>0</v>
      </c>
      <c r="CY13" s="173">
        <f>CdTrp2!Y24</f>
        <v>0</v>
      </c>
      <c r="DC13" s="189" t="str">
        <f>+CdTrp3!A24</f>
        <v>lot10</v>
      </c>
      <c r="DD13" s="172"/>
      <c r="DE13" s="173">
        <f>CdTrp3!B24</f>
        <v>0</v>
      </c>
      <c r="DF13" s="173">
        <f>CdTrp3!C24</f>
        <v>0</v>
      </c>
      <c r="DG13" s="173">
        <f>CdTrp3!D24</f>
        <v>0</v>
      </c>
      <c r="DH13" s="173">
        <f>CdTrp3!E24</f>
        <v>0</v>
      </c>
      <c r="DI13" s="173">
        <f>CdTrp3!F24</f>
        <v>0</v>
      </c>
      <c r="DJ13" s="173">
        <f>CdTrp3!G24</f>
        <v>0</v>
      </c>
      <c r="DK13" s="173">
        <f>CdTrp3!H24</f>
        <v>0</v>
      </c>
      <c r="DL13" s="173">
        <f>CdTrp3!I24</f>
        <v>0</v>
      </c>
      <c r="DM13" s="173">
        <f>CdTrp3!J24</f>
        <v>0</v>
      </c>
      <c r="DN13" s="173">
        <f>CdTrp3!K24</f>
        <v>0</v>
      </c>
      <c r="DO13" s="173">
        <f>CdTrp3!L24</f>
        <v>0</v>
      </c>
      <c r="DP13" s="173">
        <f>CdTrp3!M24</f>
        <v>0</v>
      </c>
      <c r="DQ13" s="173">
        <f>CdTrp3!N24</f>
        <v>0</v>
      </c>
      <c r="DR13" s="173">
        <f>CdTrp3!O24</f>
        <v>0</v>
      </c>
      <c r="DS13" s="173">
        <f>CdTrp3!P24</f>
        <v>0</v>
      </c>
      <c r="DT13" s="173">
        <f>CdTrp3!Q24</f>
        <v>0</v>
      </c>
      <c r="DU13" s="173">
        <f>CdTrp3!R24</f>
        <v>0</v>
      </c>
      <c r="DV13" s="173">
        <f>CdTrp3!S24</f>
        <v>0</v>
      </c>
      <c r="DW13" s="173">
        <f>CdTrp3!T24</f>
        <v>0</v>
      </c>
      <c r="DX13" s="173">
        <f>CdTrp3!U24</f>
        <v>0</v>
      </c>
      <c r="DY13" s="173">
        <f>CdTrp3!V24</f>
        <v>0</v>
      </c>
      <c r="DZ13" s="173">
        <f>CdTrp3!W24</f>
        <v>0</v>
      </c>
      <c r="EA13" s="173">
        <f>CdTrp3!X24</f>
        <v>0</v>
      </c>
      <c r="EB13" s="173">
        <f>CdTrp3!Y24</f>
        <v>0</v>
      </c>
    </row>
    <row r="14" spans="1:132" x14ac:dyDescent="0.25">
      <c r="AR14" s="188" t="s">
        <v>747</v>
      </c>
      <c r="AT14" s="2" t="s">
        <v>753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753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753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754</v>
      </c>
      <c r="B15" s="171" t="s">
        <v>755</v>
      </c>
      <c r="C15" s="171" t="s">
        <v>756</v>
      </c>
      <c r="D15" s="172" t="s">
        <v>757</v>
      </c>
      <c r="E15" s="172" t="s">
        <v>758</v>
      </c>
      <c r="F15" s="171" t="s">
        <v>759</v>
      </c>
      <c r="H15" s="15"/>
      <c r="AR15" s="188"/>
      <c r="AT15" s="189" t="str">
        <f>AT26</f>
        <v>brebis</v>
      </c>
      <c r="AV15" s="173">
        <f t="shared" ref="AV15:BS24" si="9">IF(AV4&gt;0,1,0)</f>
        <v>1</v>
      </c>
      <c r="AW15" s="173">
        <f t="shared" si="9"/>
        <v>1</v>
      </c>
      <c r="AX15" s="173">
        <f t="shared" si="9"/>
        <v>1</v>
      </c>
      <c r="AY15" s="173">
        <f t="shared" si="9"/>
        <v>1</v>
      </c>
      <c r="AZ15" s="173">
        <f t="shared" si="9"/>
        <v>1</v>
      </c>
      <c r="BA15" s="173">
        <f t="shared" si="9"/>
        <v>1</v>
      </c>
      <c r="BB15" s="173">
        <f t="shared" si="9"/>
        <v>1</v>
      </c>
      <c r="BC15" s="173">
        <f t="shared" si="9"/>
        <v>1</v>
      </c>
      <c r="BD15" s="173">
        <f t="shared" si="9"/>
        <v>1</v>
      </c>
      <c r="BE15" s="173">
        <f t="shared" si="9"/>
        <v>1</v>
      </c>
      <c r="BF15" s="173">
        <f t="shared" si="9"/>
        <v>1</v>
      </c>
      <c r="BG15" s="173">
        <f t="shared" si="9"/>
        <v>1</v>
      </c>
      <c r="BH15" s="173">
        <f t="shared" si="9"/>
        <v>1</v>
      </c>
      <c r="BI15" s="173">
        <f t="shared" si="9"/>
        <v>1</v>
      </c>
      <c r="BJ15" s="173">
        <f t="shared" si="9"/>
        <v>1</v>
      </c>
      <c r="BK15" s="173">
        <f t="shared" si="9"/>
        <v>1</v>
      </c>
      <c r="BL15" s="173">
        <f t="shared" si="9"/>
        <v>1</v>
      </c>
      <c r="BM15" s="173">
        <f t="shared" si="9"/>
        <v>1</v>
      </c>
      <c r="BN15" s="173">
        <f t="shared" si="9"/>
        <v>1</v>
      </c>
      <c r="BO15" s="173">
        <f t="shared" si="9"/>
        <v>1</v>
      </c>
      <c r="BP15" s="173">
        <f t="shared" si="9"/>
        <v>1</v>
      </c>
      <c r="BQ15" s="173">
        <f t="shared" si="9"/>
        <v>1</v>
      </c>
      <c r="BR15" s="173">
        <f t="shared" si="9"/>
        <v>1</v>
      </c>
      <c r="BS15" s="173">
        <f t="shared" si="9"/>
        <v>1</v>
      </c>
      <c r="BZ15" s="189" t="str">
        <f t="shared" ref="BZ15:BZ24" si="10">+BZ4</f>
        <v xml:space="preserve">vaches </v>
      </c>
      <c r="CB15" s="173">
        <f t="shared" ref="CB15:CY24" si="11">IF(CB4&gt;0,1,0)</f>
        <v>1</v>
      </c>
      <c r="CC15" s="173">
        <f t="shared" si="11"/>
        <v>1</v>
      </c>
      <c r="CD15" s="173">
        <f t="shared" si="11"/>
        <v>1</v>
      </c>
      <c r="CE15" s="173">
        <f t="shared" si="11"/>
        <v>1</v>
      </c>
      <c r="CF15" s="173">
        <f t="shared" si="11"/>
        <v>1</v>
      </c>
      <c r="CG15" s="173">
        <f t="shared" si="11"/>
        <v>1</v>
      </c>
      <c r="CH15" s="173">
        <f t="shared" si="11"/>
        <v>1</v>
      </c>
      <c r="CI15" s="173">
        <f t="shared" si="11"/>
        <v>1</v>
      </c>
      <c r="CJ15" s="173">
        <f t="shared" si="11"/>
        <v>1</v>
      </c>
      <c r="CK15" s="173">
        <f t="shared" si="11"/>
        <v>1</v>
      </c>
      <c r="CL15" s="173">
        <f t="shared" si="11"/>
        <v>1</v>
      </c>
      <c r="CM15" s="173">
        <f t="shared" si="11"/>
        <v>1</v>
      </c>
      <c r="CN15" s="173">
        <f t="shared" si="11"/>
        <v>1</v>
      </c>
      <c r="CO15" s="173">
        <f t="shared" si="11"/>
        <v>1</v>
      </c>
      <c r="CP15" s="173">
        <f t="shared" si="11"/>
        <v>1</v>
      </c>
      <c r="CQ15" s="173">
        <f t="shared" si="11"/>
        <v>1</v>
      </c>
      <c r="CR15" s="173">
        <f t="shared" si="11"/>
        <v>1</v>
      </c>
      <c r="CS15" s="173">
        <f t="shared" si="11"/>
        <v>1</v>
      </c>
      <c r="CT15" s="173">
        <f t="shared" si="11"/>
        <v>1</v>
      </c>
      <c r="CU15" s="173">
        <f t="shared" si="11"/>
        <v>1</v>
      </c>
      <c r="CV15" s="173">
        <f t="shared" si="11"/>
        <v>1</v>
      </c>
      <c r="CW15" s="173">
        <f t="shared" si="11"/>
        <v>1</v>
      </c>
      <c r="CX15" s="173">
        <f t="shared" si="11"/>
        <v>1</v>
      </c>
      <c r="CY15" s="173">
        <f t="shared" si="11"/>
        <v>1</v>
      </c>
      <c r="DC15" s="189" t="str">
        <f t="shared" ref="DC15:DC24" si="12">+DC4</f>
        <v>lot1</v>
      </c>
      <c r="DE15" s="173">
        <f t="shared" ref="DE15:EB24" si="13">IF(DE4&gt;0,1,0)</f>
        <v>0</v>
      </c>
      <c r="DF15" s="173">
        <f t="shared" si="13"/>
        <v>0</v>
      </c>
      <c r="DG15" s="173">
        <f t="shared" si="13"/>
        <v>0</v>
      </c>
      <c r="DH15" s="173">
        <f t="shared" si="13"/>
        <v>0</v>
      </c>
      <c r="DI15" s="173">
        <f t="shared" si="13"/>
        <v>0</v>
      </c>
      <c r="DJ15" s="173">
        <f t="shared" si="13"/>
        <v>0</v>
      </c>
      <c r="DK15" s="173">
        <f t="shared" si="13"/>
        <v>0</v>
      </c>
      <c r="DL15" s="173">
        <f t="shared" si="13"/>
        <v>0</v>
      </c>
      <c r="DM15" s="173">
        <f t="shared" si="13"/>
        <v>0</v>
      </c>
      <c r="DN15" s="173">
        <f t="shared" si="13"/>
        <v>0</v>
      </c>
      <c r="DO15" s="173">
        <f t="shared" si="13"/>
        <v>0</v>
      </c>
      <c r="DP15" s="173">
        <f t="shared" si="13"/>
        <v>0</v>
      </c>
      <c r="DQ15" s="173">
        <f t="shared" si="13"/>
        <v>0</v>
      </c>
      <c r="DR15" s="173">
        <f t="shared" si="13"/>
        <v>0</v>
      </c>
      <c r="DS15" s="173">
        <f t="shared" si="13"/>
        <v>0</v>
      </c>
      <c r="DT15" s="173">
        <f t="shared" si="13"/>
        <v>0</v>
      </c>
      <c r="DU15" s="173">
        <f t="shared" si="13"/>
        <v>0</v>
      </c>
      <c r="DV15" s="173">
        <f t="shared" si="13"/>
        <v>0</v>
      </c>
      <c r="DW15" s="173">
        <f t="shared" si="13"/>
        <v>0</v>
      </c>
      <c r="DX15" s="173">
        <f t="shared" si="13"/>
        <v>0</v>
      </c>
      <c r="DY15" s="173">
        <f t="shared" si="13"/>
        <v>0</v>
      </c>
      <c r="DZ15" s="173">
        <f t="shared" si="13"/>
        <v>0</v>
      </c>
      <c r="EA15" s="173">
        <f t="shared" si="13"/>
        <v>0</v>
      </c>
      <c r="EB15" s="173">
        <f t="shared" si="13"/>
        <v>0</v>
      </c>
    </row>
    <row r="16" spans="1:132" x14ac:dyDescent="0.25">
      <c r="A16" t="s">
        <v>568</v>
      </c>
      <c r="B16" s="190">
        <f>Scénario!K56</f>
        <v>5</v>
      </c>
      <c r="C16" s="190">
        <f>VALUE(LEFT(Scénario!K57,1))</f>
        <v>4</v>
      </c>
      <c r="D16" s="190">
        <f>IF(B16&gt;0,VLOOKUP(C16,[1]Trav!$A$86:$D$90,4),0)</f>
        <v>112</v>
      </c>
      <c r="E16" s="190">
        <f>Scénario!K54*2</f>
        <v>7</v>
      </c>
      <c r="F16" s="173">
        <f>IF(B16&gt;0,D16*E16/B16,0)</f>
        <v>156.80000000000001</v>
      </c>
      <c r="H16" t="s">
        <v>760</v>
      </c>
      <c r="AR16" s="188"/>
      <c r="AT16" s="189" t="str">
        <f t="shared" ref="AT16:AT24" si="14">AT27</f>
        <v>vides</v>
      </c>
      <c r="AV16" s="173">
        <f t="shared" si="9"/>
        <v>1</v>
      </c>
      <c r="AW16" s="173">
        <f t="shared" si="9"/>
        <v>1</v>
      </c>
      <c r="AX16" s="173">
        <f t="shared" si="9"/>
        <v>1</v>
      </c>
      <c r="AY16" s="173">
        <f t="shared" si="9"/>
        <v>1</v>
      </c>
      <c r="AZ16" s="173">
        <f t="shared" si="9"/>
        <v>1</v>
      </c>
      <c r="BA16" s="173">
        <f t="shared" si="9"/>
        <v>1</v>
      </c>
      <c r="BB16" s="173">
        <f t="shared" si="9"/>
        <v>1</v>
      </c>
      <c r="BC16" s="173">
        <f t="shared" si="9"/>
        <v>1</v>
      </c>
      <c r="BD16" s="173">
        <f t="shared" si="9"/>
        <v>1</v>
      </c>
      <c r="BE16" s="173">
        <f t="shared" si="9"/>
        <v>0</v>
      </c>
      <c r="BF16" s="173">
        <f t="shared" si="9"/>
        <v>0</v>
      </c>
      <c r="BG16" s="173">
        <f t="shared" si="9"/>
        <v>0</v>
      </c>
      <c r="BH16" s="173">
        <f t="shared" si="9"/>
        <v>0</v>
      </c>
      <c r="BI16" s="173">
        <f t="shared" si="9"/>
        <v>0</v>
      </c>
      <c r="BJ16" s="173">
        <f t="shared" si="9"/>
        <v>0</v>
      </c>
      <c r="BK16" s="173">
        <f t="shared" si="9"/>
        <v>0</v>
      </c>
      <c r="BL16" s="173">
        <f t="shared" si="9"/>
        <v>0</v>
      </c>
      <c r="BM16" s="173">
        <f t="shared" si="9"/>
        <v>0</v>
      </c>
      <c r="BN16" s="173">
        <f t="shared" si="9"/>
        <v>0</v>
      </c>
      <c r="BO16" s="173">
        <f t="shared" si="9"/>
        <v>1</v>
      </c>
      <c r="BP16" s="173">
        <f t="shared" si="9"/>
        <v>1</v>
      </c>
      <c r="BQ16" s="173">
        <f t="shared" si="9"/>
        <v>1</v>
      </c>
      <c r="BR16" s="173">
        <f t="shared" si="9"/>
        <v>1</v>
      </c>
      <c r="BS16" s="173">
        <f t="shared" si="9"/>
        <v>1</v>
      </c>
      <c r="BZ16" s="189" t="str">
        <f t="shared" si="10"/>
        <v>genisses -1an</v>
      </c>
      <c r="CB16" s="173">
        <f t="shared" si="11"/>
        <v>0</v>
      </c>
      <c r="CC16" s="173">
        <f t="shared" si="11"/>
        <v>0</v>
      </c>
      <c r="CD16" s="173">
        <f t="shared" si="11"/>
        <v>0</v>
      </c>
      <c r="CE16" s="173">
        <f t="shared" si="11"/>
        <v>0</v>
      </c>
      <c r="CF16" s="173">
        <f t="shared" si="11"/>
        <v>0</v>
      </c>
      <c r="CG16" s="173">
        <f t="shared" si="11"/>
        <v>1</v>
      </c>
      <c r="CH16" s="173">
        <f t="shared" si="11"/>
        <v>1</v>
      </c>
      <c r="CI16" s="173">
        <f t="shared" si="11"/>
        <v>1</v>
      </c>
      <c r="CJ16" s="173">
        <f t="shared" si="11"/>
        <v>1</v>
      </c>
      <c r="CK16" s="173">
        <f t="shared" si="11"/>
        <v>1</v>
      </c>
      <c r="CL16" s="173">
        <f t="shared" si="11"/>
        <v>1</v>
      </c>
      <c r="CM16" s="173">
        <f t="shared" si="11"/>
        <v>1</v>
      </c>
      <c r="CN16" s="173">
        <f t="shared" si="11"/>
        <v>1</v>
      </c>
      <c r="CO16" s="173">
        <f t="shared" si="11"/>
        <v>1</v>
      </c>
      <c r="CP16" s="173">
        <f t="shared" si="11"/>
        <v>1</v>
      </c>
      <c r="CQ16" s="173">
        <f t="shared" si="11"/>
        <v>1</v>
      </c>
      <c r="CR16" s="173">
        <f t="shared" si="11"/>
        <v>1</v>
      </c>
      <c r="CS16" s="173">
        <f t="shared" si="11"/>
        <v>1</v>
      </c>
      <c r="CT16" s="173">
        <f t="shared" si="11"/>
        <v>1</v>
      </c>
      <c r="CU16" s="173">
        <f t="shared" si="11"/>
        <v>1</v>
      </c>
      <c r="CV16" s="173">
        <f t="shared" si="11"/>
        <v>1</v>
      </c>
      <c r="CW16" s="173">
        <f t="shared" si="11"/>
        <v>1</v>
      </c>
      <c r="CX16" s="173">
        <f t="shared" si="11"/>
        <v>0</v>
      </c>
      <c r="CY16" s="173">
        <f t="shared" si="11"/>
        <v>0</v>
      </c>
      <c r="DC16" s="189" t="str">
        <f t="shared" si="12"/>
        <v>lot2</v>
      </c>
      <c r="DE16" s="173">
        <f t="shared" si="13"/>
        <v>0</v>
      </c>
      <c r="DF16" s="173">
        <f t="shared" si="13"/>
        <v>0</v>
      </c>
      <c r="DG16" s="173">
        <f t="shared" si="13"/>
        <v>0</v>
      </c>
      <c r="DH16" s="173">
        <f t="shared" si="13"/>
        <v>0</v>
      </c>
      <c r="DI16" s="173">
        <f t="shared" si="13"/>
        <v>0</v>
      </c>
      <c r="DJ16" s="173">
        <f t="shared" si="13"/>
        <v>0</v>
      </c>
      <c r="DK16" s="173">
        <f t="shared" si="13"/>
        <v>0</v>
      </c>
      <c r="DL16" s="173">
        <f t="shared" si="13"/>
        <v>0</v>
      </c>
      <c r="DM16" s="173">
        <f t="shared" si="13"/>
        <v>0</v>
      </c>
      <c r="DN16" s="173">
        <f t="shared" si="13"/>
        <v>0</v>
      </c>
      <c r="DO16" s="173">
        <f t="shared" si="13"/>
        <v>0</v>
      </c>
      <c r="DP16" s="173">
        <f t="shared" si="13"/>
        <v>0</v>
      </c>
      <c r="DQ16" s="173">
        <f t="shared" si="13"/>
        <v>0</v>
      </c>
      <c r="DR16" s="173">
        <f t="shared" si="13"/>
        <v>0</v>
      </c>
      <c r="DS16" s="173">
        <f t="shared" si="13"/>
        <v>0</v>
      </c>
      <c r="DT16" s="173">
        <f t="shared" si="13"/>
        <v>0</v>
      </c>
      <c r="DU16" s="173">
        <f t="shared" si="13"/>
        <v>0</v>
      </c>
      <c r="DV16" s="173">
        <f t="shared" si="13"/>
        <v>0</v>
      </c>
      <c r="DW16" s="173">
        <f t="shared" si="13"/>
        <v>0</v>
      </c>
      <c r="DX16" s="173">
        <f t="shared" si="13"/>
        <v>0</v>
      </c>
      <c r="DY16" s="173">
        <f t="shared" si="13"/>
        <v>0</v>
      </c>
      <c r="DZ16" s="173">
        <f t="shared" si="13"/>
        <v>0</v>
      </c>
      <c r="EA16" s="173">
        <f t="shared" si="13"/>
        <v>0</v>
      </c>
      <c r="EB16" s="173">
        <f t="shared" si="13"/>
        <v>0</v>
      </c>
    </row>
    <row r="17" spans="1:151" x14ac:dyDescent="0.25">
      <c r="A17" t="s">
        <v>601</v>
      </c>
      <c r="B17" s="190">
        <f>Scénario!K63</f>
        <v>0</v>
      </c>
      <c r="C17" s="190">
        <f>VALUE(LEFT(Scénario!K64,1))</f>
        <v>1</v>
      </c>
      <c r="D17" s="190">
        <f>IF(B17&gt;0,VLOOKUP(C17,[1]Trav!$A$86:$D$90,4),0)</f>
        <v>0</v>
      </c>
      <c r="E17" s="190">
        <f>Scénario!K61*2</f>
        <v>0</v>
      </c>
      <c r="F17" s="173">
        <f t="shared" ref="F17:F18" si="15">IF(B17&gt;0,D17*E17/B17,0)</f>
        <v>0</v>
      </c>
      <c r="AR17" s="188"/>
      <c r="AT17" s="189" t="str">
        <f t="shared" si="14"/>
        <v>agnelles</v>
      </c>
      <c r="AV17" s="173">
        <f t="shared" si="9"/>
        <v>1</v>
      </c>
      <c r="AW17" s="173">
        <f t="shared" si="9"/>
        <v>1</v>
      </c>
      <c r="AX17" s="173">
        <f t="shared" si="9"/>
        <v>1</v>
      </c>
      <c r="AY17" s="173">
        <f t="shared" si="9"/>
        <v>1</v>
      </c>
      <c r="AZ17" s="173">
        <f t="shared" si="9"/>
        <v>1</v>
      </c>
      <c r="BA17" s="173">
        <f t="shared" si="9"/>
        <v>1</v>
      </c>
      <c r="BB17" s="173">
        <f t="shared" si="9"/>
        <v>1</v>
      </c>
      <c r="BC17" s="173">
        <f t="shared" si="9"/>
        <v>1</v>
      </c>
      <c r="BD17" s="173">
        <f t="shared" si="9"/>
        <v>1</v>
      </c>
      <c r="BE17" s="173">
        <f t="shared" si="9"/>
        <v>1</v>
      </c>
      <c r="BF17" s="173">
        <f t="shared" si="9"/>
        <v>1</v>
      </c>
      <c r="BG17" s="173">
        <f t="shared" si="9"/>
        <v>1</v>
      </c>
      <c r="BH17" s="173">
        <f t="shared" si="9"/>
        <v>1</v>
      </c>
      <c r="BI17" s="173">
        <f t="shared" si="9"/>
        <v>1</v>
      </c>
      <c r="BJ17" s="173">
        <f t="shared" si="9"/>
        <v>1</v>
      </c>
      <c r="BK17" s="173">
        <f t="shared" si="9"/>
        <v>1</v>
      </c>
      <c r="BL17" s="173">
        <f t="shared" si="9"/>
        <v>1</v>
      </c>
      <c r="BM17" s="173">
        <f t="shared" si="9"/>
        <v>1</v>
      </c>
      <c r="BN17" s="173">
        <f t="shared" si="9"/>
        <v>1</v>
      </c>
      <c r="BO17" s="173">
        <f t="shared" si="9"/>
        <v>0</v>
      </c>
      <c r="BP17" s="173">
        <f t="shared" si="9"/>
        <v>0</v>
      </c>
      <c r="BQ17" s="173">
        <f t="shared" si="9"/>
        <v>1</v>
      </c>
      <c r="BR17" s="173">
        <f t="shared" si="9"/>
        <v>1</v>
      </c>
      <c r="BS17" s="173">
        <f t="shared" si="9"/>
        <v>1</v>
      </c>
      <c r="BZ17" s="189" t="str">
        <f t="shared" si="10"/>
        <v>genisses +1an</v>
      </c>
      <c r="CB17" s="173">
        <f t="shared" si="11"/>
        <v>1</v>
      </c>
      <c r="CC17" s="173">
        <f t="shared" si="11"/>
        <v>1</v>
      </c>
      <c r="CD17" s="173">
        <f t="shared" si="11"/>
        <v>1</v>
      </c>
      <c r="CE17" s="173">
        <f t="shared" si="11"/>
        <v>1</v>
      </c>
      <c r="CF17" s="173">
        <f t="shared" si="11"/>
        <v>1</v>
      </c>
      <c r="CG17" s="173">
        <f t="shared" si="11"/>
        <v>1</v>
      </c>
      <c r="CH17" s="173">
        <f t="shared" si="11"/>
        <v>1</v>
      </c>
      <c r="CI17" s="173">
        <f t="shared" si="11"/>
        <v>1</v>
      </c>
      <c r="CJ17" s="173">
        <f t="shared" si="11"/>
        <v>1</v>
      </c>
      <c r="CK17" s="173">
        <f t="shared" si="11"/>
        <v>1</v>
      </c>
      <c r="CL17" s="173">
        <f t="shared" si="11"/>
        <v>1</v>
      </c>
      <c r="CM17" s="173">
        <f t="shared" si="11"/>
        <v>1</v>
      </c>
      <c r="CN17" s="173">
        <f t="shared" si="11"/>
        <v>1</v>
      </c>
      <c r="CO17" s="173">
        <f t="shared" si="11"/>
        <v>1</v>
      </c>
      <c r="CP17" s="173">
        <f t="shared" si="11"/>
        <v>1</v>
      </c>
      <c r="CQ17" s="173">
        <f t="shared" si="11"/>
        <v>1</v>
      </c>
      <c r="CR17" s="173">
        <f t="shared" si="11"/>
        <v>1</v>
      </c>
      <c r="CS17" s="173">
        <f t="shared" si="11"/>
        <v>1</v>
      </c>
      <c r="CT17" s="173">
        <f t="shared" si="11"/>
        <v>1</v>
      </c>
      <c r="CU17" s="173">
        <f t="shared" si="11"/>
        <v>1</v>
      </c>
      <c r="CV17" s="173">
        <f t="shared" si="11"/>
        <v>1</v>
      </c>
      <c r="CW17" s="173">
        <f t="shared" si="11"/>
        <v>1</v>
      </c>
      <c r="CX17" s="173">
        <f t="shared" si="11"/>
        <v>1</v>
      </c>
      <c r="CY17" s="173">
        <f t="shared" si="11"/>
        <v>1</v>
      </c>
      <c r="DC17" s="189" t="str">
        <f t="shared" si="12"/>
        <v>lot3</v>
      </c>
      <c r="DE17" s="173">
        <f t="shared" si="13"/>
        <v>0</v>
      </c>
      <c r="DF17" s="173">
        <f t="shared" si="13"/>
        <v>0</v>
      </c>
      <c r="DG17" s="173">
        <f t="shared" si="13"/>
        <v>0</v>
      </c>
      <c r="DH17" s="173">
        <f t="shared" si="13"/>
        <v>0</v>
      </c>
      <c r="DI17" s="173">
        <f t="shared" si="13"/>
        <v>0</v>
      </c>
      <c r="DJ17" s="173">
        <f t="shared" si="13"/>
        <v>0</v>
      </c>
      <c r="DK17" s="173">
        <f t="shared" si="13"/>
        <v>0</v>
      </c>
      <c r="DL17" s="173">
        <f t="shared" si="13"/>
        <v>0</v>
      </c>
      <c r="DM17" s="173">
        <f t="shared" si="13"/>
        <v>0</v>
      </c>
      <c r="DN17" s="173">
        <f t="shared" si="13"/>
        <v>0</v>
      </c>
      <c r="DO17" s="173">
        <f t="shared" si="13"/>
        <v>0</v>
      </c>
      <c r="DP17" s="173">
        <f t="shared" si="13"/>
        <v>0</v>
      </c>
      <c r="DQ17" s="173">
        <f t="shared" si="13"/>
        <v>0</v>
      </c>
      <c r="DR17" s="173">
        <f t="shared" si="13"/>
        <v>0</v>
      </c>
      <c r="DS17" s="173">
        <f t="shared" si="13"/>
        <v>0</v>
      </c>
      <c r="DT17" s="173">
        <f t="shared" si="13"/>
        <v>0</v>
      </c>
      <c r="DU17" s="173">
        <f t="shared" si="13"/>
        <v>0</v>
      </c>
      <c r="DV17" s="173">
        <f t="shared" si="13"/>
        <v>0</v>
      </c>
      <c r="DW17" s="173">
        <f t="shared" si="13"/>
        <v>0</v>
      </c>
      <c r="DX17" s="173">
        <f t="shared" si="13"/>
        <v>0</v>
      </c>
      <c r="DY17" s="173">
        <f t="shared" si="13"/>
        <v>0</v>
      </c>
      <c r="DZ17" s="173">
        <f t="shared" si="13"/>
        <v>0</v>
      </c>
      <c r="EA17" s="173">
        <f t="shared" si="13"/>
        <v>0</v>
      </c>
      <c r="EB17" s="173">
        <f t="shared" si="13"/>
        <v>0</v>
      </c>
    </row>
    <row r="18" spans="1:151" x14ac:dyDescent="0.25">
      <c r="A18" t="s">
        <v>738</v>
      </c>
      <c r="B18" s="190">
        <f>Scénario!K68</f>
        <v>0</v>
      </c>
      <c r="C18" s="190" t="e">
        <f>VALUE(LEFT(Scénario!K69,1))</f>
        <v>#VALUE!</v>
      </c>
      <c r="D18" s="190">
        <f>IF(B18&gt;0,VLOOKUP(C18,[1]Trav!$A$86:$D$90,4),0)</f>
        <v>0</v>
      </c>
      <c r="E18" s="190">
        <f>Scénario!K66*2</f>
        <v>0</v>
      </c>
      <c r="F18" s="173">
        <f t="shared" si="15"/>
        <v>0</v>
      </c>
      <c r="AR18" s="188"/>
      <c r="AT18" s="189" t="str">
        <f t="shared" si="14"/>
        <v>beliers</v>
      </c>
      <c r="AV18" s="173">
        <f t="shared" si="9"/>
        <v>1</v>
      </c>
      <c r="AW18" s="173">
        <f t="shared" si="9"/>
        <v>1</v>
      </c>
      <c r="AX18" s="173">
        <f t="shared" si="9"/>
        <v>1</v>
      </c>
      <c r="AY18" s="173">
        <f t="shared" si="9"/>
        <v>1</v>
      </c>
      <c r="AZ18" s="173">
        <f t="shared" si="9"/>
        <v>1</v>
      </c>
      <c r="BA18" s="173">
        <f t="shared" si="9"/>
        <v>1</v>
      </c>
      <c r="BB18" s="173">
        <f t="shared" si="9"/>
        <v>1</v>
      </c>
      <c r="BC18" s="173">
        <f t="shared" si="9"/>
        <v>1</v>
      </c>
      <c r="BD18" s="173">
        <f t="shared" si="9"/>
        <v>1</v>
      </c>
      <c r="BE18" s="173">
        <f t="shared" si="9"/>
        <v>0</v>
      </c>
      <c r="BF18" s="173">
        <f t="shared" si="9"/>
        <v>0</v>
      </c>
      <c r="BG18" s="173">
        <f t="shared" si="9"/>
        <v>0</v>
      </c>
      <c r="BH18" s="173">
        <f t="shared" si="9"/>
        <v>0</v>
      </c>
      <c r="BI18" s="173">
        <f t="shared" si="9"/>
        <v>0</v>
      </c>
      <c r="BJ18" s="173">
        <f t="shared" si="9"/>
        <v>0</v>
      </c>
      <c r="BK18" s="173">
        <f t="shared" si="9"/>
        <v>0</v>
      </c>
      <c r="BL18" s="173">
        <f t="shared" si="9"/>
        <v>0</v>
      </c>
      <c r="BM18" s="173">
        <f t="shared" si="9"/>
        <v>0</v>
      </c>
      <c r="BN18" s="173">
        <f t="shared" si="9"/>
        <v>0</v>
      </c>
      <c r="BO18" s="173">
        <f t="shared" si="9"/>
        <v>1</v>
      </c>
      <c r="BP18" s="173">
        <f t="shared" si="9"/>
        <v>1</v>
      </c>
      <c r="BQ18" s="173">
        <f t="shared" si="9"/>
        <v>1</v>
      </c>
      <c r="BR18" s="173">
        <f t="shared" si="9"/>
        <v>1</v>
      </c>
      <c r="BS18" s="173">
        <f t="shared" si="9"/>
        <v>1</v>
      </c>
      <c r="BZ18" s="189" t="str">
        <f t="shared" si="10"/>
        <v>lot4</v>
      </c>
      <c r="CB18" s="173">
        <f t="shared" si="11"/>
        <v>0</v>
      </c>
      <c r="CC18" s="173">
        <f t="shared" si="11"/>
        <v>0</v>
      </c>
      <c r="CD18" s="173">
        <f t="shared" si="11"/>
        <v>0</v>
      </c>
      <c r="CE18" s="173">
        <f t="shared" si="11"/>
        <v>0</v>
      </c>
      <c r="CF18" s="173">
        <f t="shared" si="11"/>
        <v>0</v>
      </c>
      <c r="CG18" s="173">
        <f t="shared" si="11"/>
        <v>0</v>
      </c>
      <c r="CH18" s="173">
        <f t="shared" si="11"/>
        <v>0</v>
      </c>
      <c r="CI18" s="173">
        <f t="shared" si="11"/>
        <v>0</v>
      </c>
      <c r="CJ18" s="173">
        <f t="shared" si="11"/>
        <v>0</v>
      </c>
      <c r="CK18" s="173">
        <f t="shared" si="11"/>
        <v>0</v>
      </c>
      <c r="CL18" s="173">
        <f t="shared" si="11"/>
        <v>0</v>
      </c>
      <c r="CM18" s="173">
        <f t="shared" si="11"/>
        <v>0</v>
      </c>
      <c r="CN18" s="173">
        <f t="shared" si="11"/>
        <v>0</v>
      </c>
      <c r="CO18" s="173">
        <f t="shared" si="11"/>
        <v>0</v>
      </c>
      <c r="CP18" s="173">
        <f t="shared" si="11"/>
        <v>0</v>
      </c>
      <c r="CQ18" s="173">
        <f t="shared" si="11"/>
        <v>0</v>
      </c>
      <c r="CR18" s="173">
        <f t="shared" si="11"/>
        <v>0</v>
      </c>
      <c r="CS18" s="173">
        <f t="shared" si="11"/>
        <v>0</v>
      </c>
      <c r="CT18" s="173">
        <f t="shared" si="11"/>
        <v>0</v>
      </c>
      <c r="CU18" s="173">
        <f t="shared" si="11"/>
        <v>0</v>
      </c>
      <c r="CV18" s="173">
        <f t="shared" si="11"/>
        <v>0</v>
      </c>
      <c r="CW18" s="173">
        <f t="shared" si="11"/>
        <v>0</v>
      </c>
      <c r="CX18" s="173">
        <f t="shared" si="11"/>
        <v>0</v>
      </c>
      <c r="CY18" s="173">
        <f t="shared" si="11"/>
        <v>0</v>
      </c>
      <c r="DC18" s="189" t="str">
        <f t="shared" si="12"/>
        <v>lot4</v>
      </c>
      <c r="DE18" s="173">
        <f t="shared" si="13"/>
        <v>0</v>
      </c>
      <c r="DF18" s="173">
        <f t="shared" si="13"/>
        <v>0</v>
      </c>
      <c r="DG18" s="173">
        <f t="shared" si="13"/>
        <v>0</v>
      </c>
      <c r="DH18" s="173">
        <f t="shared" si="13"/>
        <v>0</v>
      </c>
      <c r="DI18" s="173">
        <f t="shared" si="13"/>
        <v>0</v>
      </c>
      <c r="DJ18" s="173">
        <f t="shared" si="13"/>
        <v>0</v>
      </c>
      <c r="DK18" s="173">
        <f t="shared" si="13"/>
        <v>0</v>
      </c>
      <c r="DL18" s="173">
        <f t="shared" si="13"/>
        <v>0</v>
      </c>
      <c r="DM18" s="173">
        <f t="shared" si="13"/>
        <v>0</v>
      </c>
      <c r="DN18" s="173">
        <f t="shared" si="13"/>
        <v>0</v>
      </c>
      <c r="DO18" s="173">
        <f t="shared" si="13"/>
        <v>0</v>
      </c>
      <c r="DP18" s="173">
        <f t="shared" si="13"/>
        <v>0</v>
      </c>
      <c r="DQ18" s="173">
        <f t="shared" si="13"/>
        <v>0</v>
      </c>
      <c r="DR18" s="173">
        <f t="shared" si="13"/>
        <v>0</v>
      </c>
      <c r="DS18" s="173">
        <f t="shared" si="13"/>
        <v>0</v>
      </c>
      <c r="DT18" s="173">
        <f t="shared" si="13"/>
        <v>0</v>
      </c>
      <c r="DU18" s="173">
        <f t="shared" si="13"/>
        <v>0</v>
      </c>
      <c r="DV18" s="173">
        <f t="shared" si="13"/>
        <v>0</v>
      </c>
      <c r="DW18" s="173">
        <f t="shared" si="13"/>
        <v>0</v>
      </c>
      <c r="DX18" s="173">
        <f t="shared" si="13"/>
        <v>0</v>
      </c>
      <c r="DY18" s="173">
        <f t="shared" si="13"/>
        <v>0</v>
      </c>
      <c r="DZ18" s="173">
        <f t="shared" si="13"/>
        <v>0</v>
      </c>
      <c r="EA18" s="173">
        <f t="shared" si="13"/>
        <v>0</v>
      </c>
      <c r="EB18" s="173">
        <f t="shared" si="13"/>
        <v>0</v>
      </c>
    </row>
    <row r="19" spans="1:151" x14ac:dyDescent="0.25">
      <c r="A19" s="2" t="s">
        <v>761</v>
      </c>
      <c r="B19" s="171"/>
      <c r="C19" s="171"/>
      <c r="D19" s="172"/>
      <c r="E19" s="172"/>
      <c r="AR19" s="188"/>
      <c r="AT19" s="189" t="str">
        <f t="shared" si="14"/>
        <v>lot5</v>
      </c>
      <c r="AV19" s="173">
        <f t="shared" si="9"/>
        <v>0</v>
      </c>
      <c r="AW19" s="173">
        <f t="shared" si="9"/>
        <v>0</v>
      </c>
      <c r="AX19" s="173">
        <f t="shared" si="9"/>
        <v>0</v>
      </c>
      <c r="AY19" s="173">
        <f t="shared" si="9"/>
        <v>0</v>
      </c>
      <c r="AZ19" s="173">
        <f t="shared" si="9"/>
        <v>0</v>
      </c>
      <c r="BA19" s="173">
        <f t="shared" si="9"/>
        <v>0</v>
      </c>
      <c r="BB19" s="173">
        <f t="shared" si="9"/>
        <v>0</v>
      </c>
      <c r="BC19" s="173">
        <f t="shared" si="9"/>
        <v>0</v>
      </c>
      <c r="BD19" s="173">
        <f t="shared" si="9"/>
        <v>0</v>
      </c>
      <c r="BE19" s="173">
        <f t="shared" si="9"/>
        <v>0</v>
      </c>
      <c r="BF19" s="173">
        <f t="shared" si="9"/>
        <v>0</v>
      </c>
      <c r="BG19" s="173">
        <f t="shared" si="9"/>
        <v>0</v>
      </c>
      <c r="BH19" s="173">
        <f t="shared" si="9"/>
        <v>0</v>
      </c>
      <c r="BI19" s="173">
        <f t="shared" si="9"/>
        <v>0</v>
      </c>
      <c r="BJ19" s="173">
        <f t="shared" si="9"/>
        <v>0</v>
      </c>
      <c r="BK19" s="173">
        <f t="shared" si="9"/>
        <v>0</v>
      </c>
      <c r="BL19" s="173">
        <f t="shared" si="9"/>
        <v>0</v>
      </c>
      <c r="BM19" s="173">
        <f t="shared" si="9"/>
        <v>0</v>
      </c>
      <c r="BN19" s="173">
        <f t="shared" si="9"/>
        <v>0</v>
      </c>
      <c r="BO19" s="173">
        <f t="shared" si="9"/>
        <v>0</v>
      </c>
      <c r="BP19" s="173">
        <f t="shared" si="9"/>
        <v>0</v>
      </c>
      <c r="BQ19" s="173">
        <f t="shared" si="9"/>
        <v>0</v>
      </c>
      <c r="BR19" s="173">
        <f t="shared" si="9"/>
        <v>0</v>
      </c>
      <c r="BS19" s="173">
        <f t="shared" si="9"/>
        <v>0</v>
      </c>
      <c r="BZ19" s="189" t="str">
        <f t="shared" si="10"/>
        <v>lot5</v>
      </c>
      <c r="CB19" s="173">
        <f t="shared" si="11"/>
        <v>0</v>
      </c>
      <c r="CC19" s="173">
        <f t="shared" si="11"/>
        <v>0</v>
      </c>
      <c r="CD19" s="173">
        <f t="shared" si="11"/>
        <v>0</v>
      </c>
      <c r="CE19" s="173">
        <f t="shared" si="11"/>
        <v>0</v>
      </c>
      <c r="CF19" s="173">
        <f t="shared" si="11"/>
        <v>0</v>
      </c>
      <c r="CG19" s="173">
        <f t="shared" si="11"/>
        <v>0</v>
      </c>
      <c r="CH19" s="173">
        <f t="shared" si="11"/>
        <v>0</v>
      </c>
      <c r="CI19" s="173">
        <f t="shared" si="11"/>
        <v>0</v>
      </c>
      <c r="CJ19" s="173">
        <f t="shared" si="11"/>
        <v>0</v>
      </c>
      <c r="CK19" s="173">
        <f t="shared" si="11"/>
        <v>0</v>
      </c>
      <c r="CL19" s="173">
        <f t="shared" si="11"/>
        <v>0</v>
      </c>
      <c r="CM19" s="173">
        <f t="shared" si="11"/>
        <v>0</v>
      </c>
      <c r="CN19" s="173">
        <f t="shared" si="11"/>
        <v>0</v>
      </c>
      <c r="CO19" s="173">
        <f t="shared" si="11"/>
        <v>0</v>
      </c>
      <c r="CP19" s="173">
        <f t="shared" si="11"/>
        <v>0</v>
      </c>
      <c r="CQ19" s="173">
        <f t="shared" si="11"/>
        <v>0</v>
      </c>
      <c r="CR19" s="173">
        <f t="shared" si="11"/>
        <v>0</v>
      </c>
      <c r="CS19" s="173">
        <f t="shared" si="11"/>
        <v>0</v>
      </c>
      <c r="CT19" s="173">
        <f t="shared" si="11"/>
        <v>0</v>
      </c>
      <c r="CU19" s="173">
        <f t="shared" si="11"/>
        <v>0</v>
      </c>
      <c r="CV19" s="173">
        <f t="shared" si="11"/>
        <v>0</v>
      </c>
      <c r="CW19" s="173">
        <f t="shared" si="11"/>
        <v>0</v>
      </c>
      <c r="CX19" s="173">
        <f t="shared" si="11"/>
        <v>0</v>
      </c>
      <c r="CY19" s="173">
        <f t="shared" si="11"/>
        <v>0</v>
      </c>
      <c r="DC19" s="189" t="str">
        <f t="shared" si="12"/>
        <v>lot5</v>
      </c>
      <c r="DE19" s="173">
        <f t="shared" si="13"/>
        <v>0</v>
      </c>
      <c r="DF19" s="173">
        <f t="shared" si="13"/>
        <v>0</v>
      </c>
      <c r="DG19" s="173">
        <f t="shared" si="13"/>
        <v>0</v>
      </c>
      <c r="DH19" s="173">
        <f t="shared" si="13"/>
        <v>0</v>
      </c>
      <c r="DI19" s="173">
        <f t="shared" si="13"/>
        <v>0</v>
      </c>
      <c r="DJ19" s="173">
        <f t="shared" si="13"/>
        <v>0</v>
      </c>
      <c r="DK19" s="173">
        <f t="shared" si="13"/>
        <v>0</v>
      </c>
      <c r="DL19" s="173">
        <f t="shared" si="13"/>
        <v>0</v>
      </c>
      <c r="DM19" s="173">
        <f t="shared" si="13"/>
        <v>0</v>
      </c>
      <c r="DN19" s="173">
        <f t="shared" si="13"/>
        <v>0</v>
      </c>
      <c r="DO19" s="173">
        <f t="shared" si="13"/>
        <v>0</v>
      </c>
      <c r="DP19" s="173">
        <f t="shared" si="13"/>
        <v>0</v>
      </c>
      <c r="DQ19" s="173">
        <f t="shared" si="13"/>
        <v>0</v>
      </c>
      <c r="DR19" s="173">
        <f t="shared" si="13"/>
        <v>0</v>
      </c>
      <c r="DS19" s="173">
        <f t="shared" si="13"/>
        <v>0</v>
      </c>
      <c r="DT19" s="173">
        <f t="shared" si="13"/>
        <v>0</v>
      </c>
      <c r="DU19" s="173">
        <f t="shared" si="13"/>
        <v>0</v>
      </c>
      <c r="DV19" s="173">
        <f t="shared" si="13"/>
        <v>0</v>
      </c>
      <c r="DW19" s="173">
        <f t="shared" si="13"/>
        <v>0</v>
      </c>
      <c r="DX19" s="173">
        <f t="shared" si="13"/>
        <v>0</v>
      </c>
      <c r="DY19" s="173">
        <f t="shared" si="13"/>
        <v>0</v>
      </c>
      <c r="DZ19" s="173">
        <f t="shared" si="13"/>
        <v>0</v>
      </c>
      <c r="EA19" s="173">
        <f t="shared" si="13"/>
        <v>0</v>
      </c>
      <c r="EB19" s="173">
        <f t="shared" si="13"/>
        <v>0</v>
      </c>
    </row>
    <row r="20" spans="1:151" x14ac:dyDescent="0.25">
      <c r="A20" t="s">
        <v>568</v>
      </c>
      <c r="B20" s="171"/>
      <c r="C20" s="171"/>
      <c r="D20" s="190">
        <f>[1]Trav!$D$92</f>
        <v>12</v>
      </c>
      <c r="E20" s="190">
        <f>Scénario!K76*2</f>
        <v>0</v>
      </c>
      <c r="F20" s="173">
        <f>D20*E20</f>
        <v>0</v>
      </c>
      <c r="AR20" s="188"/>
      <c r="AT20" s="189" t="str">
        <f t="shared" si="14"/>
        <v>lot6</v>
      </c>
      <c r="AV20" s="173">
        <f t="shared" si="9"/>
        <v>0</v>
      </c>
      <c r="AW20" s="173">
        <f t="shared" si="9"/>
        <v>0</v>
      </c>
      <c r="AX20" s="173">
        <f t="shared" si="9"/>
        <v>0</v>
      </c>
      <c r="AY20" s="173">
        <f t="shared" si="9"/>
        <v>0</v>
      </c>
      <c r="AZ20" s="173">
        <f t="shared" si="9"/>
        <v>0</v>
      </c>
      <c r="BA20" s="173">
        <f t="shared" si="9"/>
        <v>0</v>
      </c>
      <c r="BB20" s="173">
        <f t="shared" si="9"/>
        <v>0</v>
      </c>
      <c r="BC20" s="173">
        <f t="shared" si="9"/>
        <v>0</v>
      </c>
      <c r="BD20" s="173">
        <f t="shared" si="9"/>
        <v>0</v>
      </c>
      <c r="BE20" s="173">
        <f t="shared" si="9"/>
        <v>0</v>
      </c>
      <c r="BF20" s="173">
        <f t="shared" si="9"/>
        <v>0</v>
      </c>
      <c r="BG20" s="173">
        <f t="shared" si="9"/>
        <v>0</v>
      </c>
      <c r="BH20" s="173">
        <f t="shared" si="9"/>
        <v>0</v>
      </c>
      <c r="BI20" s="173">
        <f t="shared" si="9"/>
        <v>0</v>
      </c>
      <c r="BJ20" s="173">
        <f t="shared" si="9"/>
        <v>0</v>
      </c>
      <c r="BK20" s="173">
        <f t="shared" si="9"/>
        <v>0</v>
      </c>
      <c r="BL20" s="173">
        <f t="shared" si="9"/>
        <v>0</v>
      </c>
      <c r="BM20" s="173">
        <f t="shared" si="9"/>
        <v>0</v>
      </c>
      <c r="BN20" s="173">
        <f t="shared" si="9"/>
        <v>0</v>
      </c>
      <c r="BO20" s="173">
        <f t="shared" si="9"/>
        <v>0</v>
      </c>
      <c r="BP20" s="173">
        <f t="shared" si="9"/>
        <v>0</v>
      </c>
      <c r="BQ20" s="173">
        <f t="shared" si="9"/>
        <v>0</v>
      </c>
      <c r="BR20" s="173">
        <f t="shared" si="9"/>
        <v>0</v>
      </c>
      <c r="BS20" s="173">
        <f t="shared" si="9"/>
        <v>0</v>
      </c>
      <c r="BZ20" s="189" t="str">
        <f t="shared" si="10"/>
        <v>lot6</v>
      </c>
      <c r="CB20" s="173">
        <f t="shared" si="11"/>
        <v>0</v>
      </c>
      <c r="CC20" s="173">
        <f t="shared" si="11"/>
        <v>0</v>
      </c>
      <c r="CD20" s="173">
        <f t="shared" si="11"/>
        <v>0</v>
      </c>
      <c r="CE20" s="173">
        <f t="shared" si="11"/>
        <v>0</v>
      </c>
      <c r="CF20" s="173">
        <f t="shared" si="11"/>
        <v>0</v>
      </c>
      <c r="CG20" s="173">
        <f t="shared" si="11"/>
        <v>0</v>
      </c>
      <c r="CH20" s="173">
        <f t="shared" si="11"/>
        <v>0</v>
      </c>
      <c r="CI20" s="173">
        <f t="shared" si="11"/>
        <v>0</v>
      </c>
      <c r="CJ20" s="173">
        <f t="shared" si="11"/>
        <v>0</v>
      </c>
      <c r="CK20" s="173">
        <f t="shared" si="11"/>
        <v>0</v>
      </c>
      <c r="CL20" s="173">
        <f t="shared" si="11"/>
        <v>0</v>
      </c>
      <c r="CM20" s="173">
        <f t="shared" si="11"/>
        <v>0</v>
      </c>
      <c r="CN20" s="173">
        <f t="shared" si="11"/>
        <v>0</v>
      </c>
      <c r="CO20" s="173">
        <f t="shared" si="11"/>
        <v>0</v>
      </c>
      <c r="CP20" s="173">
        <f t="shared" si="11"/>
        <v>0</v>
      </c>
      <c r="CQ20" s="173">
        <f t="shared" si="11"/>
        <v>0</v>
      </c>
      <c r="CR20" s="173">
        <f t="shared" si="11"/>
        <v>0</v>
      </c>
      <c r="CS20" s="173">
        <f t="shared" si="11"/>
        <v>0</v>
      </c>
      <c r="CT20" s="173">
        <f t="shared" si="11"/>
        <v>0</v>
      </c>
      <c r="CU20" s="173">
        <f t="shared" si="11"/>
        <v>0</v>
      </c>
      <c r="CV20" s="173">
        <f t="shared" si="11"/>
        <v>0</v>
      </c>
      <c r="CW20" s="173">
        <f t="shared" si="11"/>
        <v>0</v>
      </c>
      <c r="CX20" s="173">
        <f t="shared" si="11"/>
        <v>0</v>
      </c>
      <c r="CY20" s="173">
        <f t="shared" si="11"/>
        <v>0</v>
      </c>
      <c r="DC20" s="189" t="str">
        <f t="shared" si="12"/>
        <v>lot6</v>
      </c>
      <c r="DE20" s="173">
        <f t="shared" si="13"/>
        <v>0</v>
      </c>
      <c r="DF20" s="173">
        <f t="shared" si="13"/>
        <v>0</v>
      </c>
      <c r="DG20" s="173">
        <f t="shared" si="13"/>
        <v>0</v>
      </c>
      <c r="DH20" s="173">
        <f t="shared" si="13"/>
        <v>0</v>
      </c>
      <c r="DI20" s="173">
        <f t="shared" si="13"/>
        <v>0</v>
      </c>
      <c r="DJ20" s="173">
        <f t="shared" si="13"/>
        <v>0</v>
      </c>
      <c r="DK20" s="173">
        <f t="shared" si="13"/>
        <v>0</v>
      </c>
      <c r="DL20" s="173">
        <f t="shared" si="13"/>
        <v>0</v>
      </c>
      <c r="DM20" s="173">
        <f t="shared" si="13"/>
        <v>0</v>
      </c>
      <c r="DN20" s="173">
        <f t="shared" si="13"/>
        <v>0</v>
      </c>
      <c r="DO20" s="173">
        <f t="shared" si="13"/>
        <v>0</v>
      </c>
      <c r="DP20" s="173">
        <f t="shared" si="13"/>
        <v>0</v>
      </c>
      <c r="DQ20" s="173">
        <f t="shared" si="13"/>
        <v>0</v>
      </c>
      <c r="DR20" s="173">
        <f t="shared" si="13"/>
        <v>0</v>
      </c>
      <c r="DS20" s="173">
        <f t="shared" si="13"/>
        <v>0</v>
      </c>
      <c r="DT20" s="173">
        <f t="shared" si="13"/>
        <v>0</v>
      </c>
      <c r="DU20" s="173">
        <f t="shared" si="13"/>
        <v>0</v>
      </c>
      <c r="DV20" s="173">
        <f t="shared" si="13"/>
        <v>0</v>
      </c>
      <c r="DW20" s="173">
        <f t="shared" si="13"/>
        <v>0</v>
      </c>
      <c r="DX20" s="173">
        <f t="shared" si="13"/>
        <v>0</v>
      </c>
      <c r="DY20" s="173">
        <f t="shared" si="13"/>
        <v>0</v>
      </c>
      <c r="DZ20" s="173">
        <f t="shared" si="13"/>
        <v>0</v>
      </c>
      <c r="EA20" s="173">
        <f t="shared" si="13"/>
        <v>0</v>
      </c>
      <c r="EB20" s="173">
        <f t="shared" si="13"/>
        <v>0</v>
      </c>
    </row>
    <row r="21" spans="1:151" x14ac:dyDescent="0.25">
      <c r="A21" t="s">
        <v>601</v>
      </c>
      <c r="B21" s="171"/>
      <c r="C21" s="171"/>
      <c r="D21" s="190">
        <f>[1]Trav!$D$92</f>
        <v>12</v>
      </c>
      <c r="E21" s="190">
        <f>Scénario!K79*2</f>
        <v>0</v>
      </c>
      <c r="F21" s="173">
        <f t="shared" ref="F21:F22" si="16">D21*E21</f>
        <v>0</v>
      </c>
      <c r="AR21" s="188"/>
      <c r="AT21" s="189" t="str">
        <f t="shared" si="14"/>
        <v>lot7</v>
      </c>
      <c r="AV21" s="173">
        <f t="shared" si="9"/>
        <v>0</v>
      </c>
      <c r="AW21" s="173">
        <f t="shared" si="9"/>
        <v>0</v>
      </c>
      <c r="AX21" s="173">
        <f t="shared" si="9"/>
        <v>0</v>
      </c>
      <c r="AY21" s="173">
        <f t="shared" si="9"/>
        <v>0</v>
      </c>
      <c r="AZ21" s="173">
        <f t="shared" si="9"/>
        <v>0</v>
      </c>
      <c r="BA21" s="173">
        <f t="shared" si="9"/>
        <v>0</v>
      </c>
      <c r="BB21" s="173">
        <f t="shared" si="9"/>
        <v>0</v>
      </c>
      <c r="BC21" s="173">
        <f t="shared" si="9"/>
        <v>0</v>
      </c>
      <c r="BD21" s="173">
        <f t="shared" si="9"/>
        <v>0</v>
      </c>
      <c r="BE21" s="173">
        <f t="shared" si="9"/>
        <v>0</v>
      </c>
      <c r="BF21" s="173">
        <f t="shared" si="9"/>
        <v>0</v>
      </c>
      <c r="BG21" s="173">
        <f t="shared" si="9"/>
        <v>0</v>
      </c>
      <c r="BH21" s="173">
        <f t="shared" si="9"/>
        <v>0</v>
      </c>
      <c r="BI21" s="173">
        <f t="shared" si="9"/>
        <v>0</v>
      </c>
      <c r="BJ21" s="173">
        <f t="shared" si="9"/>
        <v>0</v>
      </c>
      <c r="BK21" s="173">
        <f t="shared" si="9"/>
        <v>0</v>
      </c>
      <c r="BL21" s="173">
        <f t="shared" si="9"/>
        <v>0</v>
      </c>
      <c r="BM21" s="173">
        <f t="shared" si="9"/>
        <v>0</v>
      </c>
      <c r="BN21" s="173">
        <f t="shared" si="9"/>
        <v>0</v>
      </c>
      <c r="BO21" s="173">
        <f t="shared" si="9"/>
        <v>0</v>
      </c>
      <c r="BP21" s="173">
        <f t="shared" si="9"/>
        <v>0</v>
      </c>
      <c r="BQ21" s="173">
        <f t="shared" si="9"/>
        <v>0</v>
      </c>
      <c r="BR21" s="173">
        <f t="shared" si="9"/>
        <v>0</v>
      </c>
      <c r="BS21" s="173">
        <f t="shared" si="9"/>
        <v>0</v>
      </c>
      <c r="BZ21" s="189" t="str">
        <f t="shared" si="10"/>
        <v>lot7</v>
      </c>
      <c r="CB21" s="173">
        <f t="shared" si="11"/>
        <v>0</v>
      </c>
      <c r="CC21" s="173">
        <f t="shared" si="11"/>
        <v>0</v>
      </c>
      <c r="CD21" s="173">
        <f t="shared" si="11"/>
        <v>0</v>
      </c>
      <c r="CE21" s="173">
        <f t="shared" si="11"/>
        <v>0</v>
      </c>
      <c r="CF21" s="173">
        <f t="shared" si="11"/>
        <v>0</v>
      </c>
      <c r="CG21" s="173">
        <f t="shared" si="11"/>
        <v>0</v>
      </c>
      <c r="CH21" s="173">
        <f t="shared" si="11"/>
        <v>0</v>
      </c>
      <c r="CI21" s="173">
        <f t="shared" si="11"/>
        <v>0</v>
      </c>
      <c r="CJ21" s="173">
        <f t="shared" si="11"/>
        <v>0</v>
      </c>
      <c r="CK21" s="173">
        <f t="shared" si="11"/>
        <v>0</v>
      </c>
      <c r="CL21" s="173">
        <f t="shared" si="11"/>
        <v>0</v>
      </c>
      <c r="CM21" s="173">
        <f t="shared" si="11"/>
        <v>0</v>
      </c>
      <c r="CN21" s="173">
        <f t="shared" si="11"/>
        <v>0</v>
      </c>
      <c r="CO21" s="173">
        <f t="shared" si="11"/>
        <v>0</v>
      </c>
      <c r="CP21" s="173">
        <f t="shared" si="11"/>
        <v>0</v>
      </c>
      <c r="CQ21" s="173">
        <f t="shared" si="11"/>
        <v>0</v>
      </c>
      <c r="CR21" s="173">
        <f t="shared" si="11"/>
        <v>0</v>
      </c>
      <c r="CS21" s="173">
        <f t="shared" si="11"/>
        <v>0</v>
      </c>
      <c r="CT21" s="173">
        <f t="shared" si="11"/>
        <v>0</v>
      </c>
      <c r="CU21" s="173">
        <f t="shared" si="11"/>
        <v>0</v>
      </c>
      <c r="CV21" s="173">
        <f t="shared" si="11"/>
        <v>0</v>
      </c>
      <c r="CW21" s="173">
        <f t="shared" si="11"/>
        <v>0</v>
      </c>
      <c r="CX21" s="173">
        <f t="shared" si="11"/>
        <v>0</v>
      </c>
      <c r="CY21" s="173">
        <f t="shared" si="11"/>
        <v>0</v>
      </c>
      <c r="DC21" s="189" t="str">
        <f t="shared" si="12"/>
        <v>lot7</v>
      </c>
      <c r="DE21" s="173">
        <f t="shared" si="13"/>
        <v>0</v>
      </c>
      <c r="DF21" s="173">
        <f t="shared" si="13"/>
        <v>0</v>
      </c>
      <c r="DG21" s="173">
        <f t="shared" si="13"/>
        <v>0</v>
      </c>
      <c r="DH21" s="173">
        <f t="shared" si="13"/>
        <v>0</v>
      </c>
      <c r="DI21" s="173">
        <f t="shared" si="13"/>
        <v>0</v>
      </c>
      <c r="DJ21" s="173">
        <f t="shared" si="13"/>
        <v>0</v>
      </c>
      <c r="DK21" s="173">
        <f t="shared" si="13"/>
        <v>0</v>
      </c>
      <c r="DL21" s="173">
        <f t="shared" si="13"/>
        <v>0</v>
      </c>
      <c r="DM21" s="173">
        <f t="shared" si="13"/>
        <v>0</v>
      </c>
      <c r="DN21" s="173">
        <f t="shared" si="13"/>
        <v>0</v>
      </c>
      <c r="DO21" s="173">
        <f t="shared" si="13"/>
        <v>0</v>
      </c>
      <c r="DP21" s="173">
        <f t="shared" si="13"/>
        <v>0</v>
      </c>
      <c r="DQ21" s="173">
        <f t="shared" si="13"/>
        <v>0</v>
      </c>
      <c r="DR21" s="173">
        <f t="shared" si="13"/>
        <v>0</v>
      </c>
      <c r="DS21" s="173">
        <f t="shared" si="13"/>
        <v>0</v>
      </c>
      <c r="DT21" s="173">
        <f t="shared" si="13"/>
        <v>0</v>
      </c>
      <c r="DU21" s="173">
        <f t="shared" si="13"/>
        <v>0</v>
      </c>
      <c r="DV21" s="173">
        <f t="shared" si="13"/>
        <v>0</v>
      </c>
      <c r="DW21" s="173">
        <f t="shared" si="13"/>
        <v>0</v>
      </c>
      <c r="DX21" s="173">
        <f t="shared" si="13"/>
        <v>0</v>
      </c>
      <c r="DY21" s="173">
        <f t="shared" si="13"/>
        <v>0</v>
      </c>
      <c r="DZ21" s="173">
        <f t="shared" si="13"/>
        <v>0</v>
      </c>
      <c r="EA21" s="173">
        <f t="shared" si="13"/>
        <v>0</v>
      </c>
      <c r="EB21" s="173">
        <f t="shared" si="13"/>
        <v>0</v>
      </c>
    </row>
    <row r="22" spans="1:151" x14ac:dyDescent="0.25">
      <c r="A22" t="s">
        <v>738</v>
      </c>
      <c r="B22" s="171"/>
      <c r="C22" s="171"/>
      <c r="D22" s="190">
        <f>[1]Trav!$D$92</f>
        <v>12</v>
      </c>
      <c r="E22" s="190">
        <f>Scénario!K82*2</f>
        <v>0</v>
      </c>
      <c r="F22" s="173">
        <f t="shared" si="16"/>
        <v>0</v>
      </c>
      <c r="AR22" s="188"/>
      <c r="AT22" s="189" t="str">
        <f t="shared" si="14"/>
        <v>lot8</v>
      </c>
      <c r="AV22" s="173">
        <f t="shared" si="9"/>
        <v>0</v>
      </c>
      <c r="AW22" s="173">
        <f t="shared" si="9"/>
        <v>0</v>
      </c>
      <c r="AX22" s="173">
        <f t="shared" si="9"/>
        <v>0</v>
      </c>
      <c r="AY22" s="173">
        <f t="shared" si="9"/>
        <v>0</v>
      </c>
      <c r="AZ22" s="173">
        <f t="shared" si="9"/>
        <v>0</v>
      </c>
      <c r="BA22" s="173">
        <f t="shared" si="9"/>
        <v>0</v>
      </c>
      <c r="BB22" s="173">
        <f t="shared" si="9"/>
        <v>0</v>
      </c>
      <c r="BC22" s="173">
        <f t="shared" si="9"/>
        <v>0</v>
      </c>
      <c r="BD22" s="173">
        <f t="shared" si="9"/>
        <v>0</v>
      </c>
      <c r="BE22" s="173">
        <f t="shared" si="9"/>
        <v>0</v>
      </c>
      <c r="BF22" s="173">
        <f t="shared" si="9"/>
        <v>0</v>
      </c>
      <c r="BG22" s="173">
        <f t="shared" si="9"/>
        <v>0</v>
      </c>
      <c r="BH22" s="173">
        <f t="shared" si="9"/>
        <v>0</v>
      </c>
      <c r="BI22" s="173">
        <f t="shared" si="9"/>
        <v>0</v>
      </c>
      <c r="BJ22" s="173">
        <f t="shared" si="9"/>
        <v>0</v>
      </c>
      <c r="BK22" s="173">
        <f t="shared" si="9"/>
        <v>0</v>
      </c>
      <c r="BL22" s="173">
        <f t="shared" si="9"/>
        <v>0</v>
      </c>
      <c r="BM22" s="173">
        <f t="shared" si="9"/>
        <v>0</v>
      </c>
      <c r="BN22" s="173">
        <f t="shared" si="9"/>
        <v>0</v>
      </c>
      <c r="BO22" s="173">
        <f t="shared" si="9"/>
        <v>0</v>
      </c>
      <c r="BP22" s="173">
        <f t="shared" si="9"/>
        <v>0</v>
      </c>
      <c r="BQ22" s="173">
        <f t="shared" si="9"/>
        <v>0</v>
      </c>
      <c r="BR22" s="173">
        <f t="shared" si="9"/>
        <v>0</v>
      </c>
      <c r="BS22" s="173">
        <f t="shared" si="9"/>
        <v>0</v>
      </c>
      <c r="BZ22" s="189" t="str">
        <f t="shared" si="10"/>
        <v>lot8</v>
      </c>
      <c r="CB22" s="173">
        <f t="shared" si="11"/>
        <v>0</v>
      </c>
      <c r="CC22" s="173">
        <f t="shared" si="11"/>
        <v>0</v>
      </c>
      <c r="CD22" s="173">
        <f t="shared" si="11"/>
        <v>0</v>
      </c>
      <c r="CE22" s="173">
        <f t="shared" si="11"/>
        <v>0</v>
      </c>
      <c r="CF22" s="173">
        <f t="shared" si="11"/>
        <v>0</v>
      </c>
      <c r="CG22" s="173">
        <f t="shared" si="11"/>
        <v>0</v>
      </c>
      <c r="CH22" s="173">
        <f t="shared" si="11"/>
        <v>0</v>
      </c>
      <c r="CI22" s="173">
        <f t="shared" si="11"/>
        <v>0</v>
      </c>
      <c r="CJ22" s="173">
        <f t="shared" si="11"/>
        <v>0</v>
      </c>
      <c r="CK22" s="173">
        <f t="shared" si="11"/>
        <v>0</v>
      </c>
      <c r="CL22" s="173">
        <f t="shared" si="11"/>
        <v>0</v>
      </c>
      <c r="CM22" s="173">
        <f t="shared" si="11"/>
        <v>0</v>
      </c>
      <c r="CN22" s="173">
        <f t="shared" si="11"/>
        <v>0</v>
      </c>
      <c r="CO22" s="173">
        <f t="shared" si="11"/>
        <v>0</v>
      </c>
      <c r="CP22" s="173">
        <f t="shared" si="11"/>
        <v>0</v>
      </c>
      <c r="CQ22" s="173">
        <f t="shared" si="11"/>
        <v>0</v>
      </c>
      <c r="CR22" s="173">
        <f t="shared" si="11"/>
        <v>0</v>
      </c>
      <c r="CS22" s="173">
        <f t="shared" si="11"/>
        <v>0</v>
      </c>
      <c r="CT22" s="173">
        <f t="shared" si="11"/>
        <v>0</v>
      </c>
      <c r="CU22" s="173">
        <f t="shared" si="11"/>
        <v>0</v>
      </c>
      <c r="CV22" s="173">
        <f t="shared" si="11"/>
        <v>0</v>
      </c>
      <c r="CW22" s="173">
        <f t="shared" si="11"/>
        <v>0</v>
      </c>
      <c r="CX22" s="173">
        <f t="shared" si="11"/>
        <v>0</v>
      </c>
      <c r="CY22" s="173">
        <f t="shared" si="11"/>
        <v>0</v>
      </c>
      <c r="DC22" s="189" t="str">
        <f t="shared" si="12"/>
        <v>lot8</v>
      </c>
      <c r="DE22" s="173">
        <f t="shared" si="13"/>
        <v>0</v>
      </c>
      <c r="DF22" s="173">
        <f t="shared" si="13"/>
        <v>0</v>
      </c>
      <c r="DG22" s="173">
        <f t="shared" si="13"/>
        <v>0</v>
      </c>
      <c r="DH22" s="173">
        <f t="shared" si="13"/>
        <v>0</v>
      </c>
      <c r="DI22" s="173">
        <f t="shared" si="13"/>
        <v>0</v>
      </c>
      <c r="DJ22" s="173">
        <f t="shared" si="13"/>
        <v>0</v>
      </c>
      <c r="DK22" s="173">
        <f t="shared" si="13"/>
        <v>0</v>
      </c>
      <c r="DL22" s="173">
        <f t="shared" si="13"/>
        <v>0</v>
      </c>
      <c r="DM22" s="173">
        <f t="shared" si="13"/>
        <v>0</v>
      </c>
      <c r="DN22" s="173">
        <f t="shared" si="13"/>
        <v>0</v>
      </c>
      <c r="DO22" s="173">
        <f t="shared" si="13"/>
        <v>0</v>
      </c>
      <c r="DP22" s="173">
        <f t="shared" si="13"/>
        <v>0</v>
      </c>
      <c r="DQ22" s="173">
        <f t="shared" si="13"/>
        <v>0</v>
      </c>
      <c r="DR22" s="173">
        <f t="shared" si="13"/>
        <v>0</v>
      </c>
      <c r="DS22" s="173">
        <f t="shared" si="13"/>
        <v>0</v>
      </c>
      <c r="DT22" s="173">
        <f t="shared" si="13"/>
        <v>0</v>
      </c>
      <c r="DU22" s="173">
        <f t="shared" si="13"/>
        <v>0</v>
      </c>
      <c r="DV22" s="173">
        <f t="shared" si="13"/>
        <v>0</v>
      </c>
      <c r="DW22" s="173">
        <f t="shared" si="13"/>
        <v>0</v>
      </c>
      <c r="DX22" s="173">
        <f t="shared" si="13"/>
        <v>0</v>
      </c>
      <c r="DY22" s="173">
        <f t="shared" si="13"/>
        <v>0</v>
      </c>
      <c r="DZ22" s="173">
        <f t="shared" si="13"/>
        <v>0</v>
      </c>
      <c r="EA22" s="173">
        <f t="shared" si="13"/>
        <v>0</v>
      </c>
      <c r="EB22" s="173">
        <f t="shared" si="13"/>
        <v>0</v>
      </c>
    </row>
    <row r="23" spans="1:151" x14ac:dyDescent="0.25">
      <c r="AR23" s="188"/>
      <c r="AT23" s="189" t="str">
        <f t="shared" si="14"/>
        <v>lot9</v>
      </c>
      <c r="AV23" s="173">
        <f t="shared" si="9"/>
        <v>0</v>
      </c>
      <c r="AW23" s="173">
        <f t="shared" si="9"/>
        <v>0</v>
      </c>
      <c r="AX23" s="173">
        <f t="shared" si="9"/>
        <v>0</v>
      </c>
      <c r="AY23" s="173">
        <f t="shared" si="9"/>
        <v>0</v>
      </c>
      <c r="AZ23" s="173">
        <f t="shared" si="9"/>
        <v>0</v>
      </c>
      <c r="BA23" s="173">
        <f t="shared" si="9"/>
        <v>0</v>
      </c>
      <c r="BB23" s="173">
        <f t="shared" si="9"/>
        <v>0</v>
      </c>
      <c r="BC23" s="173">
        <f t="shared" si="9"/>
        <v>0</v>
      </c>
      <c r="BD23" s="173">
        <f t="shared" si="9"/>
        <v>0</v>
      </c>
      <c r="BE23" s="173">
        <f t="shared" si="9"/>
        <v>0</v>
      </c>
      <c r="BF23" s="173">
        <f t="shared" si="9"/>
        <v>0</v>
      </c>
      <c r="BG23" s="173">
        <f t="shared" si="9"/>
        <v>0</v>
      </c>
      <c r="BH23" s="173">
        <f t="shared" si="9"/>
        <v>0</v>
      </c>
      <c r="BI23" s="173">
        <f t="shared" si="9"/>
        <v>0</v>
      </c>
      <c r="BJ23" s="173">
        <f t="shared" si="9"/>
        <v>0</v>
      </c>
      <c r="BK23" s="173">
        <f t="shared" si="9"/>
        <v>0</v>
      </c>
      <c r="BL23" s="173">
        <f t="shared" si="9"/>
        <v>0</v>
      </c>
      <c r="BM23" s="173">
        <f t="shared" si="9"/>
        <v>0</v>
      </c>
      <c r="BN23" s="173">
        <f t="shared" si="9"/>
        <v>0</v>
      </c>
      <c r="BO23" s="173">
        <f t="shared" si="9"/>
        <v>0</v>
      </c>
      <c r="BP23" s="173">
        <f t="shared" si="9"/>
        <v>0</v>
      </c>
      <c r="BQ23" s="173">
        <f t="shared" si="9"/>
        <v>0</v>
      </c>
      <c r="BR23" s="173">
        <f t="shared" si="9"/>
        <v>0</v>
      </c>
      <c r="BS23" s="173">
        <f t="shared" si="9"/>
        <v>0</v>
      </c>
      <c r="BZ23" s="189" t="str">
        <f t="shared" si="10"/>
        <v>lot9</v>
      </c>
      <c r="CB23" s="173">
        <f t="shared" si="11"/>
        <v>0</v>
      </c>
      <c r="CC23" s="173">
        <f t="shared" si="11"/>
        <v>0</v>
      </c>
      <c r="CD23" s="173">
        <f t="shared" si="11"/>
        <v>0</v>
      </c>
      <c r="CE23" s="173">
        <f t="shared" si="11"/>
        <v>0</v>
      </c>
      <c r="CF23" s="173">
        <f t="shared" si="11"/>
        <v>0</v>
      </c>
      <c r="CG23" s="173">
        <f t="shared" si="11"/>
        <v>0</v>
      </c>
      <c r="CH23" s="173">
        <f t="shared" si="11"/>
        <v>0</v>
      </c>
      <c r="CI23" s="173">
        <f t="shared" si="11"/>
        <v>0</v>
      </c>
      <c r="CJ23" s="173">
        <f t="shared" si="11"/>
        <v>0</v>
      </c>
      <c r="CK23" s="173">
        <f t="shared" si="11"/>
        <v>0</v>
      </c>
      <c r="CL23" s="173">
        <f t="shared" si="11"/>
        <v>0</v>
      </c>
      <c r="CM23" s="173">
        <f t="shared" si="11"/>
        <v>0</v>
      </c>
      <c r="CN23" s="173">
        <f t="shared" si="11"/>
        <v>0</v>
      </c>
      <c r="CO23" s="173">
        <f t="shared" si="11"/>
        <v>0</v>
      </c>
      <c r="CP23" s="173">
        <f t="shared" si="11"/>
        <v>0</v>
      </c>
      <c r="CQ23" s="173">
        <f t="shared" si="11"/>
        <v>0</v>
      </c>
      <c r="CR23" s="173">
        <f t="shared" si="11"/>
        <v>0</v>
      </c>
      <c r="CS23" s="173">
        <f t="shared" si="11"/>
        <v>0</v>
      </c>
      <c r="CT23" s="173">
        <f t="shared" si="11"/>
        <v>0</v>
      </c>
      <c r="CU23" s="173">
        <f t="shared" si="11"/>
        <v>0</v>
      </c>
      <c r="CV23" s="173">
        <f t="shared" si="11"/>
        <v>0</v>
      </c>
      <c r="CW23" s="173">
        <f t="shared" si="11"/>
        <v>0</v>
      </c>
      <c r="CX23" s="173">
        <f t="shared" si="11"/>
        <v>0</v>
      </c>
      <c r="CY23" s="173">
        <f t="shared" si="11"/>
        <v>0</v>
      </c>
      <c r="DC23" s="189" t="str">
        <f t="shared" si="12"/>
        <v>lot9</v>
      </c>
      <c r="DE23" s="173">
        <f t="shared" si="13"/>
        <v>0</v>
      </c>
      <c r="DF23" s="173">
        <f t="shared" si="13"/>
        <v>0</v>
      </c>
      <c r="DG23" s="173">
        <f t="shared" si="13"/>
        <v>0</v>
      </c>
      <c r="DH23" s="173">
        <f t="shared" si="13"/>
        <v>0</v>
      </c>
      <c r="DI23" s="173">
        <f t="shared" si="13"/>
        <v>0</v>
      </c>
      <c r="DJ23" s="173">
        <f t="shared" si="13"/>
        <v>0</v>
      </c>
      <c r="DK23" s="173">
        <f t="shared" si="13"/>
        <v>0</v>
      </c>
      <c r="DL23" s="173">
        <f t="shared" si="13"/>
        <v>0</v>
      </c>
      <c r="DM23" s="173">
        <f t="shared" si="13"/>
        <v>0</v>
      </c>
      <c r="DN23" s="173">
        <f t="shared" si="13"/>
        <v>0</v>
      </c>
      <c r="DO23" s="173">
        <f t="shared" si="13"/>
        <v>0</v>
      </c>
      <c r="DP23" s="173">
        <f t="shared" si="13"/>
        <v>0</v>
      </c>
      <c r="DQ23" s="173">
        <f t="shared" si="13"/>
        <v>0</v>
      </c>
      <c r="DR23" s="173">
        <f t="shared" si="13"/>
        <v>0</v>
      </c>
      <c r="DS23" s="173">
        <f t="shared" si="13"/>
        <v>0</v>
      </c>
      <c r="DT23" s="173">
        <f t="shared" si="13"/>
        <v>0</v>
      </c>
      <c r="DU23" s="173">
        <f t="shared" si="13"/>
        <v>0</v>
      </c>
      <c r="DV23" s="173">
        <f t="shared" si="13"/>
        <v>0</v>
      </c>
      <c r="DW23" s="173">
        <f t="shared" si="13"/>
        <v>0</v>
      </c>
      <c r="DX23" s="173">
        <f t="shared" si="13"/>
        <v>0</v>
      </c>
      <c r="DY23" s="173">
        <f t="shared" si="13"/>
        <v>0</v>
      </c>
      <c r="DZ23" s="173">
        <f t="shared" si="13"/>
        <v>0</v>
      </c>
      <c r="EA23" s="173">
        <f t="shared" si="13"/>
        <v>0</v>
      </c>
      <c r="EB23" s="173">
        <f t="shared" si="13"/>
        <v>0</v>
      </c>
    </row>
    <row r="24" spans="1:151" x14ac:dyDescent="0.25">
      <c r="AR24" s="188"/>
      <c r="AT24" s="189" t="str">
        <f t="shared" si="14"/>
        <v>lot10</v>
      </c>
      <c r="AV24" s="173">
        <f t="shared" si="9"/>
        <v>0</v>
      </c>
      <c r="AW24" s="173">
        <f t="shared" si="9"/>
        <v>0</v>
      </c>
      <c r="AX24" s="173">
        <f t="shared" si="9"/>
        <v>0</v>
      </c>
      <c r="AY24" s="173">
        <f t="shared" si="9"/>
        <v>0</v>
      </c>
      <c r="AZ24" s="173">
        <f t="shared" si="9"/>
        <v>0</v>
      </c>
      <c r="BA24" s="173">
        <f t="shared" si="9"/>
        <v>0</v>
      </c>
      <c r="BB24" s="173">
        <f t="shared" si="9"/>
        <v>0</v>
      </c>
      <c r="BC24" s="173">
        <f t="shared" si="9"/>
        <v>0</v>
      </c>
      <c r="BD24" s="173">
        <f t="shared" si="9"/>
        <v>0</v>
      </c>
      <c r="BE24" s="173">
        <f t="shared" si="9"/>
        <v>0</v>
      </c>
      <c r="BF24" s="173">
        <f t="shared" si="9"/>
        <v>0</v>
      </c>
      <c r="BG24" s="173">
        <f t="shared" si="9"/>
        <v>0</v>
      </c>
      <c r="BH24" s="173">
        <f t="shared" si="9"/>
        <v>0</v>
      </c>
      <c r="BI24" s="173">
        <f t="shared" si="9"/>
        <v>0</v>
      </c>
      <c r="BJ24" s="173">
        <f t="shared" si="9"/>
        <v>0</v>
      </c>
      <c r="BK24" s="173">
        <f t="shared" si="9"/>
        <v>0</v>
      </c>
      <c r="BL24" s="173">
        <f t="shared" si="9"/>
        <v>0</v>
      </c>
      <c r="BM24" s="173">
        <f t="shared" si="9"/>
        <v>0</v>
      </c>
      <c r="BN24" s="173">
        <f t="shared" si="9"/>
        <v>0</v>
      </c>
      <c r="BO24" s="173">
        <f t="shared" si="9"/>
        <v>0</v>
      </c>
      <c r="BP24" s="173">
        <f t="shared" si="9"/>
        <v>0</v>
      </c>
      <c r="BQ24" s="173">
        <f t="shared" si="9"/>
        <v>0</v>
      </c>
      <c r="BR24" s="173">
        <f t="shared" si="9"/>
        <v>0</v>
      </c>
      <c r="BS24" s="173">
        <f t="shared" si="9"/>
        <v>0</v>
      </c>
      <c r="BZ24" s="189" t="str">
        <f t="shared" si="10"/>
        <v>lot10</v>
      </c>
      <c r="CB24" s="173">
        <f t="shared" si="11"/>
        <v>0</v>
      </c>
      <c r="CC24" s="173">
        <f t="shared" si="11"/>
        <v>0</v>
      </c>
      <c r="CD24" s="173">
        <f t="shared" si="11"/>
        <v>0</v>
      </c>
      <c r="CE24" s="173">
        <f t="shared" si="11"/>
        <v>0</v>
      </c>
      <c r="CF24" s="173">
        <f t="shared" si="11"/>
        <v>0</v>
      </c>
      <c r="CG24" s="173">
        <f t="shared" si="11"/>
        <v>0</v>
      </c>
      <c r="CH24" s="173">
        <f t="shared" si="11"/>
        <v>0</v>
      </c>
      <c r="CI24" s="173">
        <f t="shared" si="11"/>
        <v>0</v>
      </c>
      <c r="CJ24" s="173">
        <f t="shared" si="11"/>
        <v>0</v>
      </c>
      <c r="CK24" s="173">
        <f t="shared" si="11"/>
        <v>0</v>
      </c>
      <c r="CL24" s="173">
        <f t="shared" si="11"/>
        <v>0</v>
      </c>
      <c r="CM24" s="173">
        <f t="shared" si="11"/>
        <v>0</v>
      </c>
      <c r="CN24" s="173">
        <f t="shared" si="11"/>
        <v>0</v>
      </c>
      <c r="CO24" s="173">
        <f t="shared" si="11"/>
        <v>0</v>
      </c>
      <c r="CP24" s="173">
        <f t="shared" si="11"/>
        <v>0</v>
      </c>
      <c r="CQ24" s="173">
        <f t="shared" si="11"/>
        <v>0</v>
      </c>
      <c r="CR24" s="173">
        <f t="shared" si="11"/>
        <v>0</v>
      </c>
      <c r="CS24" s="173">
        <f t="shared" si="11"/>
        <v>0</v>
      </c>
      <c r="CT24" s="173">
        <f t="shared" si="11"/>
        <v>0</v>
      </c>
      <c r="CU24" s="173">
        <f t="shared" si="11"/>
        <v>0</v>
      </c>
      <c r="CV24" s="173">
        <f t="shared" si="11"/>
        <v>0</v>
      </c>
      <c r="CW24" s="173">
        <f t="shared" si="11"/>
        <v>0</v>
      </c>
      <c r="CX24" s="173">
        <f t="shared" si="11"/>
        <v>0</v>
      </c>
      <c r="CY24" s="173">
        <f t="shared" si="11"/>
        <v>0</v>
      </c>
      <c r="DC24" s="189" t="str">
        <f t="shared" si="12"/>
        <v>lot10</v>
      </c>
      <c r="DE24" s="173">
        <f t="shared" si="13"/>
        <v>0</v>
      </c>
      <c r="DF24" s="173">
        <f t="shared" si="13"/>
        <v>0</v>
      </c>
      <c r="DG24" s="173">
        <f t="shared" si="13"/>
        <v>0</v>
      </c>
      <c r="DH24" s="173">
        <f t="shared" si="13"/>
        <v>0</v>
      </c>
      <c r="DI24" s="173">
        <f t="shared" si="13"/>
        <v>0</v>
      </c>
      <c r="DJ24" s="173">
        <f t="shared" si="13"/>
        <v>0</v>
      </c>
      <c r="DK24" s="173">
        <f t="shared" si="13"/>
        <v>0</v>
      </c>
      <c r="DL24" s="173">
        <f t="shared" si="13"/>
        <v>0</v>
      </c>
      <c r="DM24" s="173">
        <f t="shared" si="13"/>
        <v>0</v>
      </c>
      <c r="DN24" s="173">
        <f t="shared" si="13"/>
        <v>0</v>
      </c>
      <c r="DO24" s="173">
        <f t="shared" si="13"/>
        <v>0</v>
      </c>
      <c r="DP24" s="173">
        <f t="shared" si="13"/>
        <v>0</v>
      </c>
      <c r="DQ24" s="173">
        <f t="shared" si="13"/>
        <v>0</v>
      </c>
      <c r="DR24" s="173">
        <f t="shared" si="13"/>
        <v>0</v>
      </c>
      <c r="DS24" s="173">
        <f t="shared" si="13"/>
        <v>0</v>
      </c>
      <c r="DT24" s="173">
        <f t="shared" si="13"/>
        <v>0</v>
      </c>
      <c r="DU24" s="173">
        <f t="shared" si="13"/>
        <v>0</v>
      </c>
      <c r="DV24" s="173">
        <f t="shared" si="13"/>
        <v>0</v>
      </c>
      <c r="DW24" s="173">
        <f t="shared" si="13"/>
        <v>0</v>
      </c>
      <c r="DX24" s="173">
        <f t="shared" si="13"/>
        <v>0</v>
      </c>
      <c r="DY24" s="173">
        <f t="shared" si="13"/>
        <v>0</v>
      </c>
      <c r="DZ24" s="173">
        <f t="shared" si="13"/>
        <v>0</v>
      </c>
      <c r="EA24" s="173">
        <f t="shared" si="13"/>
        <v>0</v>
      </c>
      <c r="EB24" s="173">
        <f t="shared" si="13"/>
        <v>0</v>
      </c>
    </row>
    <row r="25" spans="1:151" x14ac:dyDescent="0.25">
      <c r="AR25" s="188"/>
      <c r="AT25" s="191" t="s">
        <v>762</v>
      </c>
      <c r="AU25" s="182"/>
      <c r="BZ25" s="191" t="s">
        <v>762</v>
      </c>
      <c r="CA25" s="182"/>
      <c r="CB25" s="171"/>
      <c r="CC25" s="171"/>
      <c r="CD25" s="171"/>
      <c r="CE25" s="171"/>
      <c r="CF25" s="171"/>
      <c r="CG25" s="171"/>
      <c r="CH25" s="171"/>
      <c r="CI25" s="171"/>
      <c r="CJ25" s="171"/>
      <c r="CK25" s="171"/>
      <c r="CL25" s="171"/>
      <c r="CM25" s="171"/>
      <c r="CN25" s="171"/>
      <c r="CO25" s="171"/>
      <c r="CP25" s="171"/>
      <c r="CQ25" s="171"/>
      <c r="CR25" s="171"/>
      <c r="CS25" s="171"/>
      <c r="CT25" s="171"/>
      <c r="CU25" s="171"/>
      <c r="CV25" s="171"/>
      <c r="CW25" s="171"/>
      <c r="CX25" s="171"/>
      <c r="CY25" s="171"/>
      <c r="DC25" s="191" t="s">
        <v>762</v>
      </c>
      <c r="DD25" s="182"/>
      <c r="DE25" s="171"/>
      <c r="DF25" s="171"/>
      <c r="DG25" s="171"/>
      <c r="DH25" s="171"/>
      <c r="DI25" s="171"/>
      <c r="DJ25" s="171"/>
      <c r="DK25" s="171"/>
      <c r="DL25" s="171"/>
      <c r="DM25" s="171"/>
      <c r="DN25" s="171"/>
      <c r="DO25" s="171"/>
      <c r="DP25" s="171"/>
      <c r="DQ25" s="171"/>
      <c r="DR25" s="171"/>
      <c r="DS25" s="171"/>
      <c r="DT25" s="171"/>
      <c r="DU25" s="171"/>
      <c r="DV25" s="171"/>
      <c r="DW25" s="171"/>
      <c r="DX25" s="171"/>
      <c r="DY25" s="171"/>
      <c r="DZ25" s="171"/>
      <c r="EA25" s="171"/>
      <c r="EB25" s="171"/>
    </row>
    <row r="26" spans="1:151" x14ac:dyDescent="0.25">
      <c r="AR26" s="188"/>
      <c r="AT26" s="189" t="str">
        <f>CdTrp1!A15</f>
        <v>brebis</v>
      </c>
      <c r="AU26" s="192" t="str">
        <f>Scénario!K96</f>
        <v>fort</v>
      </c>
      <c r="AV26" s="173">
        <f t="shared" ref="AV26:BK35" si="17">IF($AU26="fort",2,IF($AU26="faible",1,0))</f>
        <v>2</v>
      </c>
      <c r="AW26" s="173">
        <f t="shared" si="17"/>
        <v>2</v>
      </c>
      <c r="AX26" s="173">
        <f t="shared" si="17"/>
        <v>2</v>
      </c>
      <c r="AY26" s="173">
        <f t="shared" si="17"/>
        <v>2</v>
      </c>
      <c r="AZ26" s="173">
        <f t="shared" si="17"/>
        <v>2</v>
      </c>
      <c r="BA26" s="173">
        <f t="shared" si="17"/>
        <v>2</v>
      </c>
      <c r="BB26" s="173">
        <f t="shared" si="17"/>
        <v>2</v>
      </c>
      <c r="BC26" s="173">
        <f t="shared" si="17"/>
        <v>2</v>
      </c>
      <c r="BD26" s="173">
        <f t="shared" si="17"/>
        <v>2</v>
      </c>
      <c r="BE26" s="173">
        <f t="shared" si="17"/>
        <v>2</v>
      </c>
      <c r="BF26" s="173">
        <f t="shared" si="17"/>
        <v>2</v>
      </c>
      <c r="BG26" s="173">
        <f t="shared" si="17"/>
        <v>2</v>
      </c>
      <c r="BH26" s="173">
        <f t="shared" si="17"/>
        <v>2</v>
      </c>
      <c r="BI26" s="173">
        <f t="shared" si="17"/>
        <v>2</v>
      </c>
      <c r="BJ26" s="173">
        <f t="shared" si="17"/>
        <v>2</v>
      </c>
      <c r="BK26" s="173">
        <f t="shared" si="17"/>
        <v>2</v>
      </c>
      <c r="BL26" s="173">
        <f t="shared" ref="BL26:BS35" si="18">IF($AU26="fort",2,IF($AU26="faible",1,0))</f>
        <v>2</v>
      </c>
      <c r="BM26" s="173">
        <f t="shared" si="18"/>
        <v>2</v>
      </c>
      <c r="BN26" s="173">
        <f t="shared" si="18"/>
        <v>2</v>
      </c>
      <c r="BO26" s="173">
        <f t="shared" si="18"/>
        <v>2</v>
      </c>
      <c r="BP26" s="173">
        <f t="shared" si="18"/>
        <v>2</v>
      </c>
      <c r="BQ26" s="173">
        <f t="shared" si="18"/>
        <v>2</v>
      </c>
      <c r="BR26" s="173">
        <f t="shared" si="18"/>
        <v>2</v>
      </c>
      <c r="BS26" s="173">
        <f t="shared" si="18"/>
        <v>2</v>
      </c>
      <c r="BV26" t="s">
        <v>763</v>
      </c>
      <c r="BZ26" s="189" t="str">
        <f t="shared" ref="BZ26:BZ35" si="19">+BZ4</f>
        <v xml:space="preserve">vaches </v>
      </c>
      <c r="CA26" s="192" t="str">
        <f>Scénario!K106</f>
        <v>fort</v>
      </c>
      <c r="CB26" s="173">
        <f>IF($CA26="fort",2,IF($CA26="faible",1,0))</f>
        <v>2</v>
      </c>
      <c r="CC26" s="173">
        <f t="shared" ref="CC26:CY35" si="20">IF($CA26="fort",2,IF($CA26="faible",1,0))</f>
        <v>2</v>
      </c>
      <c r="CD26" s="173">
        <f t="shared" si="20"/>
        <v>2</v>
      </c>
      <c r="CE26" s="173">
        <f t="shared" si="20"/>
        <v>2</v>
      </c>
      <c r="CF26" s="173">
        <f t="shared" si="20"/>
        <v>2</v>
      </c>
      <c r="CG26" s="173">
        <f t="shared" si="20"/>
        <v>2</v>
      </c>
      <c r="CH26" s="173">
        <f t="shared" si="20"/>
        <v>2</v>
      </c>
      <c r="CI26" s="173">
        <f t="shared" si="20"/>
        <v>2</v>
      </c>
      <c r="CJ26" s="173">
        <f t="shared" si="20"/>
        <v>2</v>
      </c>
      <c r="CK26" s="173">
        <f t="shared" si="20"/>
        <v>2</v>
      </c>
      <c r="CL26" s="173">
        <f t="shared" si="20"/>
        <v>2</v>
      </c>
      <c r="CM26" s="173">
        <f t="shared" si="20"/>
        <v>2</v>
      </c>
      <c r="CN26" s="173">
        <f t="shared" si="20"/>
        <v>2</v>
      </c>
      <c r="CO26" s="173">
        <f t="shared" si="20"/>
        <v>2</v>
      </c>
      <c r="CP26" s="173">
        <f t="shared" si="20"/>
        <v>2</v>
      </c>
      <c r="CQ26" s="173">
        <f t="shared" si="20"/>
        <v>2</v>
      </c>
      <c r="CR26" s="173">
        <f t="shared" si="20"/>
        <v>2</v>
      </c>
      <c r="CS26" s="173">
        <f t="shared" si="20"/>
        <v>2</v>
      </c>
      <c r="CT26" s="173">
        <f t="shared" si="20"/>
        <v>2</v>
      </c>
      <c r="CU26" s="173">
        <f t="shared" si="20"/>
        <v>2</v>
      </c>
      <c r="CV26" s="173">
        <f t="shared" si="20"/>
        <v>2</v>
      </c>
      <c r="CW26" s="173">
        <f t="shared" si="20"/>
        <v>2</v>
      </c>
      <c r="CX26" s="173">
        <f t="shared" si="20"/>
        <v>2</v>
      </c>
      <c r="CY26" s="173">
        <f t="shared" si="20"/>
        <v>2</v>
      </c>
      <c r="DC26" s="189" t="str">
        <f t="shared" ref="DC26:DC35" si="21">+DC4</f>
        <v>lot1</v>
      </c>
      <c r="DD26" s="192">
        <f>Scénario!K116</f>
        <v>0</v>
      </c>
      <c r="DE26" s="173">
        <f>IF($DD26="fort",2,IF($DD26="faible",1,0))</f>
        <v>0</v>
      </c>
      <c r="DF26" s="173">
        <f t="shared" ref="DF26:EB35" si="22">IF($DD26="fort",2,IF($DD26="faible",1,0))</f>
        <v>0</v>
      </c>
      <c r="DG26" s="173">
        <f t="shared" si="22"/>
        <v>0</v>
      </c>
      <c r="DH26" s="173">
        <f t="shared" si="22"/>
        <v>0</v>
      </c>
      <c r="DI26" s="173">
        <f t="shared" si="22"/>
        <v>0</v>
      </c>
      <c r="DJ26" s="173">
        <f t="shared" si="22"/>
        <v>0</v>
      </c>
      <c r="DK26" s="173">
        <f t="shared" si="22"/>
        <v>0</v>
      </c>
      <c r="DL26" s="173">
        <f t="shared" si="22"/>
        <v>0</v>
      </c>
      <c r="DM26" s="173">
        <f t="shared" si="22"/>
        <v>0</v>
      </c>
      <c r="DN26" s="173">
        <f t="shared" si="22"/>
        <v>0</v>
      </c>
      <c r="DO26" s="173">
        <f t="shared" si="22"/>
        <v>0</v>
      </c>
      <c r="DP26" s="173">
        <f t="shared" si="22"/>
        <v>0</v>
      </c>
      <c r="DQ26" s="173">
        <f t="shared" si="22"/>
        <v>0</v>
      </c>
      <c r="DR26" s="173">
        <f t="shared" si="22"/>
        <v>0</v>
      </c>
      <c r="DS26" s="173">
        <f t="shared" si="22"/>
        <v>0</v>
      </c>
      <c r="DT26" s="173">
        <f t="shared" si="22"/>
        <v>0</v>
      </c>
      <c r="DU26" s="173">
        <f t="shared" si="22"/>
        <v>0</v>
      </c>
      <c r="DV26" s="173">
        <f t="shared" si="22"/>
        <v>0</v>
      </c>
      <c r="DW26" s="173">
        <f t="shared" si="22"/>
        <v>0</v>
      </c>
      <c r="DX26" s="173">
        <f t="shared" si="22"/>
        <v>0</v>
      </c>
      <c r="DY26" s="173">
        <f t="shared" si="22"/>
        <v>0</v>
      </c>
      <c r="DZ26" s="173">
        <f t="shared" si="22"/>
        <v>0</v>
      </c>
      <c r="EA26" s="173">
        <f t="shared" si="22"/>
        <v>0</v>
      </c>
      <c r="EB26" s="173">
        <f t="shared" si="22"/>
        <v>0</v>
      </c>
    </row>
    <row r="27" spans="1:151" x14ac:dyDescent="0.25">
      <c r="AR27" s="188"/>
      <c r="AT27" s="189" t="str">
        <f>CdTrp1!A16</f>
        <v>vides</v>
      </c>
      <c r="AU27" s="192" t="str">
        <f>Scénario!K97</f>
        <v>fort</v>
      </c>
      <c r="AV27" s="173">
        <f t="shared" si="17"/>
        <v>2</v>
      </c>
      <c r="AW27" s="173">
        <f t="shared" si="17"/>
        <v>2</v>
      </c>
      <c r="AX27" s="173">
        <f t="shared" si="17"/>
        <v>2</v>
      </c>
      <c r="AY27" s="173">
        <f t="shared" si="17"/>
        <v>2</v>
      </c>
      <c r="AZ27" s="173">
        <f t="shared" si="17"/>
        <v>2</v>
      </c>
      <c r="BA27" s="173">
        <f t="shared" si="17"/>
        <v>2</v>
      </c>
      <c r="BB27" s="173">
        <f t="shared" si="17"/>
        <v>2</v>
      </c>
      <c r="BC27" s="173">
        <f t="shared" si="17"/>
        <v>2</v>
      </c>
      <c r="BD27" s="173">
        <f t="shared" si="17"/>
        <v>2</v>
      </c>
      <c r="BE27" s="173">
        <f t="shared" si="17"/>
        <v>2</v>
      </c>
      <c r="BF27" s="173">
        <f t="shared" si="17"/>
        <v>2</v>
      </c>
      <c r="BG27" s="173">
        <f t="shared" si="17"/>
        <v>2</v>
      </c>
      <c r="BH27" s="173">
        <f t="shared" si="17"/>
        <v>2</v>
      </c>
      <c r="BI27" s="173">
        <f t="shared" si="17"/>
        <v>2</v>
      </c>
      <c r="BJ27" s="173">
        <f t="shared" si="17"/>
        <v>2</v>
      </c>
      <c r="BK27" s="173">
        <f t="shared" si="17"/>
        <v>2</v>
      </c>
      <c r="BL27" s="173">
        <f t="shared" si="18"/>
        <v>2</v>
      </c>
      <c r="BM27" s="173">
        <f t="shared" si="18"/>
        <v>2</v>
      </c>
      <c r="BN27" s="173">
        <f t="shared" si="18"/>
        <v>2</v>
      </c>
      <c r="BO27" s="173">
        <f t="shared" si="18"/>
        <v>2</v>
      </c>
      <c r="BP27" s="173">
        <f t="shared" si="18"/>
        <v>2</v>
      </c>
      <c r="BQ27" s="173">
        <f t="shared" si="18"/>
        <v>2</v>
      </c>
      <c r="BR27" s="173">
        <f t="shared" si="18"/>
        <v>2</v>
      </c>
      <c r="BS27" s="173">
        <f t="shared" si="18"/>
        <v>2</v>
      </c>
      <c r="BU27">
        <v>2</v>
      </c>
      <c r="BV27" t="s">
        <v>633</v>
      </c>
      <c r="BZ27" s="189" t="str">
        <f t="shared" si="19"/>
        <v>genisses -1an</v>
      </c>
      <c r="CA27" s="192" t="str">
        <f>Scénario!K107</f>
        <v>fort</v>
      </c>
      <c r="CB27" s="173">
        <f t="shared" ref="CB27:CQ35" si="23">IF($CA27="fort",2,IF($CA27="faible",1,0))</f>
        <v>2</v>
      </c>
      <c r="CC27" s="173">
        <f t="shared" si="23"/>
        <v>2</v>
      </c>
      <c r="CD27" s="173">
        <f t="shared" si="23"/>
        <v>2</v>
      </c>
      <c r="CE27" s="173">
        <f t="shared" si="23"/>
        <v>2</v>
      </c>
      <c r="CF27" s="173">
        <f t="shared" si="23"/>
        <v>2</v>
      </c>
      <c r="CG27" s="173">
        <f t="shared" si="23"/>
        <v>2</v>
      </c>
      <c r="CH27" s="173">
        <f t="shared" si="23"/>
        <v>2</v>
      </c>
      <c r="CI27" s="173">
        <f t="shared" si="23"/>
        <v>2</v>
      </c>
      <c r="CJ27" s="173">
        <f t="shared" si="23"/>
        <v>2</v>
      </c>
      <c r="CK27" s="173">
        <f t="shared" si="23"/>
        <v>2</v>
      </c>
      <c r="CL27" s="173">
        <f t="shared" si="23"/>
        <v>2</v>
      </c>
      <c r="CM27" s="173">
        <f t="shared" si="23"/>
        <v>2</v>
      </c>
      <c r="CN27" s="173">
        <f t="shared" si="23"/>
        <v>2</v>
      </c>
      <c r="CO27" s="173">
        <f t="shared" si="23"/>
        <v>2</v>
      </c>
      <c r="CP27" s="173">
        <f t="shared" si="23"/>
        <v>2</v>
      </c>
      <c r="CQ27" s="173">
        <f t="shared" si="23"/>
        <v>2</v>
      </c>
      <c r="CR27" s="173">
        <f t="shared" si="20"/>
        <v>2</v>
      </c>
      <c r="CS27" s="173">
        <f t="shared" si="20"/>
        <v>2</v>
      </c>
      <c r="CT27" s="173">
        <f t="shared" si="20"/>
        <v>2</v>
      </c>
      <c r="CU27" s="173">
        <f t="shared" si="20"/>
        <v>2</v>
      </c>
      <c r="CV27" s="173">
        <f t="shared" si="20"/>
        <v>2</v>
      </c>
      <c r="CW27" s="173">
        <f t="shared" si="20"/>
        <v>2</v>
      </c>
      <c r="CX27" s="173">
        <f t="shared" si="20"/>
        <v>2</v>
      </c>
      <c r="CY27" s="173">
        <f t="shared" si="20"/>
        <v>2</v>
      </c>
      <c r="DC27" s="189" t="str">
        <f t="shared" si="21"/>
        <v>lot2</v>
      </c>
      <c r="DD27" s="192">
        <f>Scénario!K117</f>
        <v>0</v>
      </c>
      <c r="DE27" s="173">
        <f t="shared" ref="DE27:DE35" si="24">IF($DD27="fort",2,IF($DD27="faible",1,0))</f>
        <v>0</v>
      </c>
      <c r="DF27" s="173">
        <f t="shared" si="22"/>
        <v>0</v>
      </c>
      <c r="DG27" s="173">
        <f t="shared" si="22"/>
        <v>0</v>
      </c>
      <c r="DH27" s="173">
        <f t="shared" si="22"/>
        <v>0</v>
      </c>
      <c r="DI27" s="173">
        <f t="shared" si="22"/>
        <v>0</v>
      </c>
      <c r="DJ27" s="173">
        <f t="shared" si="22"/>
        <v>0</v>
      </c>
      <c r="DK27" s="173">
        <f t="shared" si="22"/>
        <v>0</v>
      </c>
      <c r="DL27" s="173">
        <f t="shared" si="22"/>
        <v>0</v>
      </c>
      <c r="DM27" s="173">
        <f t="shared" si="22"/>
        <v>0</v>
      </c>
      <c r="DN27" s="173">
        <f t="shared" si="22"/>
        <v>0</v>
      </c>
      <c r="DO27" s="173">
        <f t="shared" si="22"/>
        <v>0</v>
      </c>
      <c r="DP27" s="173">
        <f t="shared" si="22"/>
        <v>0</v>
      </c>
      <c r="DQ27" s="173">
        <f t="shared" si="22"/>
        <v>0</v>
      </c>
      <c r="DR27" s="173">
        <f t="shared" si="22"/>
        <v>0</v>
      </c>
      <c r="DS27" s="173">
        <f t="shared" si="22"/>
        <v>0</v>
      </c>
      <c r="DT27" s="173">
        <f t="shared" si="22"/>
        <v>0</v>
      </c>
      <c r="DU27" s="173">
        <f t="shared" si="22"/>
        <v>0</v>
      </c>
      <c r="DV27" s="173">
        <f t="shared" si="22"/>
        <v>0</v>
      </c>
      <c r="DW27" s="173">
        <f t="shared" si="22"/>
        <v>0</v>
      </c>
      <c r="DX27" s="173">
        <f t="shared" si="22"/>
        <v>0</v>
      </c>
      <c r="DY27" s="173">
        <f t="shared" si="22"/>
        <v>0</v>
      </c>
      <c r="DZ27" s="173">
        <f t="shared" si="22"/>
        <v>0</v>
      </c>
      <c r="EA27" s="173">
        <f t="shared" si="22"/>
        <v>0</v>
      </c>
      <c r="EB27" s="173">
        <f t="shared" si="22"/>
        <v>0</v>
      </c>
    </row>
    <row r="28" spans="1:151" x14ac:dyDescent="0.25">
      <c r="AR28" s="188" t="s">
        <v>747</v>
      </c>
      <c r="AT28" s="189" t="str">
        <f>CdTrp1!A17</f>
        <v>agnelles</v>
      </c>
      <c r="AU28" s="192" t="str">
        <f>Scénario!K98</f>
        <v>fort</v>
      </c>
      <c r="AV28" s="173">
        <f t="shared" si="17"/>
        <v>2</v>
      </c>
      <c r="AW28" s="173">
        <f t="shared" si="17"/>
        <v>2</v>
      </c>
      <c r="AX28" s="173">
        <f t="shared" si="17"/>
        <v>2</v>
      </c>
      <c r="AY28" s="173">
        <f t="shared" si="17"/>
        <v>2</v>
      </c>
      <c r="AZ28" s="173">
        <f t="shared" si="17"/>
        <v>2</v>
      </c>
      <c r="BA28" s="173">
        <f t="shared" si="17"/>
        <v>2</v>
      </c>
      <c r="BB28" s="173">
        <f t="shared" si="17"/>
        <v>2</v>
      </c>
      <c r="BC28" s="173">
        <f t="shared" si="17"/>
        <v>2</v>
      </c>
      <c r="BD28" s="173">
        <f t="shared" si="17"/>
        <v>2</v>
      </c>
      <c r="BE28" s="173">
        <f t="shared" si="17"/>
        <v>2</v>
      </c>
      <c r="BF28" s="173">
        <f t="shared" si="17"/>
        <v>2</v>
      </c>
      <c r="BG28" s="173">
        <f t="shared" si="17"/>
        <v>2</v>
      </c>
      <c r="BH28" s="173">
        <f t="shared" si="17"/>
        <v>2</v>
      </c>
      <c r="BI28" s="173">
        <f t="shared" si="17"/>
        <v>2</v>
      </c>
      <c r="BJ28" s="173">
        <f t="shared" si="17"/>
        <v>2</v>
      </c>
      <c r="BK28" s="173">
        <f t="shared" si="17"/>
        <v>2</v>
      </c>
      <c r="BL28" s="173">
        <f t="shared" si="18"/>
        <v>2</v>
      </c>
      <c r="BM28" s="173">
        <f t="shared" si="18"/>
        <v>2</v>
      </c>
      <c r="BN28" s="173">
        <f t="shared" si="18"/>
        <v>2</v>
      </c>
      <c r="BO28" s="173">
        <f t="shared" si="18"/>
        <v>2</v>
      </c>
      <c r="BP28" s="173">
        <f t="shared" si="18"/>
        <v>2</v>
      </c>
      <c r="BQ28" s="173">
        <f t="shared" si="18"/>
        <v>2</v>
      </c>
      <c r="BR28" s="173">
        <f t="shared" si="18"/>
        <v>2</v>
      </c>
      <c r="BS28" s="173">
        <f t="shared" si="18"/>
        <v>2</v>
      </c>
      <c r="BU28">
        <v>1</v>
      </c>
      <c r="BV28" t="s">
        <v>634</v>
      </c>
      <c r="BZ28" s="189" t="str">
        <f t="shared" si="19"/>
        <v>genisses +1an</v>
      </c>
      <c r="CA28" s="192" t="str">
        <f>Scénario!K108</f>
        <v>faible</v>
      </c>
      <c r="CB28" s="173">
        <f t="shared" si="23"/>
        <v>1</v>
      </c>
      <c r="CC28" s="173">
        <f t="shared" si="20"/>
        <v>1</v>
      </c>
      <c r="CD28" s="173">
        <f t="shared" si="20"/>
        <v>1</v>
      </c>
      <c r="CE28" s="173">
        <f t="shared" si="20"/>
        <v>1</v>
      </c>
      <c r="CF28" s="173">
        <f t="shared" si="20"/>
        <v>1</v>
      </c>
      <c r="CG28" s="173">
        <f t="shared" si="20"/>
        <v>1</v>
      </c>
      <c r="CH28" s="173">
        <f t="shared" si="20"/>
        <v>1</v>
      </c>
      <c r="CI28" s="173">
        <f t="shared" si="20"/>
        <v>1</v>
      </c>
      <c r="CJ28" s="173">
        <f t="shared" si="20"/>
        <v>1</v>
      </c>
      <c r="CK28" s="173">
        <f t="shared" si="20"/>
        <v>1</v>
      </c>
      <c r="CL28" s="173">
        <f t="shared" si="20"/>
        <v>1</v>
      </c>
      <c r="CM28" s="173">
        <f t="shared" si="20"/>
        <v>1</v>
      </c>
      <c r="CN28" s="173">
        <f t="shared" si="20"/>
        <v>1</v>
      </c>
      <c r="CO28" s="173">
        <f t="shared" si="20"/>
        <v>1</v>
      </c>
      <c r="CP28" s="173">
        <f t="shared" si="20"/>
        <v>1</v>
      </c>
      <c r="CQ28" s="173">
        <f t="shared" si="20"/>
        <v>1</v>
      </c>
      <c r="CR28" s="173">
        <f t="shared" si="20"/>
        <v>1</v>
      </c>
      <c r="CS28" s="173">
        <f t="shared" si="20"/>
        <v>1</v>
      </c>
      <c r="CT28" s="173">
        <f t="shared" si="20"/>
        <v>1</v>
      </c>
      <c r="CU28" s="173">
        <f t="shared" si="20"/>
        <v>1</v>
      </c>
      <c r="CV28" s="173">
        <f t="shared" si="20"/>
        <v>1</v>
      </c>
      <c r="CW28" s="173">
        <f t="shared" si="20"/>
        <v>1</v>
      </c>
      <c r="CX28" s="173">
        <f t="shared" si="20"/>
        <v>1</v>
      </c>
      <c r="CY28" s="173">
        <f t="shared" si="20"/>
        <v>1</v>
      </c>
      <c r="DC28" s="189" t="str">
        <f t="shared" si="21"/>
        <v>lot3</v>
      </c>
      <c r="DD28" s="192">
        <f>Scénario!K118</f>
        <v>0</v>
      </c>
      <c r="DE28" s="173">
        <f t="shared" si="24"/>
        <v>0</v>
      </c>
      <c r="DF28" s="173">
        <f t="shared" si="22"/>
        <v>0</v>
      </c>
      <c r="DG28" s="173">
        <f t="shared" si="22"/>
        <v>0</v>
      </c>
      <c r="DH28" s="173">
        <f t="shared" si="22"/>
        <v>0</v>
      </c>
      <c r="DI28" s="173">
        <f t="shared" si="22"/>
        <v>0</v>
      </c>
      <c r="DJ28" s="173">
        <f t="shared" si="22"/>
        <v>0</v>
      </c>
      <c r="DK28" s="173">
        <f t="shared" si="22"/>
        <v>0</v>
      </c>
      <c r="DL28" s="173">
        <f t="shared" si="22"/>
        <v>0</v>
      </c>
      <c r="DM28" s="173">
        <f t="shared" si="22"/>
        <v>0</v>
      </c>
      <c r="DN28" s="173">
        <f t="shared" si="22"/>
        <v>0</v>
      </c>
      <c r="DO28" s="173">
        <f t="shared" si="22"/>
        <v>0</v>
      </c>
      <c r="DP28" s="173">
        <f t="shared" si="22"/>
        <v>0</v>
      </c>
      <c r="DQ28" s="173">
        <f t="shared" si="22"/>
        <v>0</v>
      </c>
      <c r="DR28" s="173">
        <f t="shared" si="22"/>
        <v>0</v>
      </c>
      <c r="DS28" s="173">
        <f t="shared" si="22"/>
        <v>0</v>
      </c>
      <c r="DT28" s="173">
        <f t="shared" si="22"/>
        <v>0</v>
      </c>
      <c r="DU28" s="173">
        <f t="shared" si="22"/>
        <v>0</v>
      </c>
      <c r="DV28" s="173">
        <f t="shared" si="22"/>
        <v>0</v>
      </c>
      <c r="DW28" s="173">
        <f t="shared" si="22"/>
        <v>0</v>
      </c>
      <c r="DX28" s="173">
        <f t="shared" si="22"/>
        <v>0</v>
      </c>
      <c r="DY28" s="173">
        <f t="shared" si="22"/>
        <v>0</v>
      </c>
      <c r="DZ28" s="173">
        <f t="shared" si="22"/>
        <v>0</v>
      </c>
      <c r="EA28" s="173">
        <f t="shared" si="22"/>
        <v>0</v>
      </c>
      <c r="EB28" s="173">
        <f t="shared" si="22"/>
        <v>0</v>
      </c>
    </row>
    <row r="29" spans="1:151" x14ac:dyDescent="0.25">
      <c r="AR29" s="188" t="s">
        <v>747</v>
      </c>
      <c r="AT29" s="189" t="str">
        <f>CdTrp1!A18</f>
        <v>beliers</v>
      </c>
      <c r="AU29" s="192" t="str">
        <f>Scénario!K99</f>
        <v>fort</v>
      </c>
      <c r="AV29" s="173">
        <f t="shared" si="17"/>
        <v>2</v>
      </c>
      <c r="AW29" s="173">
        <f t="shared" si="17"/>
        <v>2</v>
      </c>
      <c r="AX29" s="173">
        <f t="shared" si="17"/>
        <v>2</v>
      </c>
      <c r="AY29" s="173">
        <f t="shared" si="17"/>
        <v>2</v>
      </c>
      <c r="AZ29" s="173">
        <f t="shared" si="17"/>
        <v>2</v>
      </c>
      <c r="BA29" s="173">
        <f t="shared" si="17"/>
        <v>2</v>
      </c>
      <c r="BB29" s="173">
        <f t="shared" si="17"/>
        <v>2</v>
      </c>
      <c r="BC29" s="173">
        <f t="shared" si="17"/>
        <v>2</v>
      </c>
      <c r="BD29" s="173">
        <f t="shared" si="17"/>
        <v>2</v>
      </c>
      <c r="BE29" s="173">
        <f t="shared" si="17"/>
        <v>2</v>
      </c>
      <c r="BF29" s="173">
        <f t="shared" si="17"/>
        <v>2</v>
      </c>
      <c r="BG29" s="173">
        <f t="shared" si="17"/>
        <v>2</v>
      </c>
      <c r="BH29" s="173">
        <f t="shared" si="17"/>
        <v>2</v>
      </c>
      <c r="BI29" s="173">
        <f t="shared" si="17"/>
        <v>2</v>
      </c>
      <c r="BJ29" s="173">
        <f t="shared" si="17"/>
        <v>2</v>
      </c>
      <c r="BK29" s="173">
        <f t="shared" si="17"/>
        <v>2</v>
      </c>
      <c r="BL29" s="173">
        <f t="shared" si="18"/>
        <v>2</v>
      </c>
      <c r="BM29" s="173">
        <f t="shared" si="18"/>
        <v>2</v>
      </c>
      <c r="BN29" s="173">
        <f t="shared" si="18"/>
        <v>2</v>
      </c>
      <c r="BO29" s="173">
        <f t="shared" si="18"/>
        <v>2</v>
      </c>
      <c r="BP29" s="173">
        <f t="shared" si="18"/>
        <v>2</v>
      </c>
      <c r="BQ29" s="173">
        <f t="shared" si="18"/>
        <v>2</v>
      </c>
      <c r="BR29" s="173">
        <f t="shared" si="18"/>
        <v>2</v>
      </c>
      <c r="BS29" s="173">
        <f t="shared" si="18"/>
        <v>2</v>
      </c>
      <c r="BZ29" s="189" t="str">
        <f t="shared" si="19"/>
        <v>lot4</v>
      </c>
      <c r="CA29" s="192">
        <f>Scénario!K109</f>
        <v>0</v>
      </c>
      <c r="CB29" s="173">
        <f t="shared" si="23"/>
        <v>0</v>
      </c>
      <c r="CC29" s="173">
        <f t="shared" si="20"/>
        <v>0</v>
      </c>
      <c r="CD29" s="173">
        <f t="shared" si="20"/>
        <v>0</v>
      </c>
      <c r="CE29" s="173">
        <f t="shared" si="20"/>
        <v>0</v>
      </c>
      <c r="CF29" s="173">
        <f t="shared" si="20"/>
        <v>0</v>
      </c>
      <c r="CG29" s="173">
        <f t="shared" si="20"/>
        <v>0</v>
      </c>
      <c r="CH29" s="173">
        <f t="shared" si="20"/>
        <v>0</v>
      </c>
      <c r="CI29" s="173">
        <f t="shared" si="20"/>
        <v>0</v>
      </c>
      <c r="CJ29" s="173">
        <f t="shared" si="20"/>
        <v>0</v>
      </c>
      <c r="CK29" s="173">
        <f t="shared" si="20"/>
        <v>0</v>
      </c>
      <c r="CL29" s="173">
        <f t="shared" si="20"/>
        <v>0</v>
      </c>
      <c r="CM29" s="173">
        <f t="shared" si="20"/>
        <v>0</v>
      </c>
      <c r="CN29" s="173">
        <f t="shared" si="20"/>
        <v>0</v>
      </c>
      <c r="CO29" s="173">
        <f t="shared" si="20"/>
        <v>0</v>
      </c>
      <c r="CP29" s="173">
        <f t="shared" si="20"/>
        <v>0</v>
      </c>
      <c r="CQ29" s="173">
        <f t="shared" si="20"/>
        <v>0</v>
      </c>
      <c r="CR29" s="173">
        <f t="shared" si="20"/>
        <v>0</v>
      </c>
      <c r="CS29" s="173">
        <f t="shared" si="20"/>
        <v>0</v>
      </c>
      <c r="CT29" s="173">
        <f t="shared" si="20"/>
        <v>0</v>
      </c>
      <c r="CU29" s="173">
        <f t="shared" si="20"/>
        <v>0</v>
      </c>
      <c r="CV29" s="173">
        <f t="shared" si="20"/>
        <v>0</v>
      </c>
      <c r="CW29" s="173">
        <f t="shared" si="20"/>
        <v>0</v>
      </c>
      <c r="CX29" s="173">
        <f t="shared" si="20"/>
        <v>0</v>
      </c>
      <c r="CY29" s="173">
        <f t="shared" si="20"/>
        <v>0</v>
      </c>
      <c r="DC29" s="189" t="str">
        <f t="shared" si="21"/>
        <v>lot4</v>
      </c>
      <c r="DD29" s="192">
        <f>Scénario!K119</f>
        <v>0</v>
      </c>
      <c r="DE29" s="173">
        <f t="shared" si="24"/>
        <v>0</v>
      </c>
      <c r="DF29" s="173">
        <f t="shared" si="22"/>
        <v>0</v>
      </c>
      <c r="DG29" s="173">
        <f t="shared" si="22"/>
        <v>0</v>
      </c>
      <c r="DH29" s="173">
        <f t="shared" si="22"/>
        <v>0</v>
      </c>
      <c r="DI29" s="173">
        <f t="shared" si="22"/>
        <v>0</v>
      </c>
      <c r="DJ29" s="173">
        <f t="shared" si="22"/>
        <v>0</v>
      </c>
      <c r="DK29" s="173">
        <f t="shared" si="22"/>
        <v>0</v>
      </c>
      <c r="DL29" s="173">
        <f t="shared" si="22"/>
        <v>0</v>
      </c>
      <c r="DM29" s="173">
        <f t="shared" si="22"/>
        <v>0</v>
      </c>
      <c r="DN29" s="173">
        <f t="shared" si="22"/>
        <v>0</v>
      </c>
      <c r="DO29" s="173">
        <f t="shared" si="22"/>
        <v>0</v>
      </c>
      <c r="DP29" s="173">
        <f t="shared" si="22"/>
        <v>0</v>
      </c>
      <c r="DQ29" s="173">
        <f t="shared" si="22"/>
        <v>0</v>
      </c>
      <c r="DR29" s="173">
        <f t="shared" si="22"/>
        <v>0</v>
      </c>
      <c r="DS29" s="173">
        <f t="shared" si="22"/>
        <v>0</v>
      </c>
      <c r="DT29" s="173">
        <f t="shared" si="22"/>
        <v>0</v>
      </c>
      <c r="DU29" s="173">
        <f t="shared" si="22"/>
        <v>0</v>
      </c>
      <c r="DV29" s="173">
        <f t="shared" si="22"/>
        <v>0</v>
      </c>
      <c r="DW29" s="173">
        <f t="shared" si="22"/>
        <v>0</v>
      </c>
      <c r="DX29" s="173">
        <f t="shared" si="22"/>
        <v>0</v>
      </c>
      <c r="DY29" s="173">
        <f t="shared" si="22"/>
        <v>0</v>
      </c>
      <c r="DZ29" s="173">
        <f t="shared" si="22"/>
        <v>0</v>
      </c>
      <c r="EA29" s="173">
        <f t="shared" si="22"/>
        <v>0</v>
      </c>
      <c r="EB29" s="173">
        <f t="shared" si="22"/>
        <v>0</v>
      </c>
    </row>
    <row r="30" spans="1:151" ht="15.75" x14ac:dyDescent="0.25">
      <c r="A30" s="2" t="s">
        <v>764</v>
      </c>
      <c r="B30" s="193" t="s">
        <v>765</v>
      </c>
      <c r="C30" s="193" t="s">
        <v>766</v>
      </c>
      <c r="D30" s="194"/>
      <c r="E30" s="194"/>
      <c r="AR30" s="188" t="s">
        <v>747</v>
      </c>
      <c r="AT30" s="189" t="str">
        <f>CdTrp1!A19</f>
        <v>lot5</v>
      </c>
      <c r="AU30" s="192">
        <f>Scénario!K100</f>
        <v>0</v>
      </c>
      <c r="AV30" s="173">
        <f t="shared" si="17"/>
        <v>0</v>
      </c>
      <c r="AW30" s="173">
        <f t="shared" si="17"/>
        <v>0</v>
      </c>
      <c r="AX30" s="173">
        <f t="shared" si="17"/>
        <v>0</v>
      </c>
      <c r="AY30" s="173">
        <f t="shared" si="17"/>
        <v>0</v>
      </c>
      <c r="AZ30" s="173">
        <f t="shared" si="17"/>
        <v>0</v>
      </c>
      <c r="BA30" s="173">
        <f t="shared" si="17"/>
        <v>0</v>
      </c>
      <c r="BB30" s="173">
        <f t="shared" si="17"/>
        <v>0</v>
      </c>
      <c r="BC30" s="173">
        <f t="shared" si="17"/>
        <v>0</v>
      </c>
      <c r="BD30" s="173">
        <f t="shared" si="17"/>
        <v>0</v>
      </c>
      <c r="BE30" s="173">
        <f t="shared" si="17"/>
        <v>0</v>
      </c>
      <c r="BF30" s="173">
        <f t="shared" si="17"/>
        <v>0</v>
      </c>
      <c r="BG30" s="173">
        <f t="shared" si="17"/>
        <v>0</v>
      </c>
      <c r="BH30" s="173">
        <f t="shared" si="17"/>
        <v>0</v>
      </c>
      <c r="BI30" s="173">
        <f t="shared" si="17"/>
        <v>0</v>
      </c>
      <c r="BJ30" s="173">
        <f t="shared" si="17"/>
        <v>0</v>
      </c>
      <c r="BK30" s="173">
        <f t="shared" si="17"/>
        <v>0</v>
      </c>
      <c r="BL30" s="173">
        <f t="shared" si="18"/>
        <v>0</v>
      </c>
      <c r="BM30" s="173">
        <f t="shared" si="18"/>
        <v>0</v>
      </c>
      <c r="BN30" s="173">
        <f t="shared" si="18"/>
        <v>0</v>
      </c>
      <c r="BO30" s="173">
        <f t="shared" si="18"/>
        <v>0</v>
      </c>
      <c r="BP30" s="173">
        <f t="shared" si="18"/>
        <v>0</v>
      </c>
      <c r="BQ30" s="173">
        <f t="shared" si="18"/>
        <v>0</v>
      </c>
      <c r="BR30" s="173">
        <f t="shared" si="18"/>
        <v>0</v>
      </c>
      <c r="BS30" s="173">
        <f t="shared" si="18"/>
        <v>0</v>
      </c>
      <c r="BZ30" s="189" t="str">
        <f t="shared" si="19"/>
        <v>lot5</v>
      </c>
      <c r="CA30" s="192">
        <f>Scénario!K110</f>
        <v>0</v>
      </c>
      <c r="CB30" s="173">
        <f t="shared" si="23"/>
        <v>0</v>
      </c>
      <c r="CC30" s="173">
        <f t="shared" si="20"/>
        <v>0</v>
      </c>
      <c r="CD30" s="173">
        <f t="shared" si="20"/>
        <v>0</v>
      </c>
      <c r="CE30" s="173">
        <f t="shared" si="20"/>
        <v>0</v>
      </c>
      <c r="CF30" s="173">
        <f t="shared" si="20"/>
        <v>0</v>
      </c>
      <c r="CG30" s="173">
        <f t="shared" si="20"/>
        <v>0</v>
      </c>
      <c r="CH30" s="173">
        <f t="shared" si="20"/>
        <v>0</v>
      </c>
      <c r="CI30" s="173">
        <f t="shared" si="20"/>
        <v>0</v>
      </c>
      <c r="CJ30" s="173">
        <f t="shared" si="20"/>
        <v>0</v>
      </c>
      <c r="CK30" s="173">
        <f t="shared" si="20"/>
        <v>0</v>
      </c>
      <c r="CL30" s="173">
        <f t="shared" si="20"/>
        <v>0</v>
      </c>
      <c r="CM30" s="173">
        <f t="shared" si="20"/>
        <v>0</v>
      </c>
      <c r="CN30" s="173">
        <f t="shared" si="20"/>
        <v>0</v>
      </c>
      <c r="CO30" s="173">
        <f t="shared" si="20"/>
        <v>0</v>
      </c>
      <c r="CP30" s="173">
        <f t="shared" si="20"/>
        <v>0</v>
      </c>
      <c r="CQ30" s="173">
        <f t="shared" si="20"/>
        <v>0</v>
      </c>
      <c r="CR30" s="173">
        <f t="shared" si="20"/>
        <v>0</v>
      </c>
      <c r="CS30" s="173">
        <f t="shared" si="20"/>
        <v>0</v>
      </c>
      <c r="CT30" s="173">
        <f t="shared" si="20"/>
        <v>0</v>
      </c>
      <c r="CU30" s="173">
        <f t="shared" si="20"/>
        <v>0</v>
      </c>
      <c r="CV30" s="173">
        <f t="shared" si="20"/>
        <v>0</v>
      </c>
      <c r="CW30" s="173">
        <f t="shared" si="20"/>
        <v>0</v>
      </c>
      <c r="CX30" s="173">
        <f t="shared" si="20"/>
        <v>0</v>
      </c>
      <c r="CY30" s="173">
        <f t="shared" si="20"/>
        <v>0</v>
      </c>
      <c r="DC30" s="189" t="str">
        <f t="shared" si="21"/>
        <v>lot5</v>
      </c>
      <c r="DD30" s="192">
        <f>Scénario!K120</f>
        <v>0</v>
      </c>
      <c r="DE30" s="173">
        <f t="shared" si="24"/>
        <v>0</v>
      </c>
      <c r="DF30" s="173">
        <f t="shared" si="22"/>
        <v>0</v>
      </c>
      <c r="DG30" s="173">
        <f t="shared" si="22"/>
        <v>0</v>
      </c>
      <c r="DH30" s="173">
        <f t="shared" si="22"/>
        <v>0</v>
      </c>
      <c r="DI30" s="173">
        <f t="shared" si="22"/>
        <v>0</v>
      </c>
      <c r="DJ30" s="173">
        <f t="shared" si="22"/>
        <v>0</v>
      </c>
      <c r="DK30" s="173">
        <f t="shared" si="22"/>
        <v>0</v>
      </c>
      <c r="DL30" s="173">
        <f t="shared" si="22"/>
        <v>0</v>
      </c>
      <c r="DM30" s="173">
        <f t="shared" si="22"/>
        <v>0</v>
      </c>
      <c r="DN30" s="173">
        <f t="shared" si="22"/>
        <v>0</v>
      </c>
      <c r="DO30" s="173">
        <f t="shared" si="22"/>
        <v>0</v>
      </c>
      <c r="DP30" s="173">
        <f t="shared" si="22"/>
        <v>0</v>
      </c>
      <c r="DQ30" s="173">
        <f t="shared" si="22"/>
        <v>0</v>
      </c>
      <c r="DR30" s="173">
        <f t="shared" si="22"/>
        <v>0</v>
      </c>
      <c r="DS30" s="173">
        <f t="shared" si="22"/>
        <v>0</v>
      </c>
      <c r="DT30" s="173">
        <f t="shared" si="22"/>
        <v>0</v>
      </c>
      <c r="DU30" s="173">
        <f t="shared" si="22"/>
        <v>0</v>
      </c>
      <c r="DV30" s="173">
        <f t="shared" si="22"/>
        <v>0</v>
      </c>
      <c r="DW30" s="173">
        <f t="shared" si="22"/>
        <v>0</v>
      </c>
      <c r="DX30" s="173">
        <f t="shared" si="22"/>
        <v>0</v>
      </c>
      <c r="DY30" s="173">
        <f t="shared" si="22"/>
        <v>0</v>
      </c>
      <c r="DZ30" s="173">
        <f t="shared" si="22"/>
        <v>0</v>
      </c>
      <c r="EA30" s="173">
        <f t="shared" si="22"/>
        <v>0</v>
      </c>
      <c r="EB30" s="173">
        <f t="shared" si="22"/>
        <v>0</v>
      </c>
    </row>
    <row r="31" spans="1:151" x14ac:dyDescent="0.25">
      <c r="A31" t="s">
        <v>568</v>
      </c>
      <c r="B31" s="173">
        <f>Troupeau!B18</f>
        <v>288</v>
      </c>
      <c r="C31" s="190">
        <f>IF(B31&gt;0,VLOOKUP(Troupeau!B3,[1]Trav!$A$96:$B$99,2),0)</f>
        <v>110</v>
      </c>
      <c r="D31" s="172"/>
      <c r="E31" s="172"/>
      <c r="F31" s="173">
        <f>B31*C31/60</f>
        <v>528</v>
      </c>
      <c r="AR31" s="188" t="s">
        <v>747</v>
      </c>
      <c r="AT31" s="189" t="str">
        <f>CdTrp1!A20</f>
        <v>lot6</v>
      </c>
      <c r="AU31" s="192">
        <f>Scénario!K101</f>
        <v>0</v>
      </c>
      <c r="AV31" s="173">
        <f t="shared" si="17"/>
        <v>0</v>
      </c>
      <c r="AW31" s="173">
        <f t="shared" si="17"/>
        <v>0</v>
      </c>
      <c r="AX31" s="173">
        <f t="shared" si="17"/>
        <v>0</v>
      </c>
      <c r="AY31" s="173">
        <f t="shared" si="17"/>
        <v>0</v>
      </c>
      <c r="AZ31" s="173">
        <f t="shared" si="17"/>
        <v>0</v>
      </c>
      <c r="BA31" s="173">
        <f t="shared" si="17"/>
        <v>0</v>
      </c>
      <c r="BB31" s="173">
        <f t="shared" si="17"/>
        <v>0</v>
      </c>
      <c r="BC31" s="173">
        <f t="shared" si="17"/>
        <v>0</v>
      </c>
      <c r="BD31" s="173">
        <f t="shared" si="17"/>
        <v>0</v>
      </c>
      <c r="BE31" s="173">
        <f t="shared" si="17"/>
        <v>0</v>
      </c>
      <c r="BF31" s="173">
        <f t="shared" si="17"/>
        <v>0</v>
      </c>
      <c r="BG31" s="173">
        <f t="shared" si="17"/>
        <v>0</v>
      </c>
      <c r="BH31" s="173">
        <f t="shared" si="17"/>
        <v>0</v>
      </c>
      <c r="BI31" s="173">
        <f t="shared" si="17"/>
        <v>0</v>
      </c>
      <c r="BJ31" s="173">
        <f t="shared" si="17"/>
        <v>0</v>
      </c>
      <c r="BK31" s="173">
        <f t="shared" si="17"/>
        <v>0</v>
      </c>
      <c r="BL31" s="173">
        <f t="shared" si="18"/>
        <v>0</v>
      </c>
      <c r="BM31" s="173">
        <f t="shared" si="18"/>
        <v>0</v>
      </c>
      <c r="BN31" s="173">
        <f t="shared" si="18"/>
        <v>0</v>
      </c>
      <c r="BO31" s="173">
        <f t="shared" si="18"/>
        <v>0</v>
      </c>
      <c r="BP31" s="173">
        <f t="shared" si="18"/>
        <v>0</v>
      </c>
      <c r="BQ31" s="173">
        <f t="shared" si="18"/>
        <v>0</v>
      </c>
      <c r="BR31" s="173">
        <f t="shared" si="18"/>
        <v>0</v>
      </c>
      <c r="BS31" s="173">
        <f t="shared" si="18"/>
        <v>0</v>
      </c>
      <c r="BT31" s="5"/>
      <c r="BY31" s="5"/>
      <c r="BZ31" s="189" t="str">
        <f t="shared" si="19"/>
        <v>lot6</v>
      </c>
      <c r="CA31" s="192">
        <f>Scénario!K111</f>
        <v>0</v>
      </c>
      <c r="CB31" s="173">
        <f t="shared" si="23"/>
        <v>0</v>
      </c>
      <c r="CC31" s="173">
        <f t="shared" si="20"/>
        <v>0</v>
      </c>
      <c r="CD31" s="173">
        <f t="shared" si="20"/>
        <v>0</v>
      </c>
      <c r="CE31" s="173">
        <f t="shared" si="20"/>
        <v>0</v>
      </c>
      <c r="CF31" s="173">
        <f t="shared" si="20"/>
        <v>0</v>
      </c>
      <c r="CG31" s="173">
        <f t="shared" si="20"/>
        <v>0</v>
      </c>
      <c r="CH31" s="173">
        <f t="shared" si="20"/>
        <v>0</v>
      </c>
      <c r="CI31" s="173">
        <f t="shared" si="20"/>
        <v>0</v>
      </c>
      <c r="CJ31" s="173">
        <f t="shared" si="20"/>
        <v>0</v>
      </c>
      <c r="CK31" s="173">
        <f t="shared" si="20"/>
        <v>0</v>
      </c>
      <c r="CL31" s="173">
        <f t="shared" si="20"/>
        <v>0</v>
      </c>
      <c r="CM31" s="173">
        <f t="shared" si="20"/>
        <v>0</v>
      </c>
      <c r="CN31" s="173">
        <f t="shared" si="20"/>
        <v>0</v>
      </c>
      <c r="CO31" s="173">
        <f t="shared" si="20"/>
        <v>0</v>
      </c>
      <c r="CP31" s="173">
        <f t="shared" si="20"/>
        <v>0</v>
      </c>
      <c r="CQ31" s="173">
        <f t="shared" si="20"/>
        <v>0</v>
      </c>
      <c r="CR31" s="173">
        <f t="shared" si="20"/>
        <v>0</v>
      </c>
      <c r="CS31" s="173">
        <f t="shared" si="20"/>
        <v>0</v>
      </c>
      <c r="CT31" s="173">
        <f t="shared" si="20"/>
        <v>0</v>
      </c>
      <c r="CU31" s="173">
        <f t="shared" si="20"/>
        <v>0</v>
      </c>
      <c r="CV31" s="173">
        <f t="shared" si="20"/>
        <v>0</v>
      </c>
      <c r="CW31" s="173">
        <f t="shared" si="20"/>
        <v>0</v>
      </c>
      <c r="CX31" s="173">
        <f t="shared" si="20"/>
        <v>0</v>
      </c>
      <c r="CY31" s="173">
        <f t="shared" si="20"/>
        <v>0</v>
      </c>
      <c r="CZ31" s="5"/>
      <c r="DA31" s="5"/>
      <c r="DB31" s="5"/>
      <c r="DC31" s="189" t="str">
        <f t="shared" si="21"/>
        <v>lot6</v>
      </c>
      <c r="DD31" s="192">
        <f>Scénario!K121</f>
        <v>0</v>
      </c>
      <c r="DE31" s="173">
        <f t="shared" si="24"/>
        <v>0</v>
      </c>
      <c r="DF31" s="173">
        <f t="shared" si="22"/>
        <v>0</v>
      </c>
      <c r="DG31" s="173">
        <f t="shared" si="22"/>
        <v>0</v>
      </c>
      <c r="DH31" s="173">
        <f t="shared" si="22"/>
        <v>0</v>
      </c>
      <c r="DI31" s="173">
        <f t="shared" si="22"/>
        <v>0</v>
      </c>
      <c r="DJ31" s="173">
        <f t="shared" si="22"/>
        <v>0</v>
      </c>
      <c r="DK31" s="173">
        <f t="shared" si="22"/>
        <v>0</v>
      </c>
      <c r="DL31" s="173">
        <f t="shared" si="22"/>
        <v>0</v>
      </c>
      <c r="DM31" s="173">
        <f t="shared" si="22"/>
        <v>0</v>
      </c>
      <c r="DN31" s="173">
        <f t="shared" si="22"/>
        <v>0</v>
      </c>
      <c r="DO31" s="173">
        <f t="shared" si="22"/>
        <v>0</v>
      </c>
      <c r="DP31" s="173">
        <f t="shared" si="22"/>
        <v>0</v>
      </c>
      <c r="DQ31" s="173">
        <f t="shared" si="22"/>
        <v>0</v>
      </c>
      <c r="DR31" s="173">
        <f t="shared" si="22"/>
        <v>0</v>
      </c>
      <c r="DS31" s="173">
        <f t="shared" si="22"/>
        <v>0</v>
      </c>
      <c r="DT31" s="173">
        <f t="shared" si="22"/>
        <v>0</v>
      </c>
      <c r="DU31" s="173">
        <f t="shared" si="22"/>
        <v>0</v>
      </c>
      <c r="DV31" s="173">
        <f t="shared" si="22"/>
        <v>0</v>
      </c>
      <c r="DW31" s="173">
        <f t="shared" si="22"/>
        <v>0</v>
      </c>
      <c r="DX31" s="173">
        <f t="shared" si="22"/>
        <v>0</v>
      </c>
      <c r="DY31" s="173">
        <f t="shared" si="22"/>
        <v>0</v>
      </c>
      <c r="DZ31" s="173">
        <f t="shared" si="22"/>
        <v>0</v>
      </c>
      <c r="EA31" s="173">
        <f t="shared" si="22"/>
        <v>0</v>
      </c>
      <c r="EB31" s="173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601</v>
      </c>
      <c r="B32" s="173">
        <f>Troupeau!C18</f>
        <v>14</v>
      </c>
      <c r="C32" s="190">
        <f>IF(B32&gt;0,VLOOKUP(Troupeau!C3,[1]Trav!$A$96:$B$99,2),0)</f>
        <v>360</v>
      </c>
      <c r="D32" s="172"/>
      <c r="E32" s="172"/>
      <c r="F32" s="173">
        <f t="shared" ref="F32:F33" si="25">B32*C32/60</f>
        <v>84</v>
      </c>
      <c r="AR32" s="188" t="s">
        <v>747</v>
      </c>
      <c r="AT32" s="189" t="str">
        <f>CdTrp1!A21</f>
        <v>lot7</v>
      </c>
      <c r="AU32" s="192">
        <f>Scénario!K102</f>
        <v>0</v>
      </c>
      <c r="AV32" s="173">
        <f t="shared" si="17"/>
        <v>0</v>
      </c>
      <c r="AW32" s="173">
        <f t="shared" si="17"/>
        <v>0</v>
      </c>
      <c r="AX32" s="173">
        <f t="shared" si="17"/>
        <v>0</v>
      </c>
      <c r="AY32" s="173">
        <f t="shared" si="17"/>
        <v>0</v>
      </c>
      <c r="AZ32" s="173">
        <f t="shared" si="17"/>
        <v>0</v>
      </c>
      <c r="BA32" s="173">
        <f t="shared" si="17"/>
        <v>0</v>
      </c>
      <c r="BB32" s="173">
        <f t="shared" si="17"/>
        <v>0</v>
      </c>
      <c r="BC32" s="173">
        <f t="shared" si="17"/>
        <v>0</v>
      </c>
      <c r="BD32" s="173">
        <f t="shared" si="17"/>
        <v>0</v>
      </c>
      <c r="BE32" s="173">
        <f t="shared" si="17"/>
        <v>0</v>
      </c>
      <c r="BF32" s="173">
        <f t="shared" si="17"/>
        <v>0</v>
      </c>
      <c r="BG32" s="173">
        <f t="shared" si="17"/>
        <v>0</v>
      </c>
      <c r="BH32" s="173">
        <f t="shared" si="17"/>
        <v>0</v>
      </c>
      <c r="BI32" s="173">
        <f t="shared" si="17"/>
        <v>0</v>
      </c>
      <c r="BJ32" s="173">
        <f t="shared" si="17"/>
        <v>0</v>
      </c>
      <c r="BK32" s="173">
        <f t="shared" si="17"/>
        <v>0</v>
      </c>
      <c r="BL32" s="173">
        <f t="shared" si="18"/>
        <v>0</v>
      </c>
      <c r="BM32" s="173">
        <f t="shared" si="18"/>
        <v>0</v>
      </c>
      <c r="BN32" s="173">
        <f t="shared" si="18"/>
        <v>0</v>
      </c>
      <c r="BO32" s="173">
        <f t="shared" si="18"/>
        <v>0</v>
      </c>
      <c r="BP32" s="173">
        <f t="shared" si="18"/>
        <v>0</v>
      </c>
      <c r="BQ32" s="173">
        <f t="shared" si="18"/>
        <v>0</v>
      </c>
      <c r="BR32" s="173">
        <f t="shared" si="18"/>
        <v>0</v>
      </c>
      <c r="BS32" s="173">
        <f t="shared" si="18"/>
        <v>0</v>
      </c>
      <c r="BT32" s="5"/>
      <c r="BY32" s="5"/>
      <c r="BZ32" s="189" t="str">
        <f t="shared" si="19"/>
        <v>lot7</v>
      </c>
      <c r="CA32" s="192">
        <f>Scénario!K112</f>
        <v>0</v>
      </c>
      <c r="CB32" s="173">
        <f t="shared" si="23"/>
        <v>0</v>
      </c>
      <c r="CC32" s="173">
        <f t="shared" si="20"/>
        <v>0</v>
      </c>
      <c r="CD32" s="173">
        <f t="shared" si="20"/>
        <v>0</v>
      </c>
      <c r="CE32" s="173">
        <f t="shared" si="20"/>
        <v>0</v>
      </c>
      <c r="CF32" s="173">
        <f t="shared" si="20"/>
        <v>0</v>
      </c>
      <c r="CG32" s="173">
        <f t="shared" si="20"/>
        <v>0</v>
      </c>
      <c r="CH32" s="173">
        <f t="shared" si="20"/>
        <v>0</v>
      </c>
      <c r="CI32" s="173">
        <f t="shared" si="20"/>
        <v>0</v>
      </c>
      <c r="CJ32" s="173">
        <f t="shared" si="20"/>
        <v>0</v>
      </c>
      <c r="CK32" s="173">
        <f t="shared" si="20"/>
        <v>0</v>
      </c>
      <c r="CL32" s="173">
        <f t="shared" si="20"/>
        <v>0</v>
      </c>
      <c r="CM32" s="173">
        <f t="shared" si="20"/>
        <v>0</v>
      </c>
      <c r="CN32" s="173">
        <f t="shared" si="20"/>
        <v>0</v>
      </c>
      <c r="CO32" s="173">
        <f t="shared" si="20"/>
        <v>0</v>
      </c>
      <c r="CP32" s="173">
        <f t="shared" si="20"/>
        <v>0</v>
      </c>
      <c r="CQ32" s="173">
        <f t="shared" si="20"/>
        <v>0</v>
      </c>
      <c r="CR32" s="173">
        <f t="shared" si="20"/>
        <v>0</v>
      </c>
      <c r="CS32" s="173">
        <f t="shared" si="20"/>
        <v>0</v>
      </c>
      <c r="CT32" s="173">
        <f t="shared" si="20"/>
        <v>0</v>
      </c>
      <c r="CU32" s="173">
        <f t="shared" si="20"/>
        <v>0</v>
      </c>
      <c r="CV32" s="173">
        <f t="shared" si="20"/>
        <v>0</v>
      </c>
      <c r="CW32" s="173">
        <f t="shared" si="20"/>
        <v>0</v>
      </c>
      <c r="CX32" s="173">
        <f t="shared" si="20"/>
        <v>0</v>
      </c>
      <c r="CY32" s="173">
        <f t="shared" si="20"/>
        <v>0</v>
      </c>
      <c r="CZ32" s="5"/>
      <c r="DA32" s="5"/>
      <c r="DB32" s="5"/>
      <c r="DC32" s="189" t="str">
        <f t="shared" si="21"/>
        <v>lot7</v>
      </c>
      <c r="DD32" s="192">
        <f>Scénario!K122</f>
        <v>0</v>
      </c>
      <c r="DE32" s="173">
        <f t="shared" si="24"/>
        <v>0</v>
      </c>
      <c r="DF32" s="173">
        <f t="shared" si="22"/>
        <v>0</v>
      </c>
      <c r="DG32" s="173">
        <f t="shared" si="22"/>
        <v>0</v>
      </c>
      <c r="DH32" s="173">
        <f t="shared" si="22"/>
        <v>0</v>
      </c>
      <c r="DI32" s="173">
        <f t="shared" si="22"/>
        <v>0</v>
      </c>
      <c r="DJ32" s="173">
        <f t="shared" si="22"/>
        <v>0</v>
      </c>
      <c r="DK32" s="173">
        <f t="shared" si="22"/>
        <v>0</v>
      </c>
      <c r="DL32" s="173">
        <f t="shared" si="22"/>
        <v>0</v>
      </c>
      <c r="DM32" s="173">
        <f t="shared" si="22"/>
        <v>0</v>
      </c>
      <c r="DN32" s="173">
        <f t="shared" si="22"/>
        <v>0</v>
      </c>
      <c r="DO32" s="173">
        <f t="shared" si="22"/>
        <v>0</v>
      </c>
      <c r="DP32" s="173">
        <f t="shared" si="22"/>
        <v>0</v>
      </c>
      <c r="DQ32" s="173">
        <f t="shared" si="22"/>
        <v>0</v>
      </c>
      <c r="DR32" s="173">
        <f t="shared" si="22"/>
        <v>0</v>
      </c>
      <c r="DS32" s="173">
        <f t="shared" si="22"/>
        <v>0</v>
      </c>
      <c r="DT32" s="173">
        <f t="shared" si="22"/>
        <v>0</v>
      </c>
      <c r="DU32" s="173">
        <f t="shared" si="22"/>
        <v>0</v>
      </c>
      <c r="DV32" s="173">
        <f t="shared" si="22"/>
        <v>0</v>
      </c>
      <c r="DW32" s="173">
        <f t="shared" si="22"/>
        <v>0</v>
      </c>
      <c r="DX32" s="173">
        <f t="shared" si="22"/>
        <v>0</v>
      </c>
      <c r="DY32" s="173">
        <f t="shared" si="22"/>
        <v>0</v>
      </c>
      <c r="DZ32" s="173">
        <f t="shared" si="22"/>
        <v>0</v>
      </c>
      <c r="EA32" s="173">
        <f t="shared" si="22"/>
        <v>0</v>
      </c>
      <c r="EB32" s="173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738</v>
      </c>
      <c r="B33" s="173">
        <f>Troupeau!D18</f>
        <v>0</v>
      </c>
      <c r="C33" s="190">
        <f>IF(B33&gt;0,VLOOKUP(Troupeau!D3,[1]Trav!$A$96:$B$99,2),0)</f>
        <v>0</v>
      </c>
      <c r="D33" s="172"/>
      <c r="E33" s="172"/>
      <c r="F33" s="173">
        <f t="shared" si="25"/>
        <v>0</v>
      </c>
      <c r="AR33" s="188" t="s">
        <v>747</v>
      </c>
      <c r="AT33" s="189" t="str">
        <f>CdTrp1!A22</f>
        <v>lot8</v>
      </c>
      <c r="AU33" s="192">
        <f>Scénario!K103</f>
        <v>0</v>
      </c>
      <c r="AV33" s="173">
        <f t="shared" si="17"/>
        <v>0</v>
      </c>
      <c r="AW33" s="173">
        <f t="shared" si="17"/>
        <v>0</v>
      </c>
      <c r="AX33" s="173">
        <f t="shared" si="17"/>
        <v>0</v>
      </c>
      <c r="AY33" s="173">
        <f t="shared" si="17"/>
        <v>0</v>
      </c>
      <c r="AZ33" s="173">
        <f t="shared" si="17"/>
        <v>0</v>
      </c>
      <c r="BA33" s="173">
        <f t="shared" si="17"/>
        <v>0</v>
      </c>
      <c r="BB33" s="173">
        <f t="shared" si="17"/>
        <v>0</v>
      </c>
      <c r="BC33" s="173">
        <f t="shared" si="17"/>
        <v>0</v>
      </c>
      <c r="BD33" s="173">
        <f t="shared" si="17"/>
        <v>0</v>
      </c>
      <c r="BE33" s="173">
        <f t="shared" si="17"/>
        <v>0</v>
      </c>
      <c r="BF33" s="173">
        <f t="shared" si="17"/>
        <v>0</v>
      </c>
      <c r="BG33" s="173">
        <f t="shared" si="17"/>
        <v>0</v>
      </c>
      <c r="BH33" s="173">
        <f t="shared" si="17"/>
        <v>0</v>
      </c>
      <c r="BI33" s="173">
        <f t="shared" si="17"/>
        <v>0</v>
      </c>
      <c r="BJ33" s="173">
        <f t="shared" si="17"/>
        <v>0</v>
      </c>
      <c r="BK33" s="173">
        <f t="shared" si="17"/>
        <v>0</v>
      </c>
      <c r="BL33" s="173">
        <f t="shared" si="18"/>
        <v>0</v>
      </c>
      <c r="BM33" s="173">
        <f t="shared" si="18"/>
        <v>0</v>
      </c>
      <c r="BN33" s="173">
        <f t="shared" si="18"/>
        <v>0</v>
      </c>
      <c r="BO33" s="173">
        <f t="shared" si="18"/>
        <v>0</v>
      </c>
      <c r="BP33" s="173">
        <f t="shared" si="18"/>
        <v>0</v>
      </c>
      <c r="BQ33" s="173">
        <f t="shared" si="18"/>
        <v>0</v>
      </c>
      <c r="BR33" s="173">
        <f t="shared" si="18"/>
        <v>0</v>
      </c>
      <c r="BS33" s="173">
        <f t="shared" si="18"/>
        <v>0</v>
      </c>
      <c r="BT33" s="5"/>
      <c r="BY33" s="5"/>
      <c r="BZ33" s="189" t="str">
        <f t="shared" si="19"/>
        <v>lot8</v>
      </c>
      <c r="CA33" s="192">
        <f>Scénario!K113</f>
        <v>0</v>
      </c>
      <c r="CB33" s="173">
        <f t="shared" si="23"/>
        <v>0</v>
      </c>
      <c r="CC33" s="173">
        <f t="shared" si="20"/>
        <v>0</v>
      </c>
      <c r="CD33" s="173">
        <f t="shared" si="20"/>
        <v>0</v>
      </c>
      <c r="CE33" s="173">
        <f t="shared" si="20"/>
        <v>0</v>
      </c>
      <c r="CF33" s="173">
        <f t="shared" si="20"/>
        <v>0</v>
      </c>
      <c r="CG33" s="173">
        <f t="shared" si="20"/>
        <v>0</v>
      </c>
      <c r="CH33" s="173">
        <f t="shared" si="20"/>
        <v>0</v>
      </c>
      <c r="CI33" s="173">
        <f t="shared" si="20"/>
        <v>0</v>
      </c>
      <c r="CJ33" s="173">
        <f t="shared" si="20"/>
        <v>0</v>
      </c>
      <c r="CK33" s="173">
        <f t="shared" si="20"/>
        <v>0</v>
      </c>
      <c r="CL33" s="173">
        <f t="shared" si="20"/>
        <v>0</v>
      </c>
      <c r="CM33" s="173">
        <f t="shared" si="20"/>
        <v>0</v>
      </c>
      <c r="CN33" s="173">
        <f t="shared" si="20"/>
        <v>0</v>
      </c>
      <c r="CO33" s="173">
        <f t="shared" si="20"/>
        <v>0</v>
      </c>
      <c r="CP33" s="173">
        <f t="shared" si="20"/>
        <v>0</v>
      </c>
      <c r="CQ33" s="173">
        <f t="shared" si="20"/>
        <v>0</v>
      </c>
      <c r="CR33" s="173">
        <f t="shared" si="20"/>
        <v>0</v>
      </c>
      <c r="CS33" s="173">
        <f t="shared" si="20"/>
        <v>0</v>
      </c>
      <c r="CT33" s="173">
        <f t="shared" si="20"/>
        <v>0</v>
      </c>
      <c r="CU33" s="173">
        <f t="shared" si="20"/>
        <v>0</v>
      </c>
      <c r="CV33" s="173">
        <f t="shared" si="20"/>
        <v>0</v>
      </c>
      <c r="CW33" s="173">
        <f t="shared" si="20"/>
        <v>0</v>
      </c>
      <c r="CX33" s="173">
        <f t="shared" si="20"/>
        <v>0</v>
      </c>
      <c r="CY33" s="173">
        <f t="shared" si="20"/>
        <v>0</v>
      </c>
      <c r="CZ33" s="5"/>
      <c r="DA33" s="5"/>
      <c r="DB33" s="5"/>
      <c r="DC33" s="189" t="str">
        <f t="shared" si="21"/>
        <v>lot8</v>
      </c>
      <c r="DD33" s="192">
        <f>Scénario!K123</f>
        <v>0</v>
      </c>
      <c r="DE33" s="173">
        <f t="shared" si="24"/>
        <v>0</v>
      </c>
      <c r="DF33" s="173">
        <f t="shared" si="22"/>
        <v>0</v>
      </c>
      <c r="DG33" s="173">
        <f t="shared" si="22"/>
        <v>0</v>
      </c>
      <c r="DH33" s="173">
        <f t="shared" si="22"/>
        <v>0</v>
      </c>
      <c r="DI33" s="173">
        <f t="shared" si="22"/>
        <v>0</v>
      </c>
      <c r="DJ33" s="173">
        <f t="shared" si="22"/>
        <v>0</v>
      </c>
      <c r="DK33" s="173">
        <f t="shared" si="22"/>
        <v>0</v>
      </c>
      <c r="DL33" s="173">
        <f t="shared" si="22"/>
        <v>0</v>
      </c>
      <c r="DM33" s="173">
        <f t="shared" si="22"/>
        <v>0</v>
      </c>
      <c r="DN33" s="173">
        <f t="shared" si="22"/>
        <v>0</v>
      </c>
      <c r="DO33" s="173">
        <f t="shared" si="22"/>
        <v>0</v>
      </c>
      <c r="DP33" s="173">
        <f t="shared" si="22"/>
        <v>0</v>
      </c>
      <c r="DQ33" s="173">
        <f t="shared" si="22"/>
        <v>0</v>
      </c>
      <c r="DR33" s="173">
        <f t="shared" si="22"/>
        <v>0</v>
      </c>
      <c r="DS33" s="173">
        <f t="shared" si="22"/>
        <v>0</v>
      </c>
      <c r="DT33" s="173">
        <f t="shared" si="22"/>
        <v>0</v>
      </c>
      <c r="DU33" s="173">
        <f t="shared" si="22"/>
        <v>0</v>
      </c>
      <c r="DV33" s="173">
        <f t="shared" si="22"/>
        <v>0</v>
      </c>
      <c r="DW33" s="173">
        <f t="shared" si="22"/>
        <v>0</v>
      </c>
      <c r="DX33" s="173">
        <f t="shared" si="22"/>
        <v>0</v>
      </c>
      <c r="DY33" s="173">
        <f t="shared" si="22"/>
        <v>0</v>
      </c>
      <c r="DZ33" s="173">
        <f t="shared" si="22"/>
        <v>0</v>
      </c>
      <c r="EA33" s="173">
        <f t="shared" si="22"/>
        <v>0</v>
      </c>
      <c r="EB33" s="173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767</v>
      </c>
      <c r="B34" s="193" t="s">
        <v>768</v>
      </c>
      <c r="C34" s="193" t="s">
        <v>769</v>
      </c>
      <c r="D34" s="193" t="s">
        <v>770</v>
      </c>
      <c r="E34" s="194"/>
      <c r="F34" s="33"/>
      <c r="AR34" s="188" t="s">
        <v>747</v>
      </c>
      <c r="AT34" s="189" t="str">
        <f>CdTrp1!A23</f>
        <v>lot9</v>
      </c>
      <c r="AU34" s="192">
        <f>Scénario!K104</f>
        <v>0</v>
      </c>
      <c r="AV34" s="173">
        <f t="shared" si="17"/>
        <v>0</v>
      </c>
      <c r="AW34" s="173">
        <f t="shared" si="17"/>
        <v>0</v>
      </c>
      <c r="AX34" s="173">
        <f t="shared" si="17"/>
        <v>0</v>
      </c>
      <c r="AY34" s="173">
        <f t="shared" si="17"/>
        <v>0</v>
      </c>
      <c r="AZ34" s="173">
        <f t="shared" si="17"/>
        <v>0</v>
      </c>
      <c r="BA34" s="173">
        <f t="shared" si="17"/>
        <v>0</v>
      </c>
      <c r="BB34" s="173">
        <f t="shared" si="17"/>
        <v>0</v>
      </c>
      <c r="BC34" s="173">
        <f t="shared" si="17"/>
        <v>0</v>
      </c>
      <c r="BD34" s="173">
        <f t="shared" si="17"/>
        <v>0</v>
      </c>
      <c r="BE34" s="173">
        <f t="shared" si="17"/>
        <v>0</v>
      </c>
      <c r="BF34" s="173">
        <f t="shared" si="17"/>
        <v>0</v>
      </c>
      <c r="BG34" s="173">
        <f t="shared" si="17"/>
        <v>0</v>
      </c>
      <c r="BH34" s="173">
        <f t="shared" si="17"/>
        <v>0</v>
      </c>
      <c r="BI34" s="173">
        <f t="shared" si="17"/>
        <v>0</v>
      </c>
      <c r="BJ34" s="173">
        <f t="shared" si="17"/>
        <v>0</v>
      </c>
      <c r="BK34" s="173">
        <f t="shared" si="17"/>
        <v>0</v>
      </c>
      <c r="BL34" s="173">
        <f t="shared" si="18"/>
        <v>0</v>
      </c>
      <c r="BM34" s="173">
        <f t="shared" si="18"/>
        <v>0</v>
      </c>
      <c r="BN34" s="173">
        <f t="shared" si="18"/>
        <v>0</v>
      </c>
      <c r="BO34" s="173">
        <f t="shared" si="18"/>
        <v>0</v>
      </c>
      <c r="BP34" s="173">
        <f t="shared" si="18"/>
        <v>0</v>
      </c>
      <c r="BQ34" s="173">
        <f t="shared" si="18"/>
        <v>0</v>
      </c>
      <c r="BR34" s="173">
        <f t="shared" si="18"/>
        <v>0</v>
      </c>
      <c r="BS34" s="173">
        <f t="shared" si="18"/>
        <v>0</v>
      </c>
      <c r="BT34" s="5"/>
      <c r="BY34" s="5"/>
      <c r="BZ34" s="189" t="str">
        <f t="shared" si="19"/>
        <v>lot9</v>
      </c>
      <c r="CA34" s="192">
        <f>Scénario!K114</f>
        <v>0</v>
      </c>
      <c r="CB34" s="173">
        <f t="shared" si="23"/>
        <v>0</v>
      </c>
      <c r="CC34" s="173">
        <f t="shared" si="20"/>
        <v>0</v>
      </c>
      <c r="CD34" s="173">
        <f t="shared" si="20"/>
        <v>0</v>
      </c>
      <c r="CE34" s="173">
        <f t="shared" si="20"/>
        <v>0</v>
      </c>
      <c r="CF34" s="173">
        <f t="shared" si="20"/>
        <v>0</v>
      </c>
      <c r="CG34" s="173">
        <f t="shared" si="20"/>
        <v>0</v>
      </c>
      <c r="CH34" s="173">
        <f t="shared" si="20"/>
        <v>0</v>
      </c>
      <c r="CI34" s="173">
        <f t="shared" si="20"/>
        <v>0</v>
      </c>
      <c r="CJ34" s="173">
        <f t="shared" si="20"/>
        <v>0</v>
      </c>
      <c r="CK34" s="173">
        <f t="shared" si="20"/>
        <v>0</v>
      </c>
      <c r="CL34" s="173">
        <f t="shared" si="20"/>
        <v>0</v>
      </c>
      <c r="CM34" s="173">
        <f t="shared" si="20"/>
        <v>0</v>
      </c>
      <c r="CN34" s="173">
        <f t="shared" si="20"/>
        <v>0</v>
      </c>
      <c r="CO34" s="173">
        <f t="shared" si="20"/>
        <v>0</v>
      </c>
      <c r="CP34" s="173">
        <f t="shared" si="20"/>
        <v>0</v>
      </c>
      <c r="CQ34" s="173">
        <f t="shared" si="20"/>
        <v>0</v>
      </c>
      <c r="CR34" s="173">
        <f t="shared" si="20"/>
        <v>0</v>
      </c>
      <c r="CS34" s="173">
        <f t="shared" si="20"/>
        <v>0</v>
      </c>
      <c r="CT34" s="173">
        <f t="shared" si="20"/>
        <v>0</v>
      </c>
      <c r="CU34" s="173">
        <f t="shared" si="20"/>
        <v>0</v>
      </c>
      <c r="CV34" s="173">
        <f t="shared" si="20"/>
        <v>0</v>
      </c>
      <c r="CW34" s="173">
        <f t="shared" si="20"/>
        <v>0</v>
      </c>
      <c r="CX34" s="173">
        <f t="shared" si="20"/>
        <v>0</v>
      </c>
      <c r="CY34" s="173">
        <f t="shared" si="20"/>
        <v>0</v>
      </c>
      <c r="CZ34" s="5"/>
      <c r="DA34" s="5"/>
      <c r="DB34" s="5"/>
      <c r="DC34" s="189" t="str">
        <f t="shared" si="21"/>
        <v>lot9</v>
      </c>
      <c r="DD34" s="192">
        <f>Scénario!K124</f>
        <v>0</v>
      </c>
      <c r="DE34" s="173">
        <f t="shared" si="24"/>
        <v>0</v>
      </c>
      <c r="DF34" s="173">
        <f t="shared" si="22"/>
        <v>0</v>
      </c>
      <c r="DG34" s="173">
        <f t="shared" si="22"/>
        <v>0</v>
      </c>
      <c r="DH34" s="173">
        <f t="shared" si="22"/>
        <v>0</v>
      </c>
      <c r="DI34" s="173">
        <f t="shared" si="22"/>
        <v>0</v>
      </c>
      <c r="DJ34" s="173">
        <f t="shared" si="22"/>
        <v>0</v>
      </c>
      <c r="DK34" s="173">
        <f t="shared" si="22"/>
        <v>0</v>
      </c>
      <c r="DL34" s="173">
        <f t="shared" si="22"/>
        <v>0</v>
      </c>
      <c r="DM34" s="173">
        <f t="shared" si="22"/>
        <v>0</v>
      </c>
      <c r="DN34" s="173">
        <f t="shared" si="22"/>
        <v>0</v>
      </c>
      <c r="DO34" s="173">
        <f t="shared" si="22"/>
        <v>0</v>
      </c>
      <c r="DP34" s="173">
        <f t="shared" si="22"/>
        <v>0</v>
      </c>
      <c r="DQ34" s="173">
        <f t="shared" si="22"/>
        <v>0</v>
      </c>
      <c r="DR34" s="173">
        <f t="shared" si="22"/>
        <v>0</v>
      </c>
      <c r="DS34" s="173">
        <f t="shared" si="22"/>
        <v>0</v>
      </c>
      <c r="DT34" s="173">
        <f t="shared" si="22"/>
        <v>0</v>
      </c>
      <c r="DU34" s="173">
        <f t="shared" si="22"/>
        <v>0</v>
      </c>
      <c r="DV34" s="173">
        <f t="shared" si="22"/>
        <v>0</v>
      </c>
      <c r="DW34" s="173">
        <f t="shared" si="22"/>
        <v>0</v>
      </c>
      <c r="DX34" s="173">
        <f t="shared" si="22"/>
        <v>0</v>
      </c>
      <c r="DY34" s="173">
        <f t="shared" si="22"/>
        <v>0</v>
      </c>
      <c r="DZ34" s="173">
        <f t="shared" si="22"/>
        <v>0</v>
      </c>
      <c r="EA34" s="173">
        <f t="shared" si="22"/>
        <v>0</v>
      </c>
      <c r="EB34" s="173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568</v>
      </c>
      <c r="B35" s="190">
        <f>IF(Troupeau!B3="BL",[1]Trav!$F$102,IF(Troupeau!B3="OL",[1]Trav!$F$103,0))</f>
        <v>220</v>
      </c>
      <c r="C35" s="173">
        <f>Troupeau!B19</f>
        <v>273</v>
      </c>
      <c r="D35" s="190">
        <f>IF(Troupeau!B3="OL",[1]Trav!$B$103,0)</f>
        <v>2.4900000000000002</v>
      </c>
      <c r="E35" s="172"/>
      <c r="F35" s="173">
        <f>B35+C35*D35</f>
        <v>899.7700000000001</v>
      </c>
      <c r="AR35" s="188" t="s">
        <v>747</v>
      </c>
      <c r="AT35" s="189" t="str">
        <f>CdTrp1!A24</f>
        <v>lot10</v>
      </c>
      <c r="AU35" s="192">
        <f>Scénario!K105</f>
        <v>0</v>
      </c>
      <c r="AV35" s="173">
        <f t="shared" si="17"/>
        <v>0</v>
      </c>
      <c r="AW35" s="173">
        <f t="shared" si="17"/>
        <v>0</v>
      </c>
      <c r="AX35" s="173">
        <f t="shared" si="17"/>
        <v>0</v>
      </c>
      <c r="AY35" s="173">
        <f t="shared" si="17"/>
        <v>0</v>
      </c>
      <c r="AZ35" s="173">
        <f t="shared" si="17"/>
        <v>0</v>
      </c>
      <c r="BA35" s="173">
        <f t="shared" si="17"/>
        <v>0</v>
      </c>
      <c r="BB35" s="173">
        <f t="shared" si="17"/>
        <v>0</v>
      </c>
      <c r="BC35" s="173">
        <f t="shared" si="17"/>
        <v>0</v>
      </c>
      <c r="BD35" s="173">
        <f t="shared" si="17"/>
        <v>0</v>
      </c>
      <c r="BE35" s="173">
        <f t="shared" si="17"/>
        <v>0</v>
      </c>
      <c r="BF35" s="173">
        <f t="shared" si="17"/>
        <v>0</v>
      </c>
      <c r="BG35" s="173">
        <f t="shared" si="17"/>
        <v>0</v>
      </c>
      <c r="BH35" s="173">
        <f t="shared" si="17"/>
        <v>0</v>
      </c>
      <c r="BI35" s="173">
        <f t="shared" si="17"/>
        <v>0</v>
      </c>
      <c r="BJ35" s="173">
        <f t="shared" si="17"/>
        <v>0</v>
      </c>
      <c r="BK35" s="173">
        <f t="shared" si="17"/>
        <v>0</v>
      </c>
      <c r="BL35" s="173">
        <f t="shared" si="18"/>
        <v>0</v>
      </c>
      <c r="BM35" s="173">
        <f t="shared" si="18"/>
        <v>0</v>
      </c>
      <c r="BN35" s="173">
        <f t="shared" si="18"/>
        <v>0</v>
      </c>
      <c r="BO35" s="173">
        <f t="shared" si="18"/>
        <v>0</v>
      </c>
      <c r="BP35" s="173">
        <f t="shared" si="18"/>
        <v>0</v>
      </c>
      <c r="BQ35" s="173">
        <f t="shared" si="18"/>
        <v>0</v>
      </c>
      <c r="BR35" s="173">
        <f t="shared" si="18"/>
        <v>0</v>
      </c>
      <c r="BS35" s="173">
        <f t="shared" si="18"/>
        <v>0</v>
      </c>
      <c r="BZ35" s="189" t="str">
        <f t="shared" si="19"/>
        <v>lot10</v>
      </c>
      <c r="CA35" s="192">
        <f>Scénario!K115</f>
        <v>0</v>
      </c>
      <c r="CB35" s="173">
        <f t="shared" si="23"/>
        <v>0</v>
      </c>
      <c r="CC35" s="173">
        <f t="shared" si="20"/>
        <v>0</v>
      </c>
      <c r="CD35" s="173">
        <f t="shared" si="20"/>
        <v>0</v>
      </c>
      <c r="CE35" s="173">
        <f t="shared" si="20"/>
        <v>0</v>
      </c>
      <c r="CF35" s="173">
        <f t="shared" si="20"/>
        <v>0</v>
      </c>
      <c r="CG35" s="173">
        <f t="shared" si="20"/>
        <v>0</v>
      </c>
      <c r="CH35" s="173">
        <f t="shared" si="20"/>
        <v>0</v>
      </c>
      <c r="CI35" s="173">
        <f t="shared" si="20"/>
        <v>0</v>
      </c>
      <c r="CJ35" s="173">
        <f t="shared" si="20"/>
        <v>0</v>
      </c>
      <c r="CK35" s="173">
        <f t="shared" si="20"/>
        <v>0</v>
      </c>
      <c r="CL35" s="173">
        <f t="shared" si="20"/>
        <v>0</v>
      </c>
      <c r="CM35" s="173">
        <f t="shared" si="20"/>
        <v>0</v>
      </c>
      <c r="CN35" s="173">
        <f t="shared" si="20"/>
        <v>0</v>
      </c>
      <c r="CO35" s="173">
        <f t="shared" si="20"/>
        <v>0</v>
      </c>
      <c r="CP35" s="173">
        <f t="shared" si="20"/>
        <v>0</v>
      </c>
      <c r="CQ35" s="173">
        <f t="shared" si="20"/>
        <v>0</v>
      </c>
      <c r="CR35" s="173">
        <f t="shared" si="20"/>
        <v>0</v>
      </c>
      <c r="CS35" s="173">
        <f t="shared" si="20"/>
        <v>0</v>
      </c>
      <c r="CT35" s="173">
        <f t="shared" si="20"/>
        <v>0</v>
      </c>
      <c r="CU35" s="173">
        <f t="shared" si="20"/>
        <v>0</v>
      </c>
      <c r="CV35" s="173">
        <f t="shared" si="20"/>
        <v>0</v>
      </c>
      <c r="CW35" s="173">
        <f t="shared" si="20"/>
        <v>0</v>
      </c>
      <c r="CX35" s="173">
        <f t="shared" si="20"/>
        <v>0</v>
      </c>
      <c r="CY35" s="173">
        <f t="shared" si="20"/>
        <v>0</v>
      </c>
      <c r="DC35" s="189" t="str">
        <f t="shared" si="21"/>
        <v>lot10</v>
      </c>
      <c r="DD35" s="192">
        <f>Scénario!K125</f>
        <v>0</v>
      </c>
      <c r="DE35" s="173">
        <f t="shared" si="24"/>
        <v>0</v>
      </c>
      <c r="DF35" s="173">
        <f t="shared" si="22"/>
        <v>0</v>
      </c>
      <c r="DG35" s="173">
        <f t="shared" si="22"/>
        <v>0</v>
      </c>
      <c r="DH35" s="173">
        <f t="shared" si="22"/>
        <v>0</v>
      </c>
      <c r="DI35" s="173">
        <f t="shared" si="22"/>
        <v>0</v>
      </c>
      <c r="DJ35" s="173">
        <f t="shared" si="22"/>
        <v>0</v>
      </c>
      <c r="DK35" s="173">
        <f t="shared" si="22"/>
        <v>0</v>
      </c>
      <c r="DL35" s="173">
        <f t="shared" si="22"/>
        <v>0</v>
      </c>
      <c r="DM35" s="173">
        <f t="shared" si="22"/>
        <v>0</v>
      </c>
      <c r="DN35" s="173">
        <f t="shared" si="22"/>
        <v>0</v>
      </c>
      <c r="DO35" s="173">
        <f t="shared" si="22"/>
        <v>0</v>
      </c>
      <c r="DP35" s="173">
        <f t="shared" si="22"/>
        <v>0</v>
      </c>
      <c r="DQ35" s="173">
        <f t="shared" si="22"/>
        <v>0</v>
      </c>
      <c r="DR35" s="173">
        <f t="shared" si="22"/>
        <v>0</v>
      </c>
      <c r="DS35" s="173">
        <f t="shared" si="22"/>
        <v>0</v>
      </c>
      <c r="DT35" s="173">
        <f t="shared" si="22"/>
        <v>0</v>
      </c>
      <c r="DU35" s="173">
        <f t="shared" si="22"/>
        <v>0</v>
      </c>
      <c r="DV35" s="173">
        <f t="shared" si="22"/>
        <v>0</v>
      </c>
      <c r="DW35" s="173">
        <f t="shared" si="22"/>
        <v>0</v>
      </c>
      <c r="DX35" s="173">
        <f t="shared" si="22"/>
        <v>0</v>
      </c>
      <c r="DY35" s="173">
        <f t="shared" si="22"/>
        <v>0</v>
      </c>
      <c r="DZ35" s="173">
        <f t="shared" si="22"/>
        <v>0</v>
      </c>
      <c r="EA35" s="173">
        <f t="shared" si="22"/>
        <v>0</v>
      </c>
      <c r="EB35" s="173">
        <f>IF($DD35="fort",2,IF($DD35="faible",1,0))</f>
        <v>0</v>
      </c>
    </row>
    <row r="36" spans="1:151" x14ac:dyDescent="0.25">
      <c r="A36" t="s">
        <v>601</v>
      </c>
      <c r="B36" s="190">
        <f>IF(Troupeau!C3="BL",[1]Trav!$F$102,IF(Troupeau!C3="OL",[1]Trav!$F$103,0))</f>
        <v>0</v>
      </c>
      <c r="C36" s="173">
        <f>Troupeau!C19</f>
        <v>0</v>
      </c>
      <c r="D36" s="190">
        <f>IF(Troupeau!C3="OL",[1]Trav!$B$103,0)</f>
        <v>0</v>
      </c>
      <c r="E36" s="172"/>
      <c r="F36" s="173">
        <f t="shared" ref="F36:F37" si="26">B36+C36*D36</f>
        <v>0</v>
      </c>
      <c r="AR36" s="188" t="s">
        <v>747</v>
      </c>
      <c r="AT36" s="2" t="s">
        <v>745</v>
      </c>
      <c r="BZ36" s="2" t="s">
        <v>745</v>
      </c>
      <c r="CB36" s="171"/>
      <c r="CC36" s="171"/>
      <c r="CD36" s="171"/>
      <c r="CE36" s="171"/>
      <c r="CF36" s="171"/>
      <c r="CG36" s="171"/>
      <c r="CH36" s="171"/>
      <c r="CI36" s="171"/>
      <c r="CJ36" s="171"/>
      <c r="CK36" s="171"/>
      <c r="CL36" s="171"/>
      <c r="CM36" s="171"/>
      <c r="CN36" s="171"/>
      <c r="CO36" s="171"/>
      <c r="CP36" s="171"/>
      <c r="CQ36" s="171"/>
      <c r="CR36" s="171"/>
      <c r="CS36" s="171"/>
      <c r="CT36" s="171"/>
      <c r="CU36" s="171"/>
      <c r="CV36" s="171"/>
      <c r="CW36" s="171"/>
      <c r="CX36" s="171"/>
      <c r="CY36" s="171"/>
      <c r="DC36" s="2" t="s">
        <v>745</v>
      </c>
      <c r="DD36" s="182"/>
      <c r="DE36" s="171"/>
      <c r="DF36" s="171"/>
      <c r="DG36" s="171"/>
      <c r="DH36" s="171"/>
      <c r="DI36" s="171"/>
      <c r="DJ36" s="171"/>
      <c r="DK36" s="171"/>
      <c r="DL36" s="171"/>
      <c r="DM36" s="171"/>
      <c r="DN36" s="171"/>
      <c r="DO36" s="171"/>
      <c r="DP36" s="171"/>
      <c r="DQ36" s="171"/>
      <c r="DR36" s="171"/>
      <c r="DS36" s="171"/>
      <c r="DT36" s="171"/>
      <c r="DU36" s="171"/>
      <c r="DV36" s="171"/>
      <c r="DW36" s="171"/>
      <c r="DX36" s="171"/>
      <c r="DY36" s="171"/>
      <c r="DZ36" s="171"/>
      <c r="EA36" s="171"/>
      <c r="EB36" s="171"/>
    </row>
    <row r="37" spans="1:151" x14ac:dyDescent="0.25">
      <c r="A37" t="s">
        <v>738</v>
      </c>
      <c r="B37" s="190">
        <f>IF(Troupeau!D3="BL",[1]Trav!$F$102,IF(Troupeau!D3="OL",[1]Trav!$F$103,0))</f>
        <v>0</v>
      </c>
      <c r="C37" s="173">
        <f>Troupeau!D19</f>
        <v>0</v>
      </c>
      <c r="D37" s="190">
        <f>IF(Troupeau!D3="OL",[1]Trav!$B$103,0)</f>
        <v>0</v>
      </c>
      <c r="E37" s="172"/>
      <c r="F37" s="173">
        <f t="shared" si="26"/>
        <v>0</v>
      </c>
      <c r="AR37" s="188" t="s">
        <v>747</v>
      </c>
      <c r="AT37" s="189" t="str">
        <f>CdTrp1!$A52</f>
        <v>brebis</v>
      </c>
      <c r="AU37" s="32"/>
      <c r="AV37" s="173">
        <f>IF(CdTrp1!B52=1,3,IF(CdTrp1!B52=0.5,2,IF(CdTrp1!B52=0,1,0)))</f>
        <v>3</v>
      </c>
      <c r="AW37" s="173">
        <f>IF(CdTrp1!C52=1,3,IF(CdTrp1!C52=0.5,2,IF(CdTrp1!C52=0,1,0)))</f>
        <v>3</v>
      </c>
      <c r="AX37" s="173">
        <f>IF(CdTrp1!D52=1,3,IF(CdTrp1!D52=0.5,2,IF(CdTrp1!D52=0,1,0)))</f>
        <v>3</v>
      </c>
      <c r="AY37" s="173">
        <f>IF(CdTrp1!E52=1,3,IF(CdTrp1!E52=0.5,2,IF(CdTrp1!E52=0,1,0)))</f>
        <v>2</v>
      </c>
      <c r="AZ37" s="173">
        <f>IF(CdTrp1!F52=1,3,IF(CdTrp1!F52=0.5,2,IF(CdTrp1!F52=0,1,0)))</f>
        <v>2</v>
      </c>
      <c r="BA37" s="173">
        <f>IF(CdTrp1!G52=1,3,IF(CdTrp1!G52=0.5,2,IF(CdTrp1!G52=0,1,0)))</f>
        <v>2</v>
      </c>
      <c r="BB37" s="173">
        <f>IF(CdTrp1!H52=1,3,IF(CdTrp1!H52=0.5,2,IF(CdTrp1!H52=0,1,0)))</f>
        <v>2</v>
      </c>
      <c r="BC37" s="173">
        <f>IF(CdTrp1!I52=1,3,IF(CdTrp1!I52=0.5,2,IF(CdTrp1!I52=0,1,0)))</f>
        <v>2</v>
      </c>
      <c r="BD37" s="173">
        <f>IF(CdTrp1!J52=1,3,IF(CdTrp1!J52=0.5,2,IF(CdTrp1!J52=0,1,0)))</f>
        <v>2</v>
      </c>
      <c r="BE37" s="173">
        <f>IF(CdTrp1!K52=1,3,IF(CdTrp1!K52=0.5,2,IF(CdTrp1!K52=0,1,0)))</f>
        <v>2</v>
      </c>
      <c r="BF37" s="173">
        <f>IF(CdTrp1!L52=1,3,IF(CdTrp1!L52=0.5,2,IF(CdTrp1!L52=0,1,0)))</f>
        <v>2</v>
      </c>
      <c r="BG37" s="173">
        <f>IF(CdTrp1!M52=1,3,IF(CdTrp1!M52=0.5,2,IF(CdTrp1!M52=0,1,0)))</f>
        <v>1</v>
      </c>
      <c r="BH37" s="173">
        <f>IF(CdTrp1!N52=1,3,IF(CdTrp1!N52=0.5,2,IF(CdTrp1!N52=0,1,0)))</f>
        <v>1</v>
      </c>
      <c r="BI37" s="173">
        <f>IF(CdTrp1!O52=1,3,IF(CdTrp1!O52=0.5,2,IF(CdTrp1!O52=0,1,0)))</f>
        <v>1</v>
      </c>
      <c r="BJ37" s="173">
        <f>IF(CdTrp1!P52=1,3,IF(CdTrp1!P52=0.5,2,IF(CdTrp1!P52=0,1,0)))</f>
        <v>1</v>
      </c>
      <c r="BK37" s="173">
        <f>IF(CdTrp1!Q52=1,3,IF(CdTrp1!Q52=0.5,2,IF(CdTrp1!Q52=0,1,0)))</f>
        <v>1</v>
      </c>
      <c r="BL37" s="173">
        <f>IF(CdTrp1!R52=1,3,IF(CdTrp1!R52=0.5,2,IF(CdTrp1!R52=0,1,0)))</f>
        <v>1</v>
      </c>
      <c r="BM37" s="173">
        <f>IF(CdTrp1!S52=1,3,IF(CdTrp1!S52=0.5,2,IF(CdTrp1!S52=0,1,0)))</f>
        <v>1</v>
      </c>
      <c r="BN37" s="173">
        <f>IF(CdTrp1!T52=1,3,IF(CdTrp1!T52=0.5,2,IF(CdTrp1!T52=0,1,0)))</f>
        <v>2</v>
      </c>
      <c r="BO37" s="173">
        <f>IF(CdTrp1!U52=1,3,IF(CdTrp1!U52=0.5,2,IF(CdTrp1!U52=0,1,0)))</f>
        <v>2</v>
      </c>
      <c r="BP37" s="173">
        <f>IF(CdTrp1!V52=1,3,IF(CdTrp1!V52=0.5,2,IF(CdTrp1!V52=0,1,0)))</f>
        <v>3</v>
      </c>
      <c r="BQ37" s="173">
        <f>IF(CdTrp1!W52=1,3,IF(CdTrp1!W52=0.5,2,IF(CdTrp1!W52=0,1,0)))</f>
        <v>3</v>
      </c>
      <c r="BR37" s="173">
        <f>IF(CdTrp1!X52=1,3,IF(CdTrp1!X52=0.5,2,IF(CdTrp1!X52=0,1,0)))</f>
        <v>3</v>
      </c>
      <c r="BS37" s="173">
        <f>IF(CdTrp1!Y52=1,3,IF(CdTrp1!Y52=0.5,2,IF(CdTrp1!Y52=0,1,0)))</f>
        <v>3</v>
      </c>
      <c r="BU37">
        <v>3</v>
      </c>
      <c r="BV37" t="s">
        <v>771</v>
      </c>
      <c r="BZ37" s="189" t="str">
        <f t="shared" ref="BZ37:BZ46" si="27">+BZ4</f>
        <v xml:space="preserve">vaches </v>
      </c>
      <c r="CA37" s="32"/>
      <c r="CB37" s="173">
        <f>IF(CdTrp2!B52=1,3,IF(CdTrp2!B52=0.5,2,IF(CdTrp2!B52=0,1,0)))</f>
        <v>3</v>
      </c>
      <c r="CC37" s="173">
        <f>IF(CdTrp2!C52=1,3,IF(CdTrp2!C52=0.5,2,IF(CdTrp2!C52=0,1,0)))</f>
        <v>3</v>
      </c>
      <c r="CD37" s="173">
        <f>IF(CdTrp2!D52=1,3,IF(CdTrp2!D52=0.5,2,IF(CdTrp2!D52=0,1,0)))</f>
        <v>3</v>
      </c>
      <c r="CE37" s="173">
        <f>IF(CdTrp2!E52=1,3,IF(CdTrp2!E52=0.5,2,IF(CdTrp2!E52=0,1,0)))</f>
        <v>3</v>
      </c>
      <c r="CF37" s="173">
        <f>IF(CdTrp2!F52=1,3,IF(CdTrp2!F52=0.5,2,IF(CdTrp2!F52=0,1,0)))</f>
        <v>3</v>
      </c>
      <c r="CG37" s="173">
        <f>IF(CdTrp2!G52=1,3,IF(CdTrp2!G52=0.5,2,IF(CdTrp2!G52=0,1,0)))</f>
        <v>3</v>
      </c>
      <c r="CH37" s="173">
        <f>IF(CdTrp2!H52=1,3,IF(CdTrp2!H52=0.5,2,IF(CdTrp2!H52=0,1,0)))</f>
        <v>2</v>
      </c>
      <c r="CI37" s="173">
        <f>IF(CdTrp2!I52=1,3,IF(CdTrp2!I52=0.5,2,IF(CdTrp2!I52=0,1,0)))</f>
        <v>2</v>
      </c>
      <c r="CJ37" s="173">
        <f>IF(CdTrp2!J52=1,3,IF(CdTrp2!J52=0.5,2,IF(CdTrp2!J52=0,1,0)))</f>
        <v>2</v>
      </c>
      <c r="CK37" s="173">
        <f>IF(CdTrp2!K52=1,3,IF(CdTrp2!K52=0.5,2,IF(CdTrp2!K52=0,1,0)))</f>
        <v>2</v>
      </c>
      <c r="CL37" s="173">
        <f>IF(CdTrp2!L52=1,3,IF(CdTrp2!L52=0.5,2,IF(CdTrp2!L52=0,1,0)))</f>
        <v>1</v>
      </c>
      <c r="CM37" s="173">
        <f>IF(CdTrp2!M52=1,3,IF(CdTrp2!M52=0.5,2,IF(CdTrp2!M52=0,1,0)))</f>
        <v>1</v>
      </c>
      <c r="CN37" s="173">
        <f>IF(CdTrp2!N52=1,3,IF(CdTrp2!N52=0.5,2,IF(CdTrp2!N52=0,1,0)))</f>
        <v>1</v>
      </c>
      <c r="CO37" s="173">
        <f>IF(CdTrp2!O52=1,3,IF(CdTrp2!O52=0.5,2,IF(CdTrp2!O52=0,1,0)))</f>
        <v>1</v>
      </c>
      <c r="CP37" s="173">
        <f>IF(CdTrp2!P52=1,3,IF(CdTrp2!P52=0.5,2,IF(CdTrp2!P52=0,1,0)))</f>
        <v>1</v>
      </c>
      <c r="CQ37" s="173">
        <f>IF(CdTrp2!Q52=1,3,IF(CdTrp2!Q52=0.5,2,IF(CdTrp2!Q52=0,1,0)))</f>
        <v>1</v>
      </c>
      <c r="CR37" s="173">
        <f>IF(CdTrp2!R52=1,3,IF(CdTrp2!R52=0.5,2,IF(CdTrp2!R52=0,1,0)))</f>
        <v>1</v>
      </c>
      <c r="CS37" s="173">
        <f>IF(CdTrp2!S52=1,3,IF(CdTrp2!S52=0.5,2,IF(CdTrp2!S52=0,1,0)))</f>
        <v>1</v>
      </c>
      <c r="CT37" s="173">
        <f>IF(CdTrp2!T52=1,3,IF(CdTrp2!T52=0.5,2,IF(CdTrp2!T52=0,1,0)))</f>
        <v>2</v>
      </c>
      <c r="CU37" s="173">
        <f>IF(CdTrp2!U52=1,3,IF(CdTrp2!U52=0.5,2,IF(CdTrp2!U52=0,1,0)))</f>
        <v>2</v>
      </c>
      <c r="CV37" s="173">
        <f>IF(CdTrp2!V52=1,3,IF(CdTrp2!V52=0.5,2,IF(CdTrp2!V52=0,1,0)))</f>
        <v>2</v>
      </c>
      <c r="CW37" s="173">
        <f>IF(CdTrp2!W52=1,3,IF(CdTrp2!W52=0.5,2,IF(CdTrp2!W52=0,1,0)))</f>
        <v>2</v>
      </c>
      <c r="CX37" s="173">
        <f>IF(CdTrp2!X52=1,3,IF(CdTrp2!X52=0.5,2,IF(CdTrp2!X52=0,1,0)))</f>
        <v>3</v>
      </c>
      <c r="CY37" s="173">
        <f>IF(CdTrp2!Y52=1,3,IF(CdTrp2!Y52=0.5,2,IF(CdTrp2!Y52=0,1,0)))</f>
        <v>3</v>
      </c>
      <c r="DC37" s="189" t="str">
        <f t="shared" ref="DC37:DC46" si="28">+DC4</f>
        <v>lot1</v>
      </c>
      <c r="DD37" s="32"/>
      <c r="DE37" s="173">
        <f>IF(CdTrp3!B52=1,3,IF(CdTrp3!B52=0.5,2,IF(CdTrp3!B52=0,1,0)))</f>
        <v>1</v>
      </c>
      <c r="DF37" s="173">
        <f>IF(CdTrp3!C52=1,3,IF(CdTrp3!C52=0.5,2,IF(CdTrp3!C52=0,1,0)))</f>
        <v>1</v>
      </c>
      <c r="DG37" s="173">
        <f>IF(CdTrp3!D52=1,3,IF(CdTrp3!D52=0.5,2,IF(CdTrp3!D52=0,1,0)))</f>
        <v>1</v>
      </c>
      <c r="DH37" s="173">
        <f>IF(CdTrp3!E52=1,3,IF(CdTrp3!E52=0.5,2,IF(CdTrp3!E52=0,1,0)))</f>
        <v>1</v>
      </c>
      <c r="DI37" s="173">
        <f>IF(CdTrp3!F52=1,3,IF(CdTrp3!F52=0.5,2,IF(CdTrp3!F52=0,1,0)))</f>
        <v>1</v>
      </c>
      <c r="DJ37" s="173">
        <f>IF(CdTrp3!G52=1,3,IF(CdTrp3!G52=0.5,2,IF(CdTrp3!G52=0,1,0)))</f>
        <v>1</v>
      </c>
      <c r="DK37" s="173">
        <f>IF(CdTrp3!H52=1,3,IF(CdTrp3!H52=0.5,2,IF(CdTrp3!H52=0,1,0)))</f>
        <v>1</v>
      </c>
      <c r="DL37" s="173">
        <f>IF(CdTrp3!I52=1,3,IF(CdTrp3!I52=0.5,2,IF(CdTrp3!I52=0,1,0)))</f>
        <v>1</v>
      </c>
      <c r="DM37" s="173">
        <f>IF(CdTrp3!J52=1,3,IF(CdTrp3!J52=0.5,2,IF(CdTrp3!J52=0,1,0)))</f>
        <v>1</v>
      </c>
      <c r="DN37" s="173">
        <f>IF(CdTrp3!K52=1,3,IF(CdTrp3!K52=0.5,2,IF(CdTrp3!K52=0,1,0)))</f>
        <v>1</v>
      </c>
      <c r="DO37" s="173">
        <f>IF(CdTrp3!L52=1,3,IF(CdTrp3!L52=0.5,2,IF(CdTrp3!L52=0,1,0)))</f>
        <v>1</v>
      </c>
      <c r="DP37" s="173">
        <f>IF(CdTrp3!M52=1,3,IF(CdTrp3!M52=0.5,2,IF(CdTrp3!M52=0,1,0)))</f>
        <v>1</v>
      </c>
      <c r="DQ37" s="173">
        <f>IF(CdTrp3!N52=1,3,IF(CdTrp3!N52=0.5,2,IF(CdTrp3!N52=0,1,0)))</f>
        <v>1</v>
      </c>
      <c r="DR37" s="173">
        <f>IF(CdTrp3!O52=1,3,IF(CdTrp3!O52=0.5,2,IF(CdTrp3!O52=0,1,0)))</f>
        <v>1</v>
      </c>
      <c r="DS37" s="173">
        <f>IF(CdTrp3!P52=1,3,IF(CdTrp3!P52=0.5,2,IF(CdTrp3!P52=0,1,0)))</f>
        <v>1</v>
      </c>
      <c r="DT37" s="173">
        <f>IF(CdTrp3!Q52=1,3,IF(CdTrp3!Q52=0.5,2,IF(CdTrp3!Q52=0,1,0)))</f>
        <v>1</v>
      </c>
      <c r="DU37" s="173">
        <f>IF(CdTrp3!R52=1,3,IF(CdTrp3!R52=0.5,2,IF(CdTrp3!R52=0,1,0)))</f>
        <v>1</v>
      </c>
      <c r="DV37" s="173">
        <f>IF(CdTrp3!S52=1,3,IF(CdTrp3!S52=0.5,2,IF(CdTrp3!S52=0,1,0)))</f>
        <v>1</v>
      </c>
      <c r="DW37" s="173">
        <f>IF(CdTrp3!T52=1,3,IF(CdTrp3!T52=0.5,2,IF(CdTrp3!T52=0,1,0)))</f>
        <v>1</v>
      </c>
      <c r="DX37" s="173">
        <f>IF(CdTrp3!U52=1,3,IF(CdTrp3!U52=0.5,2,IF(CdTrp3!U52=0,1,0)))</f>
        <v>1</v>
      </c>
      <c r="DY37" s="173">
        <f>IF(CdTrp3!V52=1,3,IF(CdTrp3!V52=0.5,2,IF(CdTrp3!V52=0,1,0)))</f>
        <v>1</v>
      </c>
      <c r="DZ37" s="173">
        <f>IF(CdTrp3!W52=1,3,IF(CdTrp3!W52=0.5,2,IF(CdTrp3!W52=0,1,0)))</f>
        <v>1</v>
      </c>
      <c r="EA37" s="173">
        <f>IF(CdTrp3!X52=1,3,IF(CdTrp3!X52=0.5,2,IF(CdTrp3!X52=0,1,0)))</f>
        <v>1</v>
      </c>
      <c r="EB37" s="173">
        <f>IF(CdTrp3!Y52=1,3,IF(CdTrp3!Y52=0.5,2,IF(CdTrp3!Y52=0,1,0)))</f>
        <v>1</v>
      </c>
    </row>
    <row r="38" spans="1:151" x14ac:dyDescent="0.25">
      <c r="A38" s="2" t="s">
        <v>772</v>
      </c>
      <c r="B38" s="195" t="s">
        <v>773</v>
      </c>
      <c r="C38" s="195" t="s">
        <v>774</v>
      </c>
      <c r="D38" s="194"/>
      <c r="E38" s="194"/>
      <c r="F38" s="33"/>
      <c r="AR38" s="188" t="s">
        <v>747</v>
      </c>
      <c r="AT38" s="271" t="str">
        <f>CdTrp1!$A53</f>
        <v>vides</v>
      </c>
      <c r="AU38" s="32"/>
      <c r="AV38" s="173">
        <f>IF(CdTrp1!B53=1,3,IF(CdTrp1!B53=0.5,2,IF(CdTrp1!B53=0,1,0)))</f>
        <v>2</v>
      </c>
      <c r="AW38" s="173">
        <f>IF(CdTrp1!C53=1,3,IF(CdTrp1!C53=0.5,2,IF(CdTrp1!C53=0,1,0)))</f>
        <v>2</v>
      </c>
      <c r="AX38" s="173">
        <f>IF(CdTrp1!D53=1,3,IF(CdTrp1!D53=0.5,2,IF(CdTrp1!D53=0,1,0)))</f>
        <v>2</v>
      </c>
      <c r="AY38" s="173">
        <f>IF(CdTrp1!E53=1,3,IF(CdTrp1!E53=0.5,2,IF(CdTrp1!E53=0,1,0)))</f>
        <v>2</v>
      </c>
      <c r="AZ38" s="173">
        <f>IF(CdTrp1!F53=1,3,IF(CdTrp1!F53=0.5,2,IF(CdTrp1!F53=0,1,0)))</f>
        <v>2</v>
      </c>
      <c r="BA38" s="173">
        <f>IF(CdTrp1!G53=1,3,IF(CdTrp1!G53=0.5,2,IF(CdTrp1!G53=0,1,0)))</f>
        <v>2</v>
      </c>
      <c r="BB38" s="173">
        <f>IF(CdTrp1!H53=1,3,IF(CdTrp1!H53=0.5,2,IF(CdTrp1!H53=0,1,0)))</f>
        <v>2</v>
      </c>
      <c r="BC38" s="173">
        <f>IF(CdTrp1!I53=1,3,IF(CdTrp1!I53=0.5,2,IF(CdTrp1!I53=0,1,0)))</f>
        <v>2</v>
      </c>
      <c r="BD38" s="173">
        <f>IF(CdTrp1!J53=1,3,IF(CdTrp1!J53=0.5,2,IF(CdTrp1!J53=0,1,0)))</f>
        <v>2</v>
      </c>
      <c r="BE38" s="173">
        <f>IF(CdTrp1!K53=1,3,IF(CdTrp1!K53=0.5,2,IF(CdTrp1!K53=0,1,0)))</f>
        <v>0</v>
      </c>
      <c r="BF38" s="173">
        <f>IF(CdTrp1!L53=1,3,IF(CdTrp1!L53=0.5,2,IF(CdTrp1!L53=0,1,0)))</f>
        <v>0</v>
      </c>
      <c r="BG38" s="173">
        <f>IF(CdTrp1!M53=1,3,IF(CdTrp1!M53=0.5,2,IF(CdTrp1!M53=0,1,0)))</f>
        <v>0</v>
      </c>
      <c r="BH38" s="173">
        <f>IF(CdTrp1!N53=1,3,IF(CdTrp1!N53=0.5,2,IF(CdTrp1!N53=0,1,0)))</f>
        <v>0</v>
      </c>
      <c r="BI38" s="173">
        <f>IF(CdTrp1!O53=1,3,IF(CdTrp1!O53=0.5,2,IF(CdTrp1!O53=0,1,0)))</f>
        <v>0</v>
      </c>
      <c r="BJ38" s="173">
        <f>IF(CdTrp1!P53=1,3,IF(CdTrp1!P53=0.5,2,IF(CdTrp1!P53=0,1,0)))</f>
        <v>0</v>
      </c>
      <c r="BK38" s="173">
        <f>IF(CdTrp1!Q53=1,3,IF(CdTrp1!Q53=0.5,2,IF(CdTrp1!Q53=0,1,0)))</f>
        <v>0</v>
      </c>
      <c r="BL38" s="173">
        <f>IF(CdTrp1!R53=1,3,IF(CdTrp1!R53=0.5,2,IF(CdTrp1!R53=0,1,0)))</f>
        <v>0</v>
      </c>
      <c r="BM38" s="173">
        <f>IF(CdTrp1!S53=1,3,IF(CdTrp1!S53=0.5,2,IF(CdTrp1!S53=0,1,0)))</f>
        <v>0</v>
      </c>
      <c r="BN38" s="173">
        <f>IF(CdTrp1!T53=1,3,IF(CdTrp1!T53=0.5,2,IF(CdTrp1!T53=0,1,0)))</f>
        <v>0</v>
      </c>
      <c r="BO38" s="173">
        <f>IF(CdTrp1!U53=1,3,IF(CdTrp1!U53=0.5,2,IF(CdTrp1!U53=0,1,0)))</f>
        <v>2</v>
      </c>
      <c r="BP38" s="173">
        <f>IF(CdTrp1!V53=1,3,IF(CdTrp1!V53=0.5,2,IF(CdTrp1!V53=0,1,0)))</f>
        <v>2</v>
      </c>
      <c r="BQ38" s="173">
        <f>IF(CdTrp1!W53=1,3,IF(CdTrp1!W53=0.5,2,IF(CdTrp1!W53=0,1,0)))</f>
        <v>2</v>
      </c>
      <c r="BR38" s="173">
        <f>IF(CdTrp1!X53=1,3,IF(CdTrp1!X53=0.5,2,IF(CdTrp1!X53=0,1,0)))</f>
        <v>2</v>
      </c>
      <c r="BS38" s="173">
        <f>IF(CdTrp1!Y53=1,3,IF(CdTrp1!Y53=0.5,2,IF(CdTrp1!Y53=0,1,0)))</f>
        <v>2</v>
      </c>
      <c r="BU38">
        <v>2</v>
      </c>
      <c r="BV38" t="s">
        <v>775</v>
      </c>
      <c r="BZ38" s="189" t="str">
        <f t="shared" si="27"/>
        <v>genisses -1an</v>
      </c>
      <c r="CA38" s="32"/>
      <c r="CB38" s="173">
        <f>IF(CdTrp2!B53=1,3,IF(CdTrp2!B53=0.5,2,IF(CdTrp2!B53=0,1,0)))</f>
        <v>0</v>
      </c>
      <c r="CC38" s="173">
        <f>IF(CdTrp2!C53=1,3,IF(CdTrp2!C53=0.5,2,IF(CdTrp2!C53=0,1,0)))</f>
        <v>0</v>
      </c>
      <c r="CD38" s="173">
        <f>IF(CdTrp2!D53=1,3,IF(CdTrp2!D53=0.5,2,IF(CdTrp2!D53=0,1,0)))</f>
        <v>0</v>
      </c>
      <c r="CE38" s="173">
        <f>IF(CdTrp2!E53=1,3,IF(CdTrp2!E53=0.5,2,IF(CdTrp2!E53=0,1,0)))</f>
        <v>0</v>
      </c>
      <c r="CF38" s="173">
        <f>IF(CdTrp2!F53=1,3,IF(CdTrp2!F53=0.5,2,IF(CdTrp2!F53=0,1,0)))</f>
        <v>0</v>
      </c>
      <c r="CG38" s="173">
        <f>IF(CdTrp2!G53=1,3,IF(CdTrp2!G53=0.5,2,IF(CdTrp2!G53=0,1,0)))</f>
        <v>1</v>
      </c>
      <c r="CH38" s="173">
        <f>IF(CdTrp2!H53=1,3,IF(CdTrp2!H53=0.5,2,IF(CdTrp2!H53=0,1,0)))</f>
        <v>1</v>
      </c>
      <c r="CI38" s="173">
        <f>IF(CdTrp2!I53=1,3,IF(CdTrp2!I53=0.5,2,IF(CdTrp2!I53=0,1,0)))</f>
        <v>1</v>
      </c>
      <c r="CJ38" s="173">
        <f>IF(CdTrp2!J53=1,3,IF(CdTrp2!J53=0.5,2,IF(CdTrp2!J53=0,1,0)))</f>
        <v>1</v>
      </c>
      <c r="CK38" s="173">
        <f>IF(CdTrp2!K53=1,3,IF(CdTrp2!K53=0.5,2,IF(CdTrp2!K53=0,1,0)))</f>
        <v>1</v>
      </c>
      <c r="CL38" s="173">
        <f>IF(CdTrp2!L53=1,3,IF(CdTrp2!L53=0.5,2,IF(CdTrp2!L53=0,1,0)))</f>
        <v>1</v>
      </c>
      <c r="CM38" s="173">
        <f>IF(CdTrp2!M53=1,3,IF(CdTrp2!M53=0.5,2,IF(CdTrp2!M53=0,1,0)))</f>
        <v>1</v>
      </c>
      <c r="CN38" s="173">
        <f>IF(CdTrp2!N53=1,3,IF(CdTrp2!N53=0.5,2,IF(CdTrp2!N53=0,1,0)))</f>
        <v>1</v>
      </c>
      <c r="CO38" s="173">
        <f>IF(CdTrp2!O53=1,3,IF(CdTrp2!O53=0.5,2,IF(CdTrp2!O53=0,1,0)))</f>
        <v>1</v>
      </c>
      <c r="CP38" s="173">
        <f>IF(CdTrp2!P53=1,3,IF(CdTrp2!P53=0.5,2,IF(CdTrp2!P53=0,1,0)))</f>
        <v>1</v>
      </c>
      <c r="CQ38" s="173">
        <f>IF(CdTrp2!Q53=1,3,IF(CdTrp2!Q53=0.5,2,IF(CdTrp2!Q53=0,1,0)))</f>
        <v>1</v>
      </c>
      <c r="CR38" s="173">
        <f>IF(CdTrp2!R53=1,3,IF(CdTrp2!R53=0.5,2,IF(CdTrp2!R53=0,1,0)))</f>
        <v>1</v>
      </c>
      <c r="CS38" s="173">
        <f>IF(CdTrp2!S53=1,3,IF(CdTrp2!S53=0.5,2,IF(CdTrp2!S53=0,1,0)))</f>
        <v>1</v>
      </c>
      <c r="CT38" s="173">
        <f>IF(CdTrp2!T53=1,3,IF(CdTrp2!T53=0.5,2,IF(CdTrp2!T53=0,1,0)))</f>
        <v>1</v>
      </c>
      <c r="CU38" s="173">
        <f>IF(CdTrp2!U53=1,3,IF(CdTrp2!U53=0.5,2,IF(CdTrp2!U53=0,1,0)))</f>
        <v>1</v>
      </c>
      <c r="CV38" s="173">
        <f>IF(CdTrp2!V53=1,3,IF(CdTrp2!V53=0.5,2,IF(CdTrp2!V53=0,1,0)))</f>
        <v>2</v>
      </c>
      <c r="CW38" s="173">
        <f>IF(CdTrp2!W53=1,3,IF(CdTrp2!W53=0.5,2,IF(CdTrp2!W53=0,1,0)))</f>
        <v>2</v>
      </c>
      <c r="CX38" s="173">
        <f>IF(CdTrp2!X53=1,3,IF(CdTrp2!X53=0.5,2,IF(CdTrp2!X53=0,1,0)))</f>
        <v>0</v>
      </c>
      <c r="CY38" s="173">
        <f>IF(CdTrp2!Y53=1,3,IF(CdTrp2!Y53=0.5,2,IF(CdTrp2!Y53=0,1,0)))</f>
        <v>0</v>
      </c>
      <c r="DC38" s="189" t="str">
        <f t="shared" si="28"/>
        <v>lot2</v>
      </c>
      <c r="DD38" s="32"/>
      <c r="DE38" s="173">
        <f>IF(CdTrp3!B53=1,3,IF(CdTrp3!B53=0.5,2,IF(CdTrp3!B53=0,1,0)))</f>
        <v>1</v>
      </c>
      <c r="DF38" s="173">
        <f>IF(CdTrp3!C53=1,3,IF(CdTrp3!C53=0.5,2,IF(CdTrp3!C53=0,1,0)))</f>
        <v>1</v>
      </c>
      <c r="DG38" s="173">
        <f>IF(CdTrp3!D53=1,3,IF(CdTrp3!D53=0.5,2,IF(CdTrp3!D53=0,1,0)))</f>
        <v>1</v>
      </c>
      <c r="DH38" s="173">
        <f>IF(CdTrp3!E53=1,3,IF(CdTrp3!E53=0.5,2,IF(CdTrp3!E53=0,1,0)))</f>
        <v>1</v>
      </c>
      <c r="DI38" s="173">
        <f>IF(CdTrp3!F53=1,3,IF(CdTrp3!F53=0.5,2,IF(CdTrp3!F53=0,1,0)))</f>
        <v>1</v>
      </c>
      <c r="DJ38" s="173">
        <f>IF(CdTrp3!G53=1,3,IF(CdTrp3!G53=0.5,2,IF(CdTrp3!G53=0,1,0)))</f>
        <v>1</v>
      </c>
      <c r="DK38" s="173">
        <f>IF(CdTrp3!H53=1,3,IF(CdTrp3!H53=0.5,2,IF(CdTrp3!H53=0,1,0)))</f>
        <v>1</v>
      </c>
      <c r="DL38" s="173">
        <f>IF(CdTrp3!I53=1,3,IF(CdTrp3!I53=0.5,2,IF(CdTrp3!I53=0,1,0)))</f>
        <v>1</v>
      </c>
      <c r="DM38" s="173">
        <f>IF(CdTrp3!J53=1,3,IF(CdTrp3!J53=0.5,2,IF(CdTrp3!J53=0,1,0)))</f>
        <v>1</v>
      </c>
      <c r="DN38" s="173">
        <f>IF(CdTrp3!K53=1,3,IF(CdTrp3!K53=0.5,2,IF(CdTrp3!K53=0,1,0)))</f>
        <v>1</v>
      </c>
      <c r="DO38" s="173">
        <f>IF(CdTrp3!L53=1,3,IF(CdTrp3!L53=0.5,2,IF(CdTrp3!L53=0,1,0)))</f>
        <v>1</v>
      </c>
      <c r="DP38" s="173">
        <f>IF(CdTrp3!M53=1,3,IF(CdTrp3!M53=0.5,2,IF(CdTrp3!M53=0,1,0)))</f>
        <v>1</v>
      </c>
      <c r="DQ38" s="173">
        <f>IF(CdTrp3!N53=1,3,IF(CdTrp3!N53=0.5,2,IF(CdTrp3!N53=0,1,0)))</f>
        <v>1</v>
      </c>
      <c r="DR38" s="173">
        <f>IF(CdTrp3!O53=1,3,IF(CdTrp3!O53=0.5,2,IF(CdTrp3!O53=0,1,0)))</f>
        <v>1</v>
      </c>
      <c r="DS38" s="173">
        <f>IF(CdTrp3!P53=1,3,IF(CdTrp3!P53=0.5,2,IF(CdTrp3!P53=0,1,0)))</f>
        <v>1</v>
      </c>
      <c r="DT38" s="173">
        <f>IF(CdTrp3!Q53=1,3,IF(CdTrp3!Q53=0.5,2,IF(CdTrp3!Q53=0,1,0)))</f>
        <v>1</v>
      </c>
      <c r="DU38" s="173">
        <f>IF(CdTrp3!R53=1,3,IF(CdTrp3!R53=0.5,2,IF(CdTrp3!R53=0,1,0)))</f>
        <v>1</v>
      </c>
      <c r="DV38" s="173">
        <f>IF(CdTrp3!S53=1,3,IF(CdTrp3!S53=0.5,2,IF(CdTrp3!S53=0,1,0)))</f>
        <v>1</v>
      </c>
      <c r="DW38" s="173">
        <f>IF(CdTrp3!T53=1,3,IF(CdTrp3!T53=0.5,2,IF(CdTrp3!T53=0,1,0)))</f>
        <v>1</v>
      </c>
      <c r="DX38" s="173">
        <f>IF(CdTrp3!U53=1,3,IF(CdTrp3!U53=0.5,2,IF(CdTrp3!U53=0,1,0)))</f>
        <v>1</v>
      </c>
      <c r="DY38" s="173">
        <f>IF(CdTrp3!V53=1,3,IF(CdTrp3!V53=0.5,2,IF(CdTrp3!V53=0,1,0)))</f>
        <v>1</v>
      </c>
      <c r="DZ38" s="173">
        <f>IF(CdTrp3!W53=1,3,IF(CdTrp3!W53=0.5,2,IF(CdTrp3!W53=0,1,0)))</f>
        <v>1</v>
      </c>
      <c r="EA38" s="173">
        <f>IF(CdTrp3!X53=1,3,IF(CdTrp3!X53=0.5,2,IF(CdTrp3!X53=0,1,0)))</f>
        <v>1</v>
      </c>
      <c r="EB38" s="173">
        <f>IF(CdTrp3!Y53=1,3,IF(CdTrp3!Y53=0.5,2,IF(CdTrp3!Y53=0,1,0)))</f>
        <v>1</v>
      </c>
    </row>
    <row r="39" spans="1:151" x14ac:dyDescent="0.25">
      <c r="A39" t="s">
        <v>568</v>
      </c>
      <c r="B39" s="30">
        <f>Troupeau!B35*Scénario!K16/100</f>
        <v>37947</v>
      </c>
      <c r="C39" s="190">
        <f>IF(B39=0,0,VLOOKUP(Troupeau!B3,[1]Trav!$A$108:$B$109,2))</f>
        <v>2.2799999999999998</v>
      </c>
      <c r="D39" s="172"/>
      <c r="E39" s="172"/>
      <c r="F39" s="173">
        <f>ROUND(B39*C39/60,0)</f>
        <v>1442</v>
      </c>
      <c r="AR39" s="188" t="s">
        <v>747</v>
      </c>
      <c r="AT39" s="271" t="str">
        <f>CdTrp1!$A54</f>
        <v>agnelles</v>
      </c>
      <c r="AU39" s="32"/>
      <c r="AV39" s="173">
        <f>IF(CdTrp1!B54=1,3,IF(CdTrp1!B54=0.5,2,IF(CdTrp1!B54=0,1,0)))</f>
        <v>3</v>
      </c>
      <c r="AW39" s="173">
        <f>IF(CdTrp1!C54=1,3,IF(CdTrp1!C54=0.5,2,IF(CdTrp1!C54=0,1,0)))</f>
        <v>3</v>
      </c>
      <c r="AX39" s="173">
        <f>IF(CdTrp1!D54=1,3,IF(CdTrp1!D54=0.5,2,IF(CdTrp1!D54=0,1,0)))</f>
        <v>3</v>
      </c>
      <c r="AY39" s="173">
        <f>IF(CdTrp1!E54=1,3,IF(CdTrp1!E54=0.5,2,IF(CdTrp1!E54=0,1,0)))</f>
        <v>3</v>
      </c>
      <c r="AZ39" s="173">
        <f>IF(CdTrp1!F54=1,3,IF(CdTrp1!F54=0.5,2,IF(CdTrp1!F54=0,1,0)))</f>
        <v>3</v>
      </c>
      <c r="BA39" s="173">
        <f>IF(CdTrp1!G54=1,3,IF(CdTrp1!G54=0.5,2,IF(CdTrp1!G54=0,1,0)))</f>
        <v>2</v>
      </c>
      <c r="BB39" s="173">
        <f>IF(CdTrp1!H54=1,3,IF(CdTrp1!H54=0.5,2,IF(CdTrp1!H54=0,1,0)))</f>
        <v>2</v>
      </c>
      <c r="BC39" s="173">
        <f>IF(CdTrp1!I54=1,3,IF(CdTrp1!I54=0.5,2,IF(CdTrp1!I54=0,1,0)))</f>
        <v>2</v>
      </c>
      <c r="BD39" s="173">
        <f>IF(CdTrp1!J54=1,3,IF(CdTrp1!J54=0.5,2,IF(CdTrp1!J54=0,1,0)))</f>
        <v>2</v>
      </c>
      <c r="BE39" s="173">
        <f>IF(CdTrp1!K54=1,3,IF(CdTrp1!K54=0.5,2,IF(CdTrp1!K54=0,1,0)))</f>
        <v>2</v>
      </c>
      <c r="BF39" s="173">
        <f>IF(CdTrp1!L54=1,3,IF(CdTrp1!L54=0.5,2,IF(CdTrp1!L54=0,1,0)))</f>
        <v>2</v>
      </c>
      <c r="BG39" s="173">
        <f>IF(CdTrp1!M54=1,3,IF(CdTrp1!M54=0.5,2,IF(CdTrp1!M54=0,1,0)))</f>
        <v>2</v>
      </c>
      <c r="BH39" s="173">
        <f>IF(CdTrp1!N54=1,3,IF(CdTrp1!N54=0.5,2,IF(CdTrp1!N54=0,1,0)))</f>
        <v>2</v>
      </c>
      <c r="BI39" s="173">
        <f>IF(CdTrp1!O54=1,3,IF(CdTrp1!O54=0.5,2,IF(CdTrp1!O54=0,1,0)))</f>
        <v>2</v>
      </c>
      <c r="BJ39" s="173">
        <f>IF(CdTrp1!P54=1,3,IF(CdTrp1!P54=0.5,2,IF(CdTrp1!P54=0,1,0)))</f>
        <v>2</v>
      </c>
      <c r="BK39" s="173">
        <f>IF(CdTrp1!Q54=1,3,IF(CdTrp1!Q54=0.5,2,IF(CdTrp1!Q54=0,1,0)))</f>
        <v>2</v>
      </c>
      <c r="BL39" s="173">
        <f>IF(CdTrp1!R54=1,3,IF(CdTrp1!R54=0.5,2,IF(CdTrp1!R54=0,1,0)))</f>
        <v>2</v>
      </c>
      <c r="BM39" s="173">
        <f>IF(CdTrp1!S54=1,3,IF(CdTrp1!S54=0.5,2,IF(CdTrp1!S54=0,1,0)))</f>
        <v>2</v>
      </c>
      <c r="BN39" s="173">
        <f>IF(CdTrp1!T54=1,3,IF(CdTrp1!T54=0.5,2,IF(CdTrp1!T54=0,1,0)))</f>
        <v>2</v>
      </c>
      <c r="BO39" s="173">
        <f>IF(CdTrp1!U54=1,3,IF(CdTrp1!U54=0.5,2,IF(CdTrp1!U54=0,1,0)))</f>
        <v>0</v>
      </c>
      <c r="BP39" s="173">
        <f>IF(CdTrp1!V54=1,3,IF(CdTrp1!V54=0.5,2,IF(CdTrp1!V54=0,1,0)))</f>
        <v>0</v>
      </c>
      <c r="BQ39" s="173">
        <f>IF(CdTrp1!W54=1,3,IF(CdTrp1!W54=0.5,2,IF(CdTrp1!W54=0,1,0)))</f>
        <v>3</v>
      </c>
      <c r="BR39" s="173">
        <f>IF(CdTrp1!X54=1,3,IF(CdTrp1!X54=0.5,2,IF(CdTrp1!X54=0,1,0)))</f>
        <v>3</v>
      </c>
      <c r="BS39" s="173">
        <f>IF(CdTrp1!Y54=1,3,IF(CdTrp1!Y54=0.5,2,IF(CdTrp1!Y54=0,1,0)))</f>
        <v>3</v>
      </c>
      <c r="BU39">
        <v>1</v>
      </c>
      <c r="BV39" t="s">
        <v>776</v>
      </c>
      <c r="BZ39" s="189" t="str">
        <f t="shared" si="27"/>
        <v>genisses +1an</v>
      </c>
      <c r="CA39" s="32"/>
      <c r="CB39" s="173">
        <f>IF(CdTrp2!B54=1,3,IF(CdTrp2!B54=0.5,2,IF(CdTrp2!B54=0,1,0)))</f>
        <v>3</v>
      </c>
      <c r="CC39" s="173">
        <f>IF(CdTrp2!C54=1,3,IF(CdTrp2!C54=0.5,2,IF(CdTrp2!C54=0,1,0)))</f>
        <v>3</v>
      </c>
      <c r="CD39" s="173">
        <f>IF(CdTrp2!D54=1,3,IF(CdTrp2!D54=0.5,2,IF(CdTrp2!D54=0,1,0)))</f>
        <v>1</v>
      </c>
      <c r="CE39" s="173">
        <f>IF(CdTrp2!E54=1,3,IF(CdTrp2!E54=0.5,2,IF(CdTrp2!E54=0,1,0)))</f>
        <v>1</v>
      </c>
      <c r="CF39" s="173">
        <f>IF(CdTrp2!F54=1,3,IF(CdTrp2!F54=0.5,2,IF(CdTrp2!F54=0,1,0)))</f>
        <v>1</v>
      </c>
      <c r="CG39" s="173">
        <f>IF(CdTrp2!G54=1,3,IF(CdTrp2!G54=0.5,2,IF(CdTrp2!G54=0,1,0)))</f>
        <v>1</v>
      </c>
      <c r="CH39" s="173">
        <f>IF(CdTrp2!H54=1,3,IF(CdTrp2!H54=0.5,2,IF(CdTrp2!H54=0,1,0)))</f>
        <v>1</v>
      </c>
      <c r="CI39" s="173">
        <f>IF(CdTrp2!I54=1,3,IF(CdTrp2!I54=0.5,2,IF(CdTrp2!I54=0,1,0)))</f>
        <v>1</v>
      </c>
      <c r="CJ39" s="173">
        <f>IF(CdTrp2!J54=1,3,IF(CdTrp2!J54=0.5,2,IF(CdTrp2!J54=0,1,0)))</f>
        <v>1</v>
      </c>
      <c r="CK39" s="173">
        <f>IF(CdTrp2!K54=1,3,IF(CdTrp2!K54=0.5,2,IF(CdTrp2!K54=0,1,0)))</f>
        <v>1</v>
      </c>
      <c r="CL39" s="173">
        <f>IF(CdTrp2!L54=1,3,IF(CdTrp2!L54=0.5,2,IF(CdTrp2!L54=0,1,0)))</f>
        <v>1</v>
      </c>
      <c r="CM39" s="173">
        <f>IF(CdTrp2!M54=1,3,IF(CdTrp2!M54=0.5,2,IF(CdTrp2!M54=0,1,0)))</f>
        <v>1</v>
      </c>
      <c r="CN39" s="173">
        <f>IF(CdTrp2!N54=1,3,IF(CdTrp2!N54=0.5,2,IF(CdTrp2!N54=0,1,0)))</f>
        <v>1</v>
      </c>
      <c r="CO39" s="173">
        <f>IF(CdTrp2!O54=1,3,IF(CdTrp2!O54=0.5,2,IF(CdTrp2!O54=0,1,0)))</f>
        <v>1</v>
      </c>
      <c r="CP39" s="173">
        <f>IF(CdTrp2!P54=1,3,IF(CdTrp2!P54=0.5,2,IF(CdTrp2!P54=0,1,0)))</f>
        <v>1</v>
      </c>
      <c r="CQ39" s="173">
        <f>IF(CdTrp2!Q54=1,3,IF(CdTrp2!Q54=0.5,2,IF(CdTrp2!Q54=0,1,0)))</f>
        <v>1</v>
      </c>
      <c r="CR39" s="173">
        <f>IF(CdTrp2!R54=1,3,IF(CdTrp2!R54=0.5,2,IF(CdTrp2!R54=0,1,0)))</f>
        <v>1</v>
      </c>
      <c r="CS39" s="173">
        <f>IF(CdTrp2!S54=1,3,IF(CdTrp2!S54=0.5,2,IF(CdTrp2!S54=0,1,0)))</f>
        <v>1</v>
      </c>
      <c r="CT39" s="173">
        <f>IF(CdTrp2!T54=1,3,IF(CdTrp2!T54=0.5,2,IF(CdTrp2!T54=0,1,0)))</f>
        <v>1</v>
      </c>
      <c r="CU39" s="173">
        <f>IF(CdTrp2!U54=1,3,IF(CdTrp2!U54=0.5,2,IF(CdTrp2!U54=0,1,0)))</f>
        <v>1</v>
      </c>
      <c r="CV39" s="173">
        <f>IF(CdTrp2!V54=1,3,IF(CdTrp2!V54=0.5,2,IF(CdTrp2!V54=0,1,0)))</f>
        <v>1</v>
      </c>
      <c r="CW39" s="173">
        <f>IF(CdTrp2!W54=1,3,IF(CdTrp2!W54=0.5,2,IF(CdTrp2!W54=0,1,0)))</f>
        <v>1</v>
      </c>
      <c r="CX39" s="173">
        <f>IF(CdTrp2!X54=1,3,IF(CdTrp2!X54=0.5,2,IF(CdTrp2!X54=0,1,0)))</f>
        <v>3</v>
      </c>
      <c r="CY39" s="173">
        <f>IF(CdTrp2!Y54=1,3,IF(CdTrp2!Y54=0.5,2,IF(CdTrp2!Y54=0,1,0)))</f>
        <v>3</v>
      </c>
      <c r="DC39" s="189" t="str">
        <f t="shared" si="28"/>
        <v>lot3</v>
      </c>
      <c r="DD39" s="32"/>
      <c r="DE39" s="173">
        <f>IF(CdTrp3!B54=1,3,IF(CdTrp3!B54=0.5,2,IF(CdTrp3!B54=0,1,0)))</f>
        <v>1</v>
      </c>
      <c r="DF39" s="173">
        <f>IF(CdTrp3!C54=1,3,IF(CdTrp3!C54=0.5,2,IF(CdTrp3!C54=0,1,0)))</f>
        <v>1</v>
      </c>
      <c r="DG39" s="173">
        <f>IF(CdTrp3!D54=1,3,IF(CdTrp3!D54=0.5,2,IF(CdTrp3!D54=0,1,0)))</f>
        <v>1</v>
      </c>
      <c r="DH39" s="173">
        <f>IF(CdTrp3!E54=1,3,IF(CdTrp3!E54=0.5,2,IF(CdTrp3!E54=0,1,0)))</f>
        <v>1</v>
      </c>
      <c r="DI39" s="173">
        <f>IF(CdTrp3!F54=1,3,IF(CdTrp3!F54=0.5,2,IF(CdTrp3!F54=0,1,0)))</f>
        <v>1</v>
      </c>
      <c r="DJ39" s="173">
        <f>IF(CdTrp3!G54=1,3,IF(CdTrp3!G54=0.5,2,IF(CdTrp3!G54=0,1,0)))</f>
        <v>1</v>
      </c>
      <c r="DK39" s="173">
        <f>IF(CdTrp3!H54=1,3,IF(CdTrp3!H54=0.5,2,IF(CdTrp3!H54=0,1,0)))</f>
        <v>1</v>
      </c>
      <c r="DL39" s="173">
        <f>IF(CdTrp3!I54=1,3,IF(CdTrp3!I54=0.5,2,IF(CdTrp3!I54=0,1,0)))</f>
        <v>1</v>
      </c>
      <c r="DM39" s="173">
        <f>IF(CdTrp3!J54=1,3,IF(CdTrp3!J54=0.5,2,IF(CdTrp3!J54=0,1,0)))</f>
        <v>1</v>
      </c>
      <c r="DN39" s="173">
        <f>IF(CdTrp3!K54=1,3,IF(CdTrp3!K54=0.5,2,IF(CdTrp3!K54=0,1,0)))</f>
        <v>1</v>
      </c>
      <c r="DO39" s="173">
        <f>IF(CdTrp3!L54=1,3,IF(CdTrp3!L54=0.5,2,IF(CdTrp3!L54=0,1,0)))</f>
        <v>1</v>
      </c>
      <c r="DP39" s="173">
        <f>IF(CdTrp3!M54=1,3,IF(CdTrp3!M54=0.5,2,IF(CdTrp3!M54=0,1,0)))</f>
        <v>1</v>
      </c>
      <c r="DQ39" s="173">
        <f>IF(CdTrp3!N54=1,3,IF(CdTrp3!N54=0.5,2,IF(CdTrp3!N54=0,1,0)))</f>
        <v>1</v>
      </c>
      <c r="DR39" s="173">
        <f>IF(CdTrp3!O54=1,3,IF(CdTrp3!O54=0.5,2,IF(CdTrp3!O54=0,1,0)))</f>
        <v>1</v>
      </c>
      <c r="DS39" s="173">
        <f>IF(CdTrp3!P54=1,3,IF(CdTrp3!P54=0.5,2,IF(CdTrp3!P54=0,1,0)))</f>
        <v>1</v>
      </c>
      <c r="DT39" s="173">
        <f>IF(CdTrp3!Q54=1,3,IF(CdTrp3!Q54=0.5,2,IF(CdTrp3!Q54=0,1,0)))</f>
        <v>1</v>
      </c>
      <c r="DU39" s="173">
        <f>IF(CdTrp3!R54=1,3,IF(CdTrp3!R54=0.5,2,IF(CdTrp3!R54=0,1,0)))</f>
        <v>1</v>
      </c>
      <c r="DV39" s="173">
        <f>IF(CdTrp3!S54=1,3,IF(CdTrp3!S54=0.5,2,IF(CdTrp3!S54=0,1,0)))</f>
        <v>1</v>
      </c>
      <c r="DW39" s="173">
        <f>IF(CdTrp3!T54=1,3,IF(CdTrp3!T54=0.5,2,IF(CdTrp3!T54=0,1,0)))</f>
        <v>1</v>
      </c>
      <c r="DX39" s="173">
        <f>IF(CdTrp3!U54=1,3,IF(CdTrp3!U54=0.5,2,IF(CdTrp3!U54=0,1,0)))</f>
        <v>1</v>
      </c>
      <c r="DY39" s="173">
        <f>IF(CdTrp3!V54=1,3,IF(CdTrp3!V54=0.5,2,IF(CdTrp3!V54=0,1,0)))</f>
        <v>1</v>
      </c>
      <c r="DZ39" s="173">
        <f>IF(CdTrp3!W54=1,3,IF(CdTrp3!W54=0.5,2,IF(CdTrp3!W54=0,1,0)))</f>
        <v>1</v>
      </c>
      <c r="EA39" s="173">
        <f>IF(CdTrp3!X54=1,3,IF(CdTrp3!X54=0.5,2,IF(CdTrp3!X54=0,1,0)))</f>
        <v>1</v>
      </c>
      <c r="EB39" s="173">
        <f>IF(CdTrp3!Y54=1,3,IF(CdTrp3!Y54=0.5,2,IF(CdTrp3!Y54=0,1,0)))</f>
        <v>1</v>
      </c>
    </row>
    <row r="40" spans="1:151" x14ac:dyDescent="0.25">
      <c r="D40"/>
      <c r="E40"/>
      <c r="F40"/>
      <c r="AR40" s="188" t="s">
        <v>747</v>
      </c>
      <c r="AT40" s="189" t="str">
        <f>CdTrp1!$A55</f>
        <v>beliers</v>
      </c>
      <c r="AU40" s="32"/>
      <c r="AV40" s="173">
        <f>IF(CdTrp1!B55=1,3,IF(CdTrp1!B55=0.5,2,IF(CdTrp1!B55=0,1,0)))</f>
        <v>2</v>
      </c>
      <c r="AW40" s="173">
        <f>IF(CdTrp1!C55=1,3,IF(CdTrp1!C55=0.5,2,IF(CdTrp1!C55=0,1,0)))</f>
        <v>2</v>
      </c>
      <c r="AX40" s="173">
        <f>IF(CdTrp1!D55=1,3,IF(CdTrp1!D55=0.5,2,IF(CdTrp1!D55=0,1,0)))</f>
        <v>2</v>
      </c>
      <c r="AY40" s="173">
        <f>IF(CdTrp1!E55=1,3,IF(CdTrp1!E55=0.5,2,IF(CdTrp1!E55=0,1,0)))</f>
        <v>2</v>
      </c>
      <c r="AZ40" s="173">
        <f>IF(CdTrp1!F55=1,3,IF(CdTrp1!F55=0.5,2,IF(CdTrp1!F55=0,1,0)))</f>
        <v>2</v>
      </c>
      <c r="BA40" s="173">
        <f>IF(CdTrp1!G55=1,3,IF(CdTrp1!G55=0.5,2,IF(CdTrp1!G55=0,1,0)))</f>
        <v>2</v>
      </c>
      <c r="BB40" s="173">
        <f>IF(CdTrp1!H55=1,3,IF(CdTrp1!H55=0.5,2,IF(CdTrp1!H55=0,1,0)))</f>
        <v>2</v>
      </c>
      <c r="BC40" s="173">
        <f>IF(CdTrp1!I55=1,3,IF(CdTrp1!I55=0.5,2,IF(CdTrp1!I55=0,1,0)))</f>
        <v>2</v>
      </c>
      <c r="BD40" s="173">
        <f>IF(CdTrp1!J55=1,3,IF(CdTrp1!J55=0.5,2,IF(CdTrp1!J55=0,1,0)))</f>
        <v>2</v>
      </c>
      <c r="BE40" s="173">
        <f>IF(CdTrp1!K55=1,3,IF(CdTrp1!K55=0.5,2,IF(CdTrp1!K55=0,1,0)))</f>
        <v>0</v>
      </c>
      <c r="BF40" s="173">
        <f>IF(CdTrp1!L55=1,3,IF(CdTrp1!L55=0.5,2,IF(CdTrp1!L55=0,1,0)))</f>
        <v>0</v>
      </c>
      <c r="BG40" s="173">
        <f>IF(CdTrp1!M55=1,3,IF(CdTrp1!M55=0.5,2,IF(CdTrp1!M55=0,1,0)))</f>
        <v>0</v>
      </c>
      <c r="BH40" s="173">
        <f>IF(CdTrp1!N55=1,3,IF(CdTrp1!N55=0.5,2,IF(CdTrp1!N55=0,1,0)))</f>
        <v>0</v>
      </c>
      <c r="BI40" s="173">
        <f>IF(CdTrp1!O55=1,3,IF(CdTrp1!O55=0.5,2,IF(CdTrp1!O55=0,1,0)))</f>
        <v>0</v>
      </c>
      <c r="BJ40" s="173">
        <f>IF(CdTrp1!P55=1,3,IF(CdTrp1!P55=0.5,2,IF(CdTrp1!P55=0,1,0)))</f>
        <v>0</v>
      </c>
      <c r="BK40" s="173">
        <f>IF(CdTrp1!Q55=1,3,IF(CdTrp1!Q55=0.5,2,IF(CdTrp1!Q55=0,1,0)))</f>
        <v>0</v>
      </c>
      <c r="BL40" s="173">
        <f>IF(CdTrp1!R55=1,3,IF(CdTrp1!R55=0.5,2,IF(CdTrp1!R55=0,1,0)))</f>
        <v>0</v>
      </c>
      <c r="BM40" s="173">
        <f>IF(CdTrp1!S55=1,3,IF(CdTrp1!S55=0.5,2,IF(CdTrp1!S55=0,1,0)))</f>
        <v>0</v>
      </c>
      <c r="BN40" s="173">
        <f>IF(CdTrp1!T55=1,3,IF(CdTrp1!T55=0.5,2,IF(CdTrp1!T55=0,1,0)))</f>
        <v>0</v>
      </c>
      <c r="BO40" s="173">
        <f>IF(CdTrp1!U55=1,3,IF(CdTrp1!U55=0.5,2,IF(CdTrp1!U55=0,1,0)))</f>
        <v>2</v>
      </c>
      <c r="BP40" s="173">
        <f>IF(CdTrp1!V55=1,3,IF(CdTrp1!V55=0.5,2,IF(CdTrp1!V55=0,1,0)))</f>
        <v>2</v>
      </c>
      <c r="BQ40" s="173">
        <f>IF(CdTrp1!W55=1,3,IF(CdTrp1!W55=0.5,2,IF(CdTrp1!W55=0,1,0)))</f>
        <v>2</v>
      </c>
      <c r="BR40" s="173">
        <f>IF(CdTrp1!X55=1,3,IF(CdTrp1!X55=0.5,2,IF(CdTrp1!X55=0,1,0)))</f>
        <v>2</v>
      </c>
      <c r="BS40" s="173">
        <f>IF(CdTrp1!Y55=1,3,IF(CdTrp1!Y55=0.5,2,IF(CdTrp1!Y55=0,1,0)))</f>
        <v>2</v>
      </c>
      <c r="BZ40" s="189" t="str">
        <f t="shared" si="27"/>
        <v>lot4</v>
      </c>
      <c r="CA40" s="32"/>
      <c r="CB40" s="173">
        <f>IF(CdTrp2!B55=1,3,IF(CdTrp2!B55=0.5,2,IF(CdTrp2!B55=0,1,0)))</f>
        <v>1</v>
      </c>
      <c r="CC40" s="173">
        <f>IF(CdTrp2!C55=1,3,IF(CdTrp2!C55=0.5,2,IF(CdTrp2!C55=0,1,0)))</f>
        <v>1</v>
      </c>
      <c r="CD40" s="173">
        <f>IF(CdTrp2!D55=1,3,IF(CdTrp2!D55=0.5,2,IF(CdTrp2!D55=0,1,0)))</f>
        <v>1</v>
      </c>
      <c r="CE40" s="173">
        <f>IF(CdTrp2!E55=1,3,IF(CdTrp2!E55=0.5,2,IF(CdTrp2!E55=0,1,0)))</f>
        <v>1</v>
      </c>
      <c r="CF40" s="173">
        <f>IF(CdTrp2!F55=1,3,IF(CdTrp2!F55=0.5,2,IF(CdTrp2!F55=0,1,0)))</f>
        <v>1</v>
      </c>
      <c r="CG40" s="173">
        <f>IF(CdTrp2!G55=1,3,IF(CdTrp2!G55=0.5,2,IF(CdTrp2!G55=0,1,0)))</f>
        <v>1</v>
      </c>
      <c r="CH40" s="173">
        <f>IF(CdTrp2!H55=1,3,IF(CdTrp2!H55=0.5,2,IF(CdTrp2!H55=0,1,0)))</f>
        <v>1</v>
      </c>
      <c r="CI40" s="173">
        <f>IF(CdTrp2!I55=1,3,IF(CdTrp2!I55=0.5,2,IF(CdTrp2!I55=0,1,0)))</f>
        <v>1</v>
      </c>
      <c r="CJ40" s="173">
        <f>IF(CdTrp2!J55=1,3,IF(CdTrp2!J55=0.5,2,IF(CdTrp2!J55=0,1,0)))</f>
        <v>1</v>
      </c>
      <c r="CK40" s="173">
        <f>IF(CdTrp2!K55=1,3,IF(CdTrp2!K55=0.5,2,IF(CdTrp2!K55=0,1,0)))</f>
        <v>1</v>
      </c>
      <c r="CL40" s="173">
        <f>IF(CdTrp2!L55=1,3,IF(CdTrp2!L55=0.5,2,IF(CdTrp2!L55=0,1,0)))</f>
        <v>1</v>
      </c>
      <c r="CM40" s="173">
        <f>IF(CdTrp2!M55=1,3,IF(CdTrp2!M55=0.5,2,IF(CdTrp2!M55=0,1,0)))</f>
        <v>1</v>
      </c>
      <c r="CN40" s="173">
        <f>IF(CdTrp2!N55=1,3,IF(CdTrp2!N55=0.5,2,IF(CdTrp2!N55=0,1,0)))</f>
        <v>1</v>
      </c>
      <c r="CO40" s="173">
        <f>IF(CdTrp2!O55=1,3,IF(CdTrp2!O55=0.5,2,IF(CdTrp2!O55=0,1,0)))</f>
        <v>1</v>
      </c>
      <c r="CP40" s="173">
        <f>IF(CdTrp2!P55=1,3,IF(CdTrp2!P55=0.5,2,IF(CdTrp2!P55=0,1,0)))</f>
        <v>1</v>
      </c>
      <c r="CQ40" s="173">
        <f>IF(CdTrp2!Q55=1,3,IF(CdTrp2!Q55=0.5,2,IF(CdTrp2!Q55=0,1,0)))</f>
        <v>1</v>
      </c>
      <c r="CR40" s="173">
        <f>IF(CdTrp2!R55=1,3,IF(CdTrp2!R55=0.5,2,IF(CdTrp2!R55=0,1,0)))</f>
        <v>1</v>
      </c>
      <c r="CS40" s="173">
        <f>IF(CdTrp2!S55=1,3,IF(CdTrp2!S55=0.5,2,IF(CdTrp2!S55=0,1,0)))</f>
        <v>1</v>
      </c>
      <c r="CT40" s="173">
        <f>IF(CdTrp2!T55=1,3,IF(CdTrp2!T55=0.5,2,IF(CdTrp2!T55=0,1,0)))</f>
        <v>1</v>
      </c>
      <c r="CU40" s="173">
        <f>IF(CdTrp2!U55=1,3,IF(CdTrp2!U55=0.5,2,IF(CdTrp2!U55=0,1,0)))</f>
        <v>1</v>
      </c>
      <c r="CV40" s="173">
        <f>IF(CdTrp2!V55=1,3,IF(CdTrp2!V55=0.5,2,IF(CdTrp2!V55=0,1,0)))</f>
        <v>1</v>
      </c>
      <c r="CW40" s="173">
        <f>IF(CdTrp2!W55=1,3,IF(CdTrp2!W55=0.5,2,IF(CdTrp2!W55=0,1,0)))</f>
        <v>1</v>
      </c>
      <c r="CX40" s="173">
        <f>IF(CdTrp2!X55=1,3,IF(CdTrp2!X55=0.5,2,IF(CdTrp2!X55=0,1,0)))</f>
        <v>1</v>
      </c>
      <c r="CY40" s="173">
        <f>IF(CdTrp2!Y55=1,3,IF(CdTrp2!Y55=0.5,2,IF(CdTrp2!Y55=0,1,0)))</f>
        <v>1</v>
      </c>
      <c r="DC40" s="189" t="str">
        <f t="shared" si="28"/>
        <v>lot4</v>
      </c>
      <c r="DD40" s="32"/>
      <c r="DE40" s="173">
        <f>IF(CdTrp3!B55=1,3,IF(CdTrp3!B55=0.5,2,IF(CdTrp3!B55=0,1,0)))</f>
        <v>1</v>
      </c>
      <c r="DF40" s="173">
        <f>IF(CdTrp3!C55=1,3,IF(CdTrp3!C55=0.5,2,IF(CdTrp3!C55=0,1,0)))</f>
        <v>1</v>
      </c>
      <c r="DG40" s="173">
        <f>IF(CdTrp3!D55=1,3,IF(CdTrp3!D55=0.5,2,IF(CdTrp3!D55=0,1,0)))</f>
        <v>1</v>
      </c>
      <c r="DH40" s="173">
        <f>IF(CdTrp3!E55=1,3,IF(CdTrp3!E55=0.5,2,IF(CdTrp3!E55=0,1,0)))</f>
        <v>1</v>
      </c>
      <c r="DI40" s="173">
        <f>IF(CdTrp3!F55=1,3,IF(CdTrp3!F55=0.5,2,IF(CdTrp3!F55=0,1,0)))</f>
        <v>1</v>
      </c>
      <c r="DJ40" s="173">
        <f>IF(CdTrp3!G55=1,3,IF(CdTrp3!G55=0.5,2,IF(CdTrp3!G55=0,1,0)))</f>
        <v>1</v>
      </c>
      <c r="DK40" s="173">
        <f>IF(CdTrp3!H55=1,3,IF(CdTrp3!H55=0.5,2,IF(CdTrp3!H55=0,1,0)))</f>
        <v>1</v>
      </c>
      <c r="DL40" s="173">
        <f>IF(CdTrp3!I55=1,3,IF(CdTrp3!I55=0.5,2,IF(CdTrp3!I55=0,1,0)))</f>
        <v>1</v>
      </c>
      <c r="DM40" s="173">
        <f>IF(CdTrp3!J55=1,3,IF(CdTrp3!J55=0.5,2,IF(CdTrp3!J55=0,1,0)))</f>
        <v>1</v>
      </c>
      <c r="DN40" s="173">
        <f>IF(CdTrp3!K55=1,3,IF(CdTrp3!K55=0.5,2,IF(CdTrp3!K55=0,1,0)))</f>
        <v>1</v>
      </c>
      <c r="DO40" s="173">
        <f>IF(CdTrp3!L55=1,3,IF(CdTrp3!L55=0.5,2,IF(CdTrp3!L55=0,1,0)))</f>
        <v>1</v>
      </c>
      <c r="DP40" s="173">
        <f>IF(CdTrp3!M55=1,3,IF(CdTrp3!M55=0.5,2,IF(CdTrp3!M55=0,1,0)))</f>
        <v>1</v>
      </c>
      <c r="DQ40" s="173">
        <f>IF(CdTrp3!N55=1,3,IF(CdTrp3!N55=0.5,2,IF(CdTrp3!N55=0,1,0)))</f>
        <v>1</v>
      </c>
      <c r="DR40" s="173">
        <f>IF(CdTrp3!O55=1,3,IF(CdTrp3!O55=0.5,2,IF(CdTrp3!O55=0,1,0)))</f>
        <v>1</v>
      </c>
      <c r="DS40" s="173">
        <f>IF(CdTrp3!P55=1,3,IF(CdTrp3!P55=0.5,2,IF(CdTrp3!P55=0,1,0)))</f>
        <v>1</v>
      </c>
      <c r="DT40" s="173">
        <f>IF(CdTrp3!Q55=1,3,IF(CdTrp3!Q55=0.5,2,IF(CdTrp3!Q55=0,1,0)))</f>
        <v>1</v>
      </c>
      <c r="DU40" s="173">
        <f>IF(CdTrp3!R55=1,3,IF(CdTrp3!R55=0.5,2,IF(CdTrp3!R55=0,1,0)))</f>
        <v>1</v>
      </c>
      <c r="DV40" s="173">
        <f>IF(CdTrp3!S55=1,3,IF(CdTrp3!S55=0.5,2,IF(CdTrp3!S55=0,1,0)))</f>
        <v>1</v>
      </c>
      <c r="DW40" s="173">
        <f>IF(CdTrp3!T55=1,3,IF(CdTrp3!T55=0.5,2,IF(CdTrp3!T55=0,1,0)))</f>
        <v>1</v>
      </c>
      <c r="DX40" s="173">
        <f>IF(CdTrp3!U55=1,3,IF(CdTrp3!U55=0.5,2,IF(CdTrp3!U55=0,1,0)))</f>
        <v>1</v>
      </c>
      <c r="DY40" s="173">
        <f>IF(CdTrp3!V55=1,3,IF(CdTrp3!V55=0.5,2,IF(CdTrp3!V55=0,1,0)))</f>
        <v>1</v>
      </c>
      <c r="DZ40" s="173">
        <f>IF(CdTrp3!W55=1,3,IF(CdTrp3!W55=0.5,2,IF(CdTrp3!W55=0,1,0)))</f>
        <v>1</v>
      </c>
      <c r="EA40" s="173">
        <f>IF(CdTrp3!X55=1,3,IF(CdTrp3!X55=0.5,2,IF(CdTrp3!X55=0,1,0)))</f>
        <v>1</v>
      </c>
      <c r="EB40" s="173">
        <f>IF(CdTrp3!Y55=1,3,IF(CdTrp3!Y55=0.5,2,IF(CdTrp3!Y55=0,1,0)))</f>
        <v>1</v>
      </c>
    </row>
    <row r="41" spans="1:151" x14ac:dyDescent="0.25">
      <c r="D41"/>
      <c r="E41"/>
      <c r="F41"/>
      <c r="AR41" s="188" t="s">
        <v>747</v>
      </c>
      <c r="AT41" s="271" t="str">
        <f>CdTrp1!$A56</f>
        <v>lot5</v>
      </c>
      <c r="AU41" s="32"/>
      <c r="AV41" s="173">
        <f>IF(CdTrp1!B56=1,3,IF(CdTrp1!B56=0.5,2,IF(CdTrp1!B56=0,1,0)))</f>
        <v>1</v>
      </c>
      <c r="AW41" s="173">
        <f>IF(CdTrp1!C56=1,3,IF(CdTrp1!C56=0.5,2,IF(CdTrp1!C56=0,1,0)))</f>
        <v>1</v>
      </c>
      <c r="AX41" s="173">
        <f>IF(CdTrp1!D56=1,3,IF(CdTrp1!D56=0.5,2,IF(CdTrp1!D56=0,1,0)))</f>
        <v>1</v>
      </c>
      <c r="AY41" s="173">
        <f>IF(CdTrp1!E56=1,3,IF(CdTrp1!E56=0.5,2,IF(CdTrp1!E56=0,1,0)))</f>
        <v>1</v>
      </c>
      <c r="AZ41" s="173">
        <f>IF(CdTrp1!F56=1,3,IF(CdTrp1!F56=0.5,2,IF(CdTrp1!F56=0,1,0)))</f>
        <v>1</v>
      </c>
      <c r="BA41" s="173">
        <f>IF(CdTrp1!G56=1,3,IF(CdTrp1!G56=0.5,2,IF(CdTrp1!G56=0,1,0)))</f>
        <v>1</v>
      </c>
      <c r="BB41" s="173">
        <f>IF(CdTrp1!H56=1,3,IF(CdTrp1!H56=0.5,2,IF(CdTrp1!H56=0,1,0)))</f>
        <v>1</v>
      </c>
      <c r="BC41" s="173">
        <f>IF(CdTrp1!I56=1,3,IF(CdTrp1!I56=0.5,2,IF(CdTrp1!I56=0,1,0)))</f>
        <v>1</v>
      </c>
      <c r="BD41" s="173">
        <f>IF(CdTrp1!J56=1,3,IF(CdTrp1!J56=0.5,2,IF(CdTrp1!J56=0,1,0)))</f>
        <v>1</v>
      </c>
      <c r="BE41" s="173">
        <f>IF(CdTrp1!K56=1,3,IF(CdTrp1!K56=0.5,2,IF(CdTrp1!K56=0,1,0)))</f>
        <v>1</v>
      </c>
      <c r="BF41" s="173">
        <f>IF(CdTrp1!L56=1,3,IF(CdTrp1!L56=0.5,2,IF(CdTrp1!L56=0,1,0)))</f>
        <v>1</v>
      </c>
      <c r="BG41" s="173">
        <f>IF(CdTrp1!M56=1,3,IF(CdTrp1!M56=0.5,2,IF(CdTrp1!M56=0,1,0)))</f>
        <v>1</v>
      </c>
      <c r="BH41" s="173">
        <f>IF(CdTrp1!N56=1,3,IF(CdTrp1!N56=0.5,2,IF(CdTrp1!N56=0,1,0)))</f>
        <v>1</v>
      </c>
      <c r="BI41" s="173">
        <f>IF(CdTrp1!O56=1,3,IF(CdTrp1!O56=0.5,2,IF(CdTrp1!O56=0,1,0)))</f>
        <v>1</v>
      </c>
      <c r="BJ41" s="173">
        <f>IF(CdTrp1!P56=1,3,IF(CdTrp1!P56=0.5,2,IF(CdTrp1!P56=0,1,0)))</f>
        <v>1</v>
      </c>
      <c r="BK41" s="173">
        <f>IF(CdTrp1!Q56=1,3,IF(CdTrp1!Q56=0.5,2,IF(CdTrp1!Q56=0,1,0)))</f>
        <v>1</v>
      </c>
      <c r="BL41" s="173">
        <f>IF(CdTrp1!R56=1,3,IF(CdTrp1!R56=0.5,2,IF(CdTrp1!R56=0,1,0)))</f>
        <v>1</v>
      </c>
      <c r="BM41" s="173">
        <f>IF(CdTrp1!S56=1,3,IF(CdTrp1!S56=0.5,2,IF(CdTrp1!S56=0,1,0)))</f>
        <v>1</v>
      </c>
      <c r="BN41" s="173">
        <f>IF(CdTrp1!T56=1,3,IF(CdTrp1!T56=0.5,2,IF(CdTrp1!T56=0,1,0)))</f>
        <v>1</v>
      </c>
      <c r="BO41" s="173">
        <f>IF(CdTrp1!U56=1,3,IF(CdTrp1!U56=0.5,2,IF(CdTrp1!U56=0,1,0)))</f>
        <v>1</v>
      </c>
      <c r="BP41" s="173">
        <f>IF(CdTrp1!V56=1,3,IF(CdTrp1!V56=0.5,2,IF(CdTrp1!V56=0,1,0)))</f>
        <v>1</v>
      </c>
      <c r="BQ41" s="173">
        <f>IF(CdTrp1!W56=1,3,IF(CdTrp1!W56=0.5,2,IF(CdTrp1!W56=0,1,0)))</f>
        <v>1</v>
      </c>
      <c r="BR41" s="173">
        <f>IF(CdTrp1!X56=1,3,IF(CdTrp1!X56=0.5,2,IF(CdTrp1!X56=0,1,0)))</f>
        <v>1</v>
      </c>
      <c r="BS41" s="173">
        <f>IF(CdTrp1!Y56=1,3,IF(CdTrp1!Y56=0.5,2,IF(CdTrp1!Y56=0,1,0)))</f>
        <v>1</v>
      </c>
      <c r="BZ41" s="189" t="str">
        <f t="shared" si="27"/>
        <v>lot5</v>
      </c>
      <c r="CA41" s="32"/>
      <c r="CB41" s="173">
        <f>IF(CdTrp2!B56=1,3,IF(CdTrp2!B56=0.5,2,IF(CdTrp2!B56=0,1,0)))</f>
        <v>1</v>
      </c>
      <c r="CC41" s="173">
        <f>IF(CdTrp2!C56=1,3,IF(CdTrp2!C56=0.5,2,IF(CdTrp2!C56=0,1,0)))</f>
        <v>1</v>
      </c>
      <c r="CD41" s="173">
        <f>IF(CdTrp2!D56=1,3,IF(CdTrp2!D56=0.5,2,IF(CdTrp2!D56=0,1,0)))</f>
        <v>1</v>
      </c>
      <c r="CE41" s="173">
        <f>IF(CdTrp2!E56=1,3,IF(CdTrp2!E56=0.5,2,IF(CdTrp2!E56=0,1,0)))</f>
        <v>1</v>
      </c>
      <c r="CF41" s="173">
        <f>IF(CdTrp2!F56=1,3,IF(CdTrp2!F56=0.5,2,IF(CdTrp2!F56=0,1,0)))</f>
        <v>1</v>
      </c>
      <c r="CG41" s="173">
        <f>IF(CdTrp2!G56=1,3,IF(CdTrp2!G56=0.5,2,IF(CdTrp2!G56=0,1,0)))</f>
        <v>1</v>
      </c>
      <c r="CH41" s="173">
        <f>IF(CdTrp2!H56=1,3,IF(CdTrp2!H56=0.5,2,IF(CdTrp2!H56=0,1,0)))</f>
        <v>1</v>
      </c>
      <c r="CI41" s="173">
        <f>IF(CdTrp2!I56=1,3,IF(CdTrp2!I56=0.5,2,IF(CdTrp2!I56=0,1,0)))</f>
        <v>1</v>
      </c>
      <c r="CJ41" s="173">
        <f>IF(CdTrp2!J56=1,3,IF(CdTrp2!J56=0.5,2,IF(CdTrp2!J56=0,1,0)))</f>
        <v>1</v>
      </c>
      <c r="CK41" s="173">
        <f>IF(CdTrp2!K56=1,3,IF(CdTrp2!K56=0.5,2,IF(CdTrp2!K56=0,1,0)))</f>
        <v>1</v>
      </c>
      <c r="CL41" s="173">
        <f>IF(CdTrp2!L56=1,3,IF(CdTrp2!L56=0.5,2,IF(CdTrp2!L56=0,1,0)))</f>
        <v>1</v>
      </c>
      <c r="CM41" s="173">
        <f>IF(CdTrp2!M56=1,3,IF(CdTrp2!M56=0.5,2,IF(CdTrp2!M56=0,1,0)))</f>
        <v>1</v>
      </c>
      <c r="CN41" s="173">
        <f>IF(CdTrp2!N56=1,3,IF(CdTrp2!N56=0.5,2,IF(CdTrp2!N56=0,1,0)))</f>
        <v>1</v>
      </c>
      <c r="CO41" s="173">
        <f>IF(CdTrp2!O56=1,3,IF(CdTrp2!O56=0.5,2,IF(CdTrp2!O56=0,1,0)))</f>
        <v>1</v>
      </c>
      <c r="CP41" s="173">
        <f>IF(CdTrp2!P56=1,3,IF(CdTrp2!P56=0.5,2,IF(CdTrp2!P56=0,1,0)))</f>
        <v>1</v>
      </c>
      <c r="CQ41" s="173">
        <f>IF(CdTrp2!Q56=1,3,IF(CdTrp2!Q56=0.5,2,IF(CdTrp2!Q56=0,1,0)))</f>
        <v>1</v>
      </c>
      <c r="CR41" s="173">
        <f>IF(CdTrp2!R56=1,3,IF(CdTrp2!R56=0.5,2,IF(CdTrp2!R56=0,1,0)))</f>
        <v>1</v>
      </c>
      <c r="CS41" s="173">
        <f>IF(CdTrp2!S56=1,3,IF(CdTrp2!S56=0.5,2,IF(CdTrp2!S56=0,1,0)))</f>
        <v>1</v>
      </c>
      <c r="CT41" s="173">
        <f>IF(CdTrp2!T56=1,3,IF(CdTrp2!T56=0.5,2,IF(CdTrp2!T56=0,1,0)))</f>
        <v>1</v>
      </c>
      <c r="CU41" s="173">
        <f>IF(CdTrp2!U56=1,3,IF(CdTrp2!U56=0.5,2,IF(CdTrp2!U56=0,1,0)))</f>
        <v>1</v>
      </c>
      <c r="CV41" s="173">
        <f>IF(CdTrp2!V56=1,3,IF(CdTrp2!V56=0.5,2,IF(CdTrp2!V56=0,1,0)))</f>
        <v>1</v>
      </c>
      <c r="CW41" s="173">
        <f>IF(CdTrp2!W56=1,3,IF(CdTrp2!W56=0.5,2,IF(CdTrp2!W56=0,1,0)))</f>
        <v>1</v>
      </c>
      <c r="CX41" s="173">
        <f>IF(CdTrp2!X56=1,3,IF(CdTrp2!X56=0.5,2,IF(CdTrp2!X56=0,1,0)))</f>
        <v>1</v>
      </c>
      <c r="CY41" s="173">
        <f>IF(CdTrp2!Y56=1,3,IF(CdTrp2!Y56=0.5,2,IF(CdTrp2!Y56=0,1,0)))</f>
        <v>1</v>
      </c>
      <c r="DC41" s="189" t="str">
        <f t="shared" si="28"/>
        <v>lot5</v>
      </c>
      <c r="DD41" s="32"/>
      <c r="DE41" s="173">
        <f>IF(CdTrp3!B56=1,3,IF(CdTrp3!B56=0.5,2,IF(CdTrp3!B56=0,1,0)))</f>
        <v>1</v>
      </c>
      <c r="DF41" s="173">
        <f>IF(CdTrp3!C56=1,3,IF(CdTrp3!C56=0.5,2,IF(CdTrp3!C56=0,1,0)))</f>
        <v>1</v>
      </c>
      <c r="DG41" s="173">
        <f>IF(CdTrp3!D56=1,3,IF(CdTrp3!D56=0.5,2,IF(CdTrp3!D56=0,1,0)))</f>
        <v>1</v>
      </c>
      <c r="DH41" s="173">
        <f>IF(CdTrp3!E56=1,3,IF(CdTrp3!E56=0.5,2,IF(CdTrp3!E56=0,1,0)))</f>
        <v>1</v>
      </c>
      <c r="DI41" s="173">
        <f>IF(CdTrp3!F56=1,3,IF(CdTrp3!F56=0.5,2,IF(CdTrp3!F56=0,1,0)))</f>
        <v>1</v>
      </c>
      <c r="DJ41" s="173">
        <f>IF(CdTrp3!G56=1,3,IF(CdTrp3!G56=0.5,2,IF(CdTrp3!G56=0,1,0)))</f>
        <v>1</v>
      </c>
      <c r="DK41" s="173">
        <f>IF(CdTrp3!H56=1,3,IF(CdTrp3!H56=0.5,2,IF(CdTrp3!H56=0,1,0)))</f>
        <v>1</v>
      </c>
      <c r="DL41" s="173">
        <f>IF(CdTrp3!I56=1,3,IF(CdTrp3!I56=0.5,2,IF(CdTrp3!I56=0,1,0)))</f>
        <v>1</v>
      </c>
      <c r="DM41" s="173">
        <f>IF(CdTrp3!J56=1,3,IF(CdTrp3!J56=0.5,2,IF(CdTrp3!J56=0,1,0)))</f>
        <v>1</v>
      </c>
      <c r="DN41" s="173">
        <f>IF(CdTrp3!K56=1,3,IF(CdTrp3!K56=0.5,2,IF(CdTrp3!K56=0,1,0)))</f>
        <v>1</v>
      </c>
      <c r="DO41" s="173">
        <f>IF(CdTrp3!L56=1,3,IF(CdTrp3!L56=0.5,2,IF(CdTrp3!L56=0,1,0)))</f>
        <v>1</v>
      </c>
      <c r="DP41" s="173">
        <f>IF(CdTrp3!M56=1,3,IF(CdTrp3!M56=0.5,2,IF(CdTrp3!M56=0,1,0)))</f>
        <v>1</v>
      </c>
      <c r="DQ41" s="173">
        <f>IF(CdTrp3!N56=1,3,IF(CdTrp3!N56=0.5,2,IF(CdTrp3!N56=0,1,0)))</f>
        <v>1</v>
      </c>
      <c r="DR41" s="173">
        <f>IF(CdTrp3!O56=1,3,IF(CdTrp3!O56=0.5,2,IF(CdTrp3!O56=0,1,0)))</f>
        <v>1</v>
      </c>
      <c r="DS41" s="173">
        <f>IF(CdTrp3!P56=1,3,IF(CdTrp3!P56=0.5,2,IF(CdTrp3!P56=0,1,0)))</f>
        <v>1</v>
      </c>
      <c r="DT41" s="173">
        <f>IF(CdTrp3!Q56=1,3,IF(CdTrp3!Q56=0.5,2,IF(CdTrp3!Q56=0,1,0)))</f>
        <v>1</v>
      </c>
      <c r="DU41" s="173">
        <f>IF(CdTrp3!R56=1,3,IF(CdTrp3!R56=0.5,2,IF(CdTrp3!R56=0,1,0)))</f>
        <v>1</v>
      </c>
      <c r="DV41" s="173">
        <f>IF(CdTrp3!S56=1,3,IF(CdTrp3!S56=0.5,2,IF(CdTrp3!S56=0,1,0)))</f>
        <v>1</v>
      </c>
      <c r="DW41" s="173">
        <f>IF(CdTrp3!T56=1,3,IF(CdTrp3!T56=0.5,2,IF(CdTrp3!T56=0,1,0)))</f>
        <v>1</v>
      </c>
      <c r="DX41" s="173">
        <f>IF(CdTrp3!U56=1,3,IF(CdTrp3!U56=0.5,2,IF(CdTrp3!U56=0,1,0)))</f>
        <v>1</v>
      </c>
      <c r="DY41" s="173">
        <f>IF(CdTrp3!V56=1,3,IF(CdTrp3!V56=0.5,2,IF(CdTrp3!V56=0,1,0)))</f>
        <v>1</v>
      </c>
      <c r="DZ41" s="173">
        <f>IF(CdTrp3!W56=1,3,IF(CdTrp3!W56=0.5,2,IF(CdTrp3!W56=0,1,0)))</f>
        <v>1</v>
      </c>
      <c r="EA41" s="173">
        <f>IF(CdTrp3!X56=1,3,IF(CdTrp3!X56=0.5,2,IF(CdTrp3!X56=0,1,0)))</f>
        <v>1</v>
      </c>
      <c r="EB41" s="173">
        <f>IF(CdTrp3!Y56=1,3,IF(CdTrp3!Y56=0.5,2,IF(CdTrp3!Y56=0,1,0)))</f>
        <v>1</v>
      </c>
    </row>
    <row r="42" spans="1:151" x14ac:dyDescent="0.25">
      <c r="A42" s="166" t="s">
        <v>777</v>
      </c>
      <c r="B42" s="2"/>
      <c r="F42" s="33"/>
      <c r="AR42" s="188" t="s">
        <v>747</v>
      </c>
      <c r="AT42" s="189" t="str">
        <f>CdTrp1!$A57</f>
        <v>lot6</v>
      </c>
      <c r="AU42" s="32"/>
      <c r="AV42" s="173">
        <f>IF(CdTrp1!B57=1,3,IF(CdTrp1!B57=0.5,2,IF(CdTrp1!B57=0,1,0)))</f>
        <v>1</v>
      </c>
      <c r="AW42" s="173">
        <f>IF(CdTrp1!C57=1,3,IF(CdTrp1!C57=0.5,2,IF(CdTrp1!C57=0,1,0)))</f>
        <v>1</v>
      </c>
      <c r="AX42" s="173">
        <f>IF(CdTrp1!D57=1,3,IF(CdTrp1!D57=0.5,2,IF(CdTrp1!D57=0,1,0)))</f>
        <v>1</v>
      </c>
      <c r="AY42" s="173">
        <f>IF(CdTrp1!E57=1,3,IF(CdTrp1!E57=0.5,2,IF(CdTrp1!E57=0,1,0)))</f>
        <v>1</v>
      </c>
      <c r="AZ42" s="173">
        <f>IF(CdTrp1!F57=1,3,IF(CdTrp1!F57=0.5,2,IF(CdTrp1!F57=0,1,0)))</f>
        <v>1</v>
      </c>
      <c r="BA42" s="173">
        <f>IF(CdTrp1!G57=1,3,IF(CdTrp1!G57=0.5,2,IF(CdTrp1!G57=0,1,0)))</f>
        <v>1</v>
      </c>
      <c r="BB42" s="173">
        <f>IF(CdTrp1!H57=1,3,IF(CdTrp1!H57=0.5,2,IF(CdTrp1!H57=0,1,0)))</f>
        <v>1</v>
      </c>
      <c r="BC42" s="173">
        <f>IF(CdTrp1!I57=1,3,IF(CdTrp1!I57=0.5,2,IF(CdTrp1!I57=0,1,0)))</f>
        <v>1</v>
      </c>
      <c r="BD42" s="173">
        <f>IF(CdTrp1!J57=1,3,IF(CdTrp1!J57=0.5,2,IF(CdTrp1!J57=0,1,0)))</f>
        <v>1</v>
      </c>
      <c r="BE42" s="173">
        <f>IF(CdTrp1!K57=1,3,IF(CdTrp1!K57=0.5,2,IF(CdTrp1!K57=0,1,0)))</f>
        <v>1</v>
      </c>
      <c r="BF42" s="173">
        <f>IF(CdTrp1!L57=1,3,IF(CdTrp1!L57=0.5,2,IF(CdTrp1!L57=0,1,0)))</f>
        <v>1</v>
      </c>
      <c r="BG42" s="173">
        <f>IF(CdTrp1!M57=1,3,IF(CdTrp1!M57=0.5,2,IF(CdTrp1!M57=0,1,0)))</f>
        <v>1</v>
      </c>
      <c r="BH42" s="173">
        <f>IF(CdTrp1!N57=1,3,IF(CdTrp1!N57=0.5,2,IF(CdTrp1!N57=0,1,0)))</f>
        <v>1</v>
      </c>
      <c r="BI42" s="173">
        <f>IF(CdTrp1!O57=1,3,IF(CdTrp1!O57=0.5,2,IF(CdTrp1!O57=0,1,0)))</f>
        <v>1</v>
      </c>
      <c r="BJ42" s="173">
        <f>IF(CdTrp1!P57=1,3,IF(CdTrp1!P57=0.5,2,IF(CdTrp1!P57=0,1,0)))</f>
        <v>1</v>
      </c>
      <c r="BK42" s="173">
        <f>IF(CdTrp1!Q57=1,3,IF(CdTrp1!Q57=0.5,2,IF(CdTrp1!Q57=0,1,0)))</f>
        <v>1</v>
      </c>
      <c r="BL42" s="173">
        <f>IF(CdTrp1!R57=1,3,IF(CdTrp1!R57=0.5,2,IF(CdTrp1!R57=0,1,0)))</f>
        <v>1</v>
      </c>
      <c r="BM42" s="173">
        <f>IF(CdTrp1!S57=1,3,IF(CdTrp1!S57=0.5,2,IF(CdTrp1!S57=0,1,0)))</f>
        <v>1</v>
      </c>
      <c r="BN42" s="173">
        <f>IF(CdTrp1!T57=1,3,IF(CdTrp1!T57=0.5,2,IF(CdTrp1!T57=0,1,0)))</f>
        <v>1</v>
      </c>
      <c r="BO42" s="173">
        <f>IF(CdTrp1!U57=1,3,IF(CdTrp1!U57=0.5,2,IF(CdTrp1!U57=0,1,0)))</f>
        <v>1</v>
      </c>
      <c r="BP42" s="173">
        <f>IF(CdTrp1!V57=1,3,IF(CdTrp1!V57=0.5,2,IF(CdTrp1!V57=0,1,0)))</f>
        <v>1</v>
      </c>
      <c r="BQ42" s="173">
        <f>IF(CdTrp1!W57=1,3,IF(CdTrp1!W57=0.5,2,IF(CdTrp1!W57=0,1,0)))</f>
        <v>1</v>
      </c>
      <c r="BR42" s="173">
        <f>IF(CdTrp1!X57=1,3,IF(CdTrp1!X57=0.5,2,IF(CdTrp1!X57=0,1,0)))</f>
        <v>1</v>
      </c>
      <c r="BS42" s="173">
        <f>IF(CdTrp1!Y57=1,3,IF(CdTrp1!Y57=0.5,2,IF(CdTrp1!Y57=0,1,0)))</f>
        <v>1</v>
      </c>
      <c r="BZ42" s="189" t="str">
        <f t="shared" si="27"/>
        <v>lot6</v>
      </c>
      <c r="CA42" s="32"/>
      <c r="CB42" s="173">
        <f>IF(CdTrp2!B57=1,3,IF(CdTrp2!B57=0.5,2,IF(CdTrp2!B57=0,1,0)))</f>
        <v>1</v>
      </c>
      <c r="CC42" s="173">
        <f>IF(CdTrp2!C57=1,3,IF(CdTrp2!C57=0.5,2,IF(CdTrp2!C57=0,1,0)))</f>
        <v>1</v>
      </c>
      <c r="CD42" s="173">
        <f>IF(CdTrp2!D57=1,3,IF(CdTrp2!D57=0.5,2,IF(CdTrp2!D57=0,1,0)))</f>
        <v>1</v>
      </c>
      <c r="CE42" s="173">
        <f>IF(CdTrp2!E57=1,3,IF(CdTrp2!E57=0.5,2,IF(CdTrp2!E57=0,1,0)))</f>
        <v>1</v>
      </c>
      <c r="CF42" s="173">
        <f>IF(CdTrp2!F57=1,3,IF(CdTrp2!F57=0.5,2,IF(CdTrp2!F57=0,1,0)))</f>
        <v>1</v>
      </c>
      <c r="CG42" s="173">
        <f>IF(CdTrp2!G57=1,3,IF(CdTrp2!G57=0.5,2,IF(CdTrp2!G57=0,1,0)))</f>
        <v>1</v>
      </c>
      <c r="CH42" s="173">
        <f>IF(CdTrp2!H57=1,3,IF(CdTrp2!H57=0.5,2,IF(CdTrp2!H57=0,1,0)))</f>
        <v>1</v>
      </c>
      <c r="CI42" s="173">
        <f>IF(CdTrp2!I57=1,3,IF(CdTrp2!I57=0.5,2,IF(CdTrp2!I57=0,1,0)))</f>
        <v>1</v>
      </c>
      <c r="CJ42" s="173">
        <f>IF(CdTrp2!J57=1,3,IF(CdTrp2!J57=0.5,2,IF(CdTrp2!J57=0,1,0)))</f>
        <v>1</v>
      </c>
      <c r="CK42" s="173">
        <f>IF(CdTrp2!K57=1,3,IF(CdTrp2!K57=0.5,2,IF(CdTrp2!K57=0,1,0)))</f>
        <v>1</v>
      </c>
      <c r="CL42" s="173">
        <f>IF(CdTrp2!L57=1,3,IF(CdTrp2!L57=0.5,2,IF(CdTrp2!L57=0,1,0)))</f>
        <v>1</v>
      </c>
      <c r="CM42" s="173">
        <f>IF(CdTrp2!M57=1,3,IF(CdTrp2!M57=0.5,2,IF(CdTrp2!M57=0,1,0)))</f>
        <v>1</v>
      </c>
      <c r="CN42" s="173">
        <f>IF(CdTrp2!N57=1,3,IF(CdTrp2!N57=0.5,2,IF(CdTrp2!N57=0,1,0)))</f>
        <v>1</v>
      </c>
      <c r="CO42" s="173">
        <f>IF(CdTrp2!O57=1,3,IF(CdTrp2!O57=0.5,2,IF(CdTrp2!O57=0,1,0)))</f>
        <v>1</v>
      </c>
      <c r="CP42" s="173">
        <f>IF(CdTrp2!P57=1,3,IF(CdTrp2!P57=0.5,2,IF(CdTrp2!P57=0,1,0)))</f>
        <v>1</v>
      </c>
      <c r="CQ42" s="173">
        <f>IF(CdTrp2!Q57=1,3,IF(CdTrp2!Q57=0.5,2,IF(CdTrp2!Q57=0,1,0)))</f>
        <v>1</v>
      </c>
      <c r="CR42" s="173">
        <f>IF(CdTrp2!R57=1,3,IF(CdTrp2!R57=0.5,2,IF(CdTrp2!R57=0,1,0)))</f>
        <v>1</v>
      </c>
      <c r="CS42" s="173">
        <f>IF(CdTrp2!S57=1,3,IF(CdTrp2!S57=0.5,2,IF(CdTrp2!S57=0,1,0)))</f>
        <v>1</v>
      </c>
      <c r="CT42" s="173">
        <f>IF(CdTrp2!T57=1,3,IF(CdTrp2!T57=0.5,2,IF(CdTrp2!T57=0,1,0)))</f>
        <v>1</v>
      </c>
      <c r="CU42" s="173">
        <f>IF(CdTrp2!U57=1,3,IF(CdTrp2!U57=0.5,2,IF(CdTrp2!U57=0,1,0)))</f>
        <v>1</v>
      </c>
      <c r="CV42" s="173">
        <f>IF(CdTrp2!V57=1,3,IF(CdTrp2!V57=0.5,2,IF(CdTrp2!V57=0,1,0)))</f>
        <v>1</v>
      </c>
      <c r="CW42" s="173">
        <f>IF(CdTrp2!W57=1,3,IF(CdTrp2!W57=0.5,2,IF(CdTrp2!W57=0,1,0)))</f>
        <v>1</v>
      </c>
      <c r="CX42" s="173">
        <f>IF(CdTrp2!X57=1,3,IF(CdTrp2!X57=0.5,2,IF(CdTrp2!X57=0,1,0)))</f>
        <v>1</v>
      </c>
      <c r="CY42" s="173">
        <f>IF(CdTrp2!Y57=1,3,IF(CdTrp2!Y57=0.5,2,IF(CdTrp2!Y57=0,1,0)))</f>
        <v>1</v>
      </c>
      <c r="DC42" s="189" t="str">
        <f t="shared" si="28"/>
        <v>lot6</v>
      </c>
      <c r="DD42" s="32"/>
      <c r="DE42" s="173">
        <f>IF(CdTrp3!B57=1,3,IF(CdTrp3!B57=0.5,2,IF(CdTrp3!B57=0,1,0)))</f>
        <v>1</v>
      </c>
      <c r="DF42" s="173">
        <f>IF(CdTrp3!C57=1,3,IF(CdTrp3!C57=0.5,2,IF(CdTrp3!C57=0,1,0)))</f>
        <v>1</v>
      </c>
      <c r="DG42" s="173">
        <f>IF(CdTrp3!D57=1,3,IF(CdTrp3!D57=0.5,2,IF(CdTrp3!D57=0,1,0)))</f>
        <v>1</v>
      </c>
      <c r="DH42" s="173">
        <f>IF(CdTrp3!E57=1,3,IF(CdTrp3!E57=0.5,2,IF(CdTrp3!E57=0,1,0)))</f>
        <v>1</v>
      </c>
      <c r="DI42" s="173">
        <f>IF(CdTrp3!F57=1,3,IF(CdTrp3!F57=0.5,2,IF(CdTrp3!F57=0,1,0)))</f>
        <v>1</v>
      </c>
      <c r="DJ42" s="173">
        <f>IF(CdTrp3!G57=1,3,IF(CdTrp3!G57=0.5,2,IF(CdTrp3!G57=0,1,0)))</f>
        <v>1</v>
      </c>
      <c r="DK42" s="173">
        <f>IF(CdTrp3!H57=1,3,IF(CdTrp3!H57=0.5,2,IF(CdTrp3!H57=0,1,0)))</f>
        <v>1</v>
      </c>
      <c r="DL42" s="173">
        <f>IF(CdTrp3!I57=1,3,IF(CdTrp3!I57=0.5,2,IF(CdTrp3!I57=0,1,0)))</f>
        <v>1</v>
      </c>
      <c r="DM42" s="173">
        <f>IF(CdTrp3!J57=1,3,IF(CdTrp3!J57=0.5,2,IF(CdTrp3!J57=0,1,0)))</f>
        <v>1</v>
      </c>
      <c r="DN42" s="173">
        <f>IF(CdTrp3!K57=1,3,IF(CdTrp3!K57=0.5,2,IF(CdTrp3!K57=0,1,0)))</f>
        <v>1</v>
      </c>
      <c r="DO42" s="173">
        <f>IF(CdTrp3!L57=1,3,IF(CdTrp3!L57=0.5,2,IF(CdTrp3!L57=0,1,0)))</f>
        <v>1</v>
      </c>
      <c r="DP42" s="173">
        <f>IF(CdTrp3!M57=1,3,IF(CdTrp3!M57=0.5,2,IF(CdTrp3!M57=0,1,0)))</f>
        <v>1</v>
      </c>
      <c r="DQ42" s="173">
        <f>IF(CdTrp3!N57=1,3,IF(CdTrp3!N57=0.5,2,IF(CdTrp3!N57=0,1,0)))</f>
        <v>1</v>
      </c>
      <c r="DR42" s="173">
        <f>IF(CdTrp3!O57=1,3,IF(CdTrp3!O57=0.5,2,IF(CdTrp3!O57=0,1,0)))</f>
        <v>1</v>
      </c>
      <c r="DS42" s="173">
        <f>IF(CdTrp3!P57=1,3,IF(CdTrp3!P57=0.5,2,IF(CdTrp3!P57=0,1,0)))</f>
        <v>1</v>
      </c>
      <c r="DT42" s="173">
        <f>IF(CdTrp3!Q57=1,3,IF(CdTrp3!Q57=0.5,2,IF(CdTrp3!Q57=0,1,0)))</f>
        <v>1</v>
      </c>
      <c r="DU42" s="173">
        <f>IF(CdTrp3!R57=1,3,IF(CdTrp3!R57=0.5,2,IF(CdTrp3!R57=0,1,0)))</f>
        <v>1</v>
      </c>
      <c r="DV42" s="173">
        <f>IF(CdTrp3!S57=1,3,IF(CdTrp3!S57=0.5,2,IF(CdTrp3!S57=0,1,0)))</f>
        <v>1</v>
      </c>
      <c r="DW42" s="173">
        <f>IF(CdTrp3!T57=1,3,IF(CdTrp3!T57=0.5,2,IF(CdTrp3!T57=0,1,0)))</f>
        <v>1</v>
      </c>
      <c r="DX42" s="173">
        <f>IF(CdTrp3!U57=1,3,IF(CdTrp3!U57=0.5,2,IF(CdTrp3!U57=0,1,0)))</f>
        <v>1</v>
      </c>
      <c r="DY42" s="173">
        <f>IF(CdTrp3!V57=1,3,IF(CdTrp3!V57=0.5,2,IF(CdTrp3!V57=0,1,0)))</f>
        <v>1</v>
      </c>
      <c r="DZ42" s="173">
        <f>IF(CdTrp3!W57=1,3,IF(CdTrp3!W57=0.5,2,IF(CdTrp3!W57=0,1,0)))</f>
        <v>1</v>
      </c>
      <c r="EA42" s="173">
        <f>IF(CdTrp3!X57=1,3,IF(CdTrp3!X57=0.5,2,IF(CdTrp3!X57=0,1,0)))</f>
        <v>1</v>
      </c>
      <c r="EB42" s="173">
        <f>IF(CdTrp3!Y57=1,3,IF(CdTrp3!Y57=0.5,2,IF(CdTrp3!Y57=0,1,0)))</f>
        <v>1</v>
      </c>
    </row>
    <row r="43" spans="1:151" x14ac:dyDescent="0.25">
      <c r="A43" s="168" t="s">
        <v>568</v>
      </c>
      <c r="AR43" s="188" t="s">
        <v>747</v>
      </c>
      <c r="AT43" s="271" t="str">
        <f>CdTrp1!$A58</f>
        <v>lot7</v>
      </c>
      <c r="AU43" s="32"/>
      <c r="AV43" s="173">
        <f>IF(CdTrp1!B58=1,3,IF(CdTrp1!B58=0.5,2,IF(CdTrp1!B58=0,1,0)))</f>
        <v>1</v>
      </c>
      <c r="AW43" s="173">
        <f>IF(CdTrp1!C58=1,3,IF(CdTrp1!C58=0.5,2,IF(CdTrp1!C58=0,1,0)))</f>
        <v>1</v>
      </c>
      <c r="AX43" s="173">
        <f>IF(CdTrp1!D58=1,3,IF(CdTrp1!D58=0.5,2,IF(CdTrp1!D58=0,1,0)))</f>
        <v>1</v>
      </c>
      <c r="AY43" s="173">
        <f>IF(CdTrp1!E58=1,3,IF(CdTrp1!E58=0.5,2,IF(CdTrp1!E58=0,1,0)))</f>
        <v>1</v>
      </c>
      <c r="AZ43" s="173">
        <f>IF(CdTrp1!F58=1,3,IF(CdTrp1!F58=0.5,2,IF(CdTrp1!F58=0,1,0)))</f>
        <v>1</v>
      </c>
      <c r="BA43" s="173">
        <f>IF(CdTrp1!G58=1,3,IF(CdTrp1!G58=0.5,2,IF(CdTrp1!G58=0,1,0)))</f>
        <v>1</v>
      </c>
      <c r="BB43" s="173">
        <f>IF(CdTrp1!H58=1,3,IF(CdTrp1!H58=0.5,2,IF(CdTrp1!H58=0,1,0)))</f>
        <v>1</v>
      </c>
      <c r="BC43" s="173">
        <f>IF(CdTrp1!I58=1,3,IF(CdTrp1!I58=0.5,2,IF(CdTrp1!I58=0,1,0)))</f>
        <v>1</v>
      </c>
      <c r="BD43" s="173">
        <f>IF(CdTrp1!J58=1,3,IF(CdTrp1!J58=0.5,2,IF(CdTrp1!J58=0,1,0)))</f>
        <v>1</v>
      </c>
      <c r="BE43" s="173">
        <f>IF(CdTrp1!K58=1,3,IF(CdTrp1!K58=0.5,2,IF(CdTrp1!K58=0,1,0)))</f>
        <v>1</v>
      </c>
      <c r="BF43" s="173">
        <f>IF(CdTrp1!L58=1,3,IF(CdTrp1!L58=0.5,2,IF(CdTrp1!L58=0,1,0)))</f>
        <v>1</v>
      </c>
      <c r="BG43" s="173">
        <f>IF(CdTrp1!M58=1,3,IF(CdTrp1!M58=0.5,2,IF(CdTrp1!M58=0,1,0)))</f>
        <v>1</v>
      </c>
      <c r="BH43" s="173">
        <f>IF(CdTrp1!N58=1,3,IF(CdTrp1!N58=0.5,2,IF(CdTrp1!N58=0,1,0)))</f>
        <v>1</v>
      </c>
      <c r="BI43" s="173">
        <f>IF(CdTrp1!O58=1,3,IF(CdTrp1!O58=0.5,2,IF(CdTrp1!O58=0,1,0)))</f>
        <v>1</v>
      </c>
      <c r="BJ43" s="173">
        <f>IF(CdTrp1!P58=1,3,IF(CdTrp1!P58=0.5,2,IF(CdTrp1!P58=0,1,0)))</f>
        <v>1</v>
      </c>
      <c r="BK43" s="173">
        <f>IF(CdTrp1!Q58=1,3,IF(CdTrp1!Q58=0.5,2,IF(CdTrp1!Q58=0,1,0)))</f>
        <v>1</v>
      </c>
      <c r="BL43" s="173">
        <f>IF(CdTrp1!R58=1,3,IF(CdTrp1!R58=0.5,2,IF(CdTrp1!R58=0,1,0)))</f>
        <v>1</v>
      </c>
      <c r="BM43" s="173">
        <f>IF(CdTrp1!S58=1,3,IF(CdTrp1!S58=0.5,2,IF(CdTrp1!S58=0,1,0)))</f>
        <v>1</v>
      </c>
      <c r="BN43" s="173">
        <f>IF(CdTrp1!T58=1,3,IF(CdTrp1!T58=0.5,2,IF(CdTrp1!T58=0,1,0)))</f>
        <v>1</v>
      </c>
      <c r="BO43" s="173">
        <f>IF(CdTrp1!U58=1,3,IF(CdTrp1!U58=0.5,2,IF(CdTrp1!U58=0,1,0)))</f>
        <v>1</v>
      </c>
      <c r="BP43" s="173">
        <f>IF(CdTrp1!V58=1,3,IF(CdTrp1!V58=0.5,2,IF(CdTrp1!V58=0,1,0)))</f>
        <v>1</v>
      </c>
      <c r="BQ43" s="173">
        <f>IF(CdTrp1!W58=1,3,IF(CdTrp1!W58=0.5,2,IF(CdTrp1!W58=0,1,0)))</f>
        <v>1</v>
      </c>
      <c r="BR43" s="173">
        <f>IF(CdTrp1!X58=1,3,IF(CdTrp1!X58=0.5,2,IF(CdTrp1!X58=0,1,0)))</f>
        <v>1</v>
      </c>
      <c r="BS43" s="173">
        <f>IF(CdTrp1!Y58=1,3,IF(CdTrp1!Y58=0.5,2,IF(CdTrp1!Y58=0,1,0)))</f>
        <v>1</v>
      </c>
      <c r="BZ43" s="189" t="str">
        <f t="shared" si="27"/>
        <v>lot7</v>
      </c>
      <c r="CA43" s="32"/>
      <c r="CB43" s="173">
        <f>IF(CdTrp2!B58=1,3,IF(CdTrp2!B58=0.5,2,IF(CdTrp2!B58=0,1,0)))</f>
        <v>1</v>
      </c>
      <c r="CC43" s="173">
        <f>IF(CdTrp2!C58=1,3,IF(CdTrp2!C58=0.5,2,IF(CdTrp2!C58=0,1,0)))</f>
        <v>1</v>
      </c>
      <c r="CD43" s="173">
        <f>IF(CdTrp2!D58=1,3,IF(CdTrp2!D58=0.5,2,IF(CdTrp2!D58=0,1,0)))</f>
        <v>1</v>
      </c>
      <c r="CE43" s="173">
        <f>IF(CdTrp2!E58=1,3,IF(CdTrp2!E58=0.5,2,IF(CdTrp2!E58=0,1,0)))</f>
        <v>1</v>
      </c>
      <c r="CF43" s="173">
        <f>IF(CdTrp2!F58=1,3,IF(CdTrp2!F58=0.5,2,IF(CdTrp2!F58=0,1,0)))</f>
        <v>1</v>
      </c>
      <c r="CG43" s="173">
        <f>IF(CdTrp2!G58=1,3,IF(CdTrp2!G58=0.5,2,IF(CdTrp2!G58=0,1,0)))</f>
        <v>1</v>
      </c>
      <c r="CH43" s="173">
        <f>IF(CdTrp2!H58=1,3,IF(CdTrp2!H58=0.5,2,IF(CdTrp2!H58=0,1,0)))</f>
        <v>1</v>
      </c>
      <c r="CI43" s="173">
        <f>IF(CdTrp2!I58=1,3,IF(CdTrp2!I58=0.5,2,IF(CdTrp2!I58=0,1,0)))</f>
        <v>1</v>
      </c>
      <c r="CJ43" s="173">
        <f>IF(CdTrp2!J58=1,3,IF(CdTrp2!J58=0.5,2,IF(CdTrp2!J58=0,1,0)))</f>
        <v>1</v>
      </c>
      <c r="CK43" s="173">
        <f>IF(CdTrp2!K58=1,3,IF(CdTrp2!K58=0.5,2,IF(CdTrp2!K58=0,1,0)))</f>
        <v>1</v>
      </c>
      <c r="CL43" s="173">
        <f>IF(CdTrp2!L58=1,3,IF(CdTrp2!L58=0.5,2,IF(CdTrp2!L58=0,1,0)))</f>
        <v>1</v>
      </c>
      <c r="CM43" s="173">
        <f>IF(CdTrp2!M58=1,3,IF(CdTrp2!M58=0.5,2,IF(CdTrp2!M58=0,1,0)))</f>
        <v>1</v>
      </c>
      <c r="CN43" s="173">
        <f>IF(CdTrp2!N58=1,3,IF(CdTrp2!N58=0.5,2,IF(CdTrp2!N58=0,1,0)))</f>
        <v>1</v>
      </c>
      <c r="CO43" s="173">
        <f>IF(CdTrp2!O58=1,3,IF(CdTrp2!O58=0.5,2,IF(CdTrp2!O58=0,1,0)))</f>
        <v>1</v>
      </c>
      <c r="CP43" s="173">
        <f>IF(CdTrp2!P58=1,3,IF(CdTrp2!P58=0.5,2,IF(CdTrp2!P58=0,1,0)))</f>
        <v>1</v>
      </c>
      <c r="CQ43" s="173">
        <f>IF(CdTrp2!Q58=1,3,IF(CdTrp2!Q58=0.5,2,IF(CdTrp2!Q58=0,1,0)))</f>
        <v>1</v>
      </c>
      <c r="CR43" s="173">
        <f>IF(CdTrp2!R58=1,3,IF(CdTrp2!R58=0.5,2,IF(CdTrp2!R58=0,1,0)))</f>
        <v>1</v>
      </c>
      <c r="CS43" s="173">
        <f>IF(CdTrp2!S58=1,3,IF(CdTrp2!S58=0.5,2,IF(CdTrp2!S58=0,1,0)))</f>
        <v>1</v>
      </c>
      <c r="CT43" s="173">
        <f>IF(CdTrp2!T58=1,3,IF(CdTrp2!T58=0.5,2,IF(CdTrp2!T58=0,1,0)))</f>
        <v>1</v>
      </c>
      <c r="CU43" s="173">
        <f>IF(CdTrp2!U58=1,3,IF(CdTrp2!U58=0.5,2,IF(CdTrp2!U58=0,1,0)))</f>
        <v>1</v>
      </c>
      <c r="CV43" s="173">
        <f>IF(CdTrp2!V58=1,3,IF(CdTrp2!V58=0.5,2,IF(CdTrp2!V58=0,1,0)))</f>
        <v>1</v>
      </c>
      <c r="CW43" s="173">
        <f>IF(CdTrp2!W58=1,3,IF(CdTrp2!W58=0.5,2,IF(CdTrp2!W58=0,1,0)))</f>
        <v>1</v>
      </c>
      <c r="CX43" s="173">
        <f>IF(CdTrp2!X58=1,3,IF(CdTrp2!X58=0.5,2,IF(CdTrp2!X58=0,1,0)))</f>
        <v>1</v>
      </c>
      <c r="CY43" s="173">
        <f>IF(CdTrp2!Y58=1,3,IF(CdTrp2!Y58=0.5,2,IF(CdTrp2!Y58=0,1,0)))</f>
        <v>1</v>
      </c>
      <c r="DC43" s="189" t="str">
        <f t="shared" si="28"/>
        <v>lot7</v>
      </c>
      <c r="DD43" s="32"/>
      <c r="DE43" s="173">
        <f>IF(CdTrp3!B58=1,3,IF(CdTrp3!B58=0.5,2,IF(CdTrp3!B58=0,1,0)))</f>
        <v>1</v>
      </c>
      <c r="DF43" s="173">
        <f>IF(CdTrp3!C58=1,3,IF(CdTrp3!C58=0.5,2,IF(CdTrp3!C58=0,1,0)))</f>
        <v>1</v>
      </c>
      <c r="DG43" s="173">
        <f>IF(CdTrp3!D58=1,3,IF(CdTrp3!D58=0.5,2,IF(CdTrp3!D58=0,1,0)))</f>
        <v>1</v>
      </c>
      <c r="DH43" s="173">
        <f>IF(CdTrp3!E58=1,3,IF(CdTrp3!E58=0.5,2,IF(CdTrp3!E58=0,1,0)))</f>
        <v>1</v>
      </c>
      <c r="DI43" s="173">
        <f>IF(CdTrp3!F58=1,3,IF(CdTrp3!F58=0.5,2,IF(CdTrp3!F58=0,1,0)))</f>
        <v>1</v>
      </c>
      <c r="DJ43" s="173">
        <f>IF(CdTrp3!G58=1,3,IF(CdTrp3!G58=0.5,2,IF(CdTrp3!G58=0,1,0)))</f>
        <v>1</v>
      </c>
      <c r="DK43" s="173">
        <f>IF(CdTrp3!H58=1,3,IF(CdTrp3!H58=0.5,2,IF(CdTrp3!H58=0,1,0)))</f>
        <v>1</v>
      </c>
      <c r="DL43" s="173">
        <f>IF(CdTrp3!I58=1,3,IF(CdTrp3!I58=0.5,2,IF(CdTrp3!I58=0,1,0)))</f>
        <v>1</v>
      </c>
      <c r="DM43" s="173">
        <f>IF(CdTrp3!J58=1,3,IF(CdTrp3!J58=0.5,2,IF(CdTrp3!J58=0,1,0)))</f>
        <v>1</v>
      </c>
      <c r="DN43" s="173">
        <f>IF(CdTrp3!K58=1,3,IF(CdTrp3!K58=0.5,2,IF(CdTrp3!K58=0,1,0)))</f>
        <v>1</v>
      </c>
      <c r="DO43" s="173">
        <f>IF(CdTrp3!L58=1,3,IF(CdTrp3!L58=0.5,2,IF(CdTrp3!L58=0,1,0)))</f>
        <v>1</v>
      </c>
      <c r="DP43" s="173">
        <f>IF(CdTrp3!M58=1,3,IF(CdTrp3!M58=0.5,2,IF(CdTrp3!M58=0,1,0)))</f>
        <v>1</v>
      </c>
      <c r="DQ43" s="173">
        <f>IF(CdTrp3!N58=1,3,IF(CdTrp3!N58=0.5,2,IF(CdTrp3!N58=0,1,0)))</f>
        <v>1</v>
      </c>
      <c r="DR43" s="173">
        <f>IF(CdTrp3!O58=1,3,IF(CdTrp3!O58=0.5,2,IF(CdTrp3!O58=0,1,0)))</f>
        <v>1</v>
      </c>
      <c r="DS43" s="173">
        <f>IF(CdTrp3!P58=1,3,IF(CdTrp3!P58=0.5,2,IF(CdTrp3!P58=0,1,0)))</f>
        <v>1</v>
      </c>
      <c r="DT43" s="173">
        <f>IF(CdTrp3!Q58=1,3,IF(CdTrp3!Q58=0.5,2,IF(CdTrp3!Q58=0,1,0)))</f>
        <v>1</v>
      </c>
      <c r="DU43" s="173">
        <f>IF(CdTrp3!R58=1,3,IF(CdTrp3!R58=0.5,2,IF(CdTrp3!R58=0,1,0)))</f>
        <v>1</v>
      </c>
      <c r="DV43" s="173">
        <f>IF(CdTrp3!S58=1,3,IF(CdTrp3!S58=0.5,2,IF(CdTrp3!S58=0,1,0)))</f>
        <v>1</v>
      </c>
      <c r="DW43" s="173">
        <f>IF(CdTrp3!T58=1,3,IF(CdTrp3!T58=0.5,2,IF(CdTrp3!T58=0,1,0)))</f>
        <v>1</v>
      </c>
      <c r="DX43" s="173">
        <f>IF(CdTrp3!U58=1,3,IF(CdTrp3!U58=0.5,2,IF(CdTrp3!U58=0,1,0)))</f>
        <v>1</v>
      </c>
      <c r="DY43" s="173">
        <f>IF(CdTrp3!V58=1,3,IF(CdTrp3!V58=0.5,2,IF(CdTrp3!V58=0,1,0)))</f>
        <v>1</v>
      </c>
      <c r="DZ43" s="173">
        <f>IF(CdTrp3!W58=1,3,IF(CdTrp3!W58=0.5,2,IF(CdTrp3!W58=0,1,0)))</f>
        <v>1</v>
      </c>
      <c r="EA43" s="173">
        <f>IF(CdTrp3!X58=1,3,IF(CdTrp3!X58=0.5,2,IF(CdTrp3!X58=0,1,0)))</f>
        <v>1</v>
      </c>
      <c r="EB43" s="173">
        <f>IF(CdTrp3!Y58=1,3,IF(CdTrp3!Y58=0.5,2,IF(CdTrp3!Y58=0,1,0)))</f>
        <v>1</v>
      </c>
    </row>
    <row r="44" spans="1:151" s="5" customFormat="1" x14ac:dyDescent="0.25">
      <c r="A44" s="168" t="s">
        <v>601</v>
      </c>
      <c r="B44"/>
      <c r="C44"/>
      <c r="F44" s="171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8" t="s">
        <v>747</v>
      </c>
      <c r="AT44" s="271" t="str">
        <f>CdTrp1!$A59</f>
        <v>lot8</v>
      </c>
      <c r="AU44" s="32"/>
      <c r="AV44" s="173">
        <f>IF(CdTrp1!B59=1,3,IF(CdTrp1!B59=0.5,2,IF(CdTrp1!B59=0,1,0)))</f>
        <v>1</v>
      </c>
      <c r="AW44" s="173">
        <f>IF(CdTrp1!C59=1,3,IF(CdTrp1!C59=0.5,2,IF(CdTrp1!C59=0,1,0)))</f>
        <v>1</v>
      </c>
      <c r="AX44" s="173">
        <f>IF(CdTrp1!D59=1,3,IF(CdTrp1!D59=0.5,2,IF(CdTrp1!D59=0,1,0)))</f>
        <v>1</v>
      </c>
      <c r="AY44" s="173">
        <f>IF(CdTrp1!E59=1,3,IF(CdTrp1!E59=0.5,2,IF(CdTrp1!E59=0,1,0)))</f>
        <v>1</v>
      </c>
      <c r="AZ44" s="173">
        <f>IF(CdTrp1!F59=1,3,IF(CdTrp1!F59=0.5,2,IF(CdTrp1!F59=0,1,0)))</f>
        <v>1</v>
      </c>
      <c r="BA44" s="173">
        <f>IF(CdTrp1!G59=1,3,IF(CdTrp1!G59=0.5,2,IF(CdTrp1!G59=0,1,0)))</f>
        <v>1</v>
      </c>
      <c r="BB44" s="173">
        <f>IF(CdTrp1!H59=1,3,IF(CdTrp1!H59=0.5,2,IF(CdTrp1!H59=0,1,0)))</f>
        <v>1</v>
      </c>
      <c r="BC44" s="173">
        <f>IF(CdTrp1!I59=1,3,IF(CdTrp1!I59=0.5,2,IF(CdTrp1!I59=0,1,0)))</f>
        <v>1</v>
      </c>
      <c r="BD44" s="173">
        <f>IF(CdTrp1!J59=1,3,IF(CdTrp1!J59=0.5,2,IF(CdTrp1!J59=0,1,0)))</f>
        <v>1</v>
      </c>
      <c r="BE44" s="173">
        <f>IF(CdTrp1!K59=1,3,IF(CdTrp1!K59=0.5,2,IF(CdTrp1!K59=0,1,0)))</f>
        <v>1</v>
      </c>
      <c r="BF44" s="173">
        <f>IF(CdTrp1!L59=1,3,IF(CdTrp1!L59=0.5,2,IF(CdTrp1!L59=0,1,0)))</f>
        <v>1</v>
      </c>
      <c r="BG44" s="173">
        <f>IF(CdTrp1!M59=1,3,IF(CdTrp1!M59=0.5,2,IF(CdTrp1!M59=0,1,0)))</f>
        <v>1</v>
      </c>
      <c r="BH44" s="173">
        <f>IF(CdTrp1!N59=1,3,IF(CdTrp1!N59=0.5,2,IF(CdTrp1!N59=0,1,0)))</f>
        <v>1</v>
      </c>
      <c r="BI44" s="173">
        <f>IF(CdTrp1!O59=1,3,IF(CdTrp1!O59=0.5,2,IF(CdTrp1!O59=0,1,0)))</f>
        <v>1</v>
      </c>
      <c r="BJ44" s="173">
        <f>IF(CdTrp1!P59=1,3,IF(CdTrp1!P59=0.5,2,IF(CdTrp1!P59=0,1,0)))</f>
        <v>1</v>
      </c>
      <c r="BK44" s="173">
        <f>IF(CdTrp1!Q59=1,3,IF(CdTrp1!Q59=0.5,2,IF(CdTrp1!Q59=0,1,0)))</f>
        <v>1</v>
      </c>
      <c r="BL44" s="173">
        <f>IF(CdTrp1!R59=1,3,IF(CdTrp1!R59=0.5,2,IF(CdTrp1!R59=0,1,0)))</f>
        <v>1</v>
      </c>
      <c r="BM44" s="173">
        <f>IF(CdTrp1!S59=1,3,IF(CdTrp1!S59=0.5,2,IF(CdTrp1!S59=0,1,0)))</f>
        <v>1</v>
      </c>
      <c r="BN44" s="173">
        <f>IF(CdTrp1!T59=1,3,IF(CdTrp1!T59=0.5,2,IF(CdTrp1!T59=0,1,0)))</f>
        <v>1</v>
      </c>
      <c r="BO44" s="173">
        <f>IF(CdTrp1!U59=1,3,IF(CdTrp1!U59=0.5,2,IF(CdTrp1!U59=0,1,0)))</f>
        <v>1</v>
      </c>
      <c r="BP44" s="173">
        <f>IF(CdTrp1!V59=1,3,IF(CdTrp1!V59=0.5,2,IF(CdTrp1!V59=0,1,0)))</f>
        <v>1</v>
      </c>
      <c r="BQ44" s="173">
        <f>IF(CdTrp1!W59=1,3,IF(CdTrp1!W59=0.5,2,IF(CdTrp1!W59=0,1,0)))</f>
        <v>1</v>
      </c>
      <c r="BR44" s="173">
        <f>IF(CdTrp1!X59=1,3,IF(CdTrp1!X59=0.5,2,IF(CdTrp1!X59=0,1,0)))</f>
        <v>1</v>
      </c>
      <c r="BS44" s="173">
        <f>IF(CdTrp1!Y59=1,3,IF(CdTrp1!Y59=0.5,2,IF(CdTrp1!Y59=0,1,0)))</f>
        <v>1</v>
      </c>
      <c r="BT44"/>
      <c r="BU44"/>
      <c r="BV44"/>
      <c r="BW44"/>
      <c r="BX44"/>
      <c r="BY44"/>
      <c r="BZ44" s="189" t="str">
        <f t="shared" si="27"/>
        <v>lot8</v>
      </c>
      <c r="CA44" s="32"/>
      <c r="CB44" s="173">
        <f>IF(CdTrp2!B59=1,3,IF(CdTrp2!B59=0.5,2,IF(CdTrp2!B59=0,1,0)))</f>
        <v>1</v>
      </c>
      <c r="CC44" s="173">
        <f>IF(CdTrp2!C59=1,3,IF(CdTrp2!C59=0.5,2,IF(CdTrp2!C59=0,1,0)))</f>
        <v>1</v>
      </c>
      <c r="CD44" s="173">
        <f>IF(CdTrp2!D59=1,3,IF(CdTrp2!D59=0.5,2,IF(CdTrp2!D59=0,1,0)))</f>
        <v>1</v>
      </c>
      <c r="CE44" s="173">
        <f>IF(CdTrp2!E59=1,3,IF(CdTrp2!E59=0.5,2,IF(CdTrp2!E59=0,1,0)))</f>
        <v>1</v>
      </c>
      <c r="CF44" s="173">
        <f>IF(CdTrp2!F59=1,3,IF(CdTrp2!F59=0.5,2,IF(CdTrp2!F59=0,1,0)))</f>
        <v>1</v>
      </c>
      <c r="CG44" s="173">
        <f>IF(CdTrp2!G59=1,3,IF(CdTrp2!G59=0.5,2,IF(CdTrp2!G59=0,1,0)))</f>
        <v>1</v>
      </c>
      <c r="CH44" s="173">
        <f>IF(CdTrp2!H59=1,3,IF(CdTrp2!H59=0.5,2,IF(CdTrp2!H59=0,1,0)))</f>
        <v>1</v>
      </c>
      <c r="CI44" s="173">
        <f>IF(CdTrp2!I59=1,3,IF(CdTrp2!I59=0.5,2,IF(CdTrp2!I59=0,1,0)))</f>
        <v>1</v>
      </c>
      <c r="CJ44" s="173">
        <f>IF(CdTrp2!J59=1,3,IF(CdTrp2!J59=0.5,2,IF(CdTrp2!J59=0,1,0)))</f>
        <v>1</v>
      </c>
      <c r="CK44" s="173">
        <f>IF(CdTrp2!K59=1,3,IF(CdTrp2!K59=0.5,2,IF(CdTrp2!K59=0,1,0)))</f>
        <v>1</v>
      </c>
      <c r="CL44" s="173">
        <f>IF(CdTrp2!L59=1,3,IF(CdTrp2!L59=0.5,2,IF(CdTrp2!L59=0,1,0)))</f>
        <v>1</v>
      </c>
      <c r="CM44" s="173">
        <f>IF(CdTrp2!M59=1,3,IF(CdTrp2!M59=0.5,2,IF(CdTrp2!M59=0,1,0)))</f>
        <v>1</v>
      </c>
      <c r="CN44" s="173">
        <f>IF(CdTrp2!N59=1,3,IF(CdTrp2!N59=0.5,2,IF(CdTrp2!N59=0,1,0)))</f>
        <v>1</v>
      </c>
      <c r="CO44" s="173">
        <f>IF(CdTrp2!O59=1,3,IF(CdTrp2!O59=0.5,2,IF(CdTrp2!O59=0,1,0)))</f>
        <v>1</v>
      </c>
      <c r="CP44" s="173">
        <f>IF(CdTrp2!P59=1,3,IF(CdTrp2!P59=0.5,2,IF(CdTrp2!P59=0,1,0)))</f>
        <v>1</v>
      </c>
      <c r="CQ44" s="173">
        <f>IF(CdTrp2!Q59=1,3,IF(CdTrp2!Q59=0.5,2,IF(CdTrp2!Q59=0,1,0)))</f>
        <v>1</v>
      </c>
      <c r="CR44" s="173">
        <f>IF(CdTrp2!R59=1,3,IF(CdTrp2!R59=0.5,2,IF(CdTrp2!R59=0,1,0)))</f>
        <v>1</v>
      </c>
      <c r="CS44" s="173">
        <f>IF(CdTrp2!S59=1,3,IF(CdTrp2!S59=0.5,2,IF(CdTrp2!S59=0,1,0)))</f>
        <v>1</v>
      </c>
      <c r="CT44" s="173">
        <f>IF(CdTrp2!T59=1,3,IF(CdTrp2!T59=0.5,2,IF(CdTrp2!T59=0,1,0)))</f>
        <v>1</v>
      </c>
      <c r="CU44" s="173">
        <f>IF(CdTrp2!U59=1,3,IF(CdTrp2!U59=0.5,2,IF(CdTrp2!U59=0,1,0)))</f>
        <v>1</v>
      </c>
      <c r="CV44" s="173">
        <f>IF(CdTrp2!V59=1,3,IF(CdTrp2!V59=0.5,2,IF(CdTrp2!V59=0,1,0)))</f>
        <v>1</v>
      </c>
      <c r="CW44" s="173">
        <f>IF(CdTrp2!W59=1,3,IF(CdTrp2!W59=0.5,2,IF(CdTrp2!W59=0,1,0)))</f>
        <v>1</v>
      </c>
      <c r="CX44" s="173">
        <f>IF(CdTrp2!X59=1,3,IF(CdTrp2!X59=0.5,2,IF(CdTrp2!X59=0,1,0)))</f>
        <v>1</v>
      </c>
      <c r="CY44" s="173">
        <f>IF(CdTrp2!Y59=1,3,IF(CdTrp2!Y59=0.5,2,IF(CdTrp2!Y59=0,1,0)))</f>
        <v>1</v>
      </c>
      <c r="CZ44"/>
      <c r="DA44"/>
      <c r="DB44"/>
      <c r="DC44" s="189" t="str">
        <f t="shared" si="28"/>
        <v>lot8</v>
      </c>
      <c r="DD44" s="32"/>
      <c r="DE44" s="173">
        <f>IF(CdTrp3!B59=1,3,IF(CdTrp3!B59=0.5,2,IF(CdTrp3!B59=0,1,0)))</f>
        <v>1</v>
      </c>
      <c r="DF44" s="173">
        <f>IF(CdTrp3!C59=1,3,IF(CdTrp3!C59=0.5,2,IF(CdTrp3!C59=0,1,0)))</f>
        <v>1</v>
      </c>
      <c r="DG44" s="173">
        <f>IF(CdTrp3!D59=1,3,IF(CdTrp3!D59=0.5,2,IF(CdTrp3!D59=0,1,0)))</f>
        <v>1</v>
      </c>
      <c r="DH44" s="173">
        <f>IF(CdTrp3!E59=1,3,IF(CdTrp3!E59=0.5,2,IF(CdTrp3!E59=0,1,0)))</f>
        <v>1</v>
      </c>
      <c r="DI44" s="173">
        <f>IF(CdTrp3!F59=1,3,IF(CdTrp3!F59=0.5,2,IF(CdTrp3!F59=0,1,0)))</f>
        <v>1</v>
      </c>
      <c r="DJ44" s="173">
        <f>IF(CdTrp3!G59=1,3,IF(CdTrp3!G59=0.5,2,IF(CdTrp3!G59=0,1,0)))</f>
        <v>1</v>
      </c>
      <c r="DK44" s="173">
        <f>IF(CdTrp3!H59=1,3,IF(CdTrp3!H59=0.5,2,IF(CdTrp3!H59=0,1,0)))</f>
        <v>1</v>
      </c>
      <c r="DL44" s="173">
        <f>IF(CdTrp3!I59=1,3,IF(CdTrp3!I59=0.5,2,IF(CdTrp3!I59=0,1,0)))</f>
        <v>1</v>
      </c>
      <c r="DM44" s="173">
        <f>IF(CdTrp3!J59=1,3,IF(CdTrp3!J59=0.5,2,IF(CdTrp3!J59=0,1,0)))</f>
        <v>1</v>
      </c>
      <c r="DN44" s="173">
        <f>IF(CdTrp3!K59=1,3,IF(CdTrp3!K59=0.5,2,IF(CdTrp3!K59=0,1,0)))</f>
        <v>1</v>
      </c>
      <c r="DO44" s="173">
        <f>IF(CdTrp3!L59=1,3,IF(CdTrp3!L59=0.5,2,IF(CdTrp3!L59=0,1,0)))</f>
        <v>1</v>
      </c>
      <c r="DP44" s="173">
        <f>IF(CdTrp3!M59=1,3,IF(CdTrp3!M59=0.5,2,IF(CdTrp3!M59=0,1,0)))</f>
        <v>1</v>
      </c>
      <c r="DQ44" s="173">
        <f>IF(CdTrp3!N59=1,3,IF(CdTrp3!N59=0.5,2,IF(CdTrp3!N59=0,1,0)))</f>
        <v>1</v>
      </c>
      <c r="DR44" s="173">
        <f>IF(CdTrp3!O59=1,3,IF(CdTrp3!O59=0.5,2,IF(CdTrp3!O59=0,1,0)))</f>
        <v>1</v>
      </c>
      <c r="DS44" s="173">
        <f>IF(CdTrp3!P59=1,3,IF(CdTrp3!P59=0.5,2,IF(CdTrp3!P59=0,1,0)))</f>
        <v>1</v>
      </c>
      <c r="DT44" s="173">
        <f>IF(CdTrp3!Q59=1,3,IF(CdTrp3!Q59=0.5,2,IF(CdTrp3!Q59=0,1,0)))</f>
        <v>1</v>
      </c>
      <c r="DU44" s="173">
        <f>IF(CdTrp3!R59=1,3,IF(CdTrp3!R59=0.5,2,IF(CdTrp3!R59=0,1,0)))</f>
        <v>1</v>
      </c>
      <c r="DV44" s="173">
        <f>IF(CdTrp3!S59=1,3,IF(CdTrp3!S59=0.5,2,IF(CdTrp3!S59=0,1,0)))</f>
        <v>1</v>
      </c>
      <c r="DW44" s="173">
        <f>IF(CdTrp3!T59=1,3,IF(CdTrp3!T59=0.5,2,IF(CdTrp3!T59=0,1,0)))</f>
        <v>1</v>
      </c>
      <c r="DX44" s="173">
        <f>IF(CdTrp3!U59=1,3,IF(CdTrp3!U59=0.5,2,IF(CdTrp3!U59=0,1,0)))</f>
        <v>1</v>
      </c>
      <c r="DY44" s="173">
        <f>IF(CdTrp3!V59=1,3,IF(CdTrp3!V59=0.5,2,IF(CdTrp3!V59=0,1,0)))</f>
        <v>1</v>
      </c>
      <c r="DZ44" s="173">
        <f>IF(CdTrp3!W59=1,3,IF(CdTrp3!W59=0.5,2,IF(CdTrp3!W59=0,1,0)))</f>
        <v>1</v>
      </c>
      <c r="EA44" s="173">
        <f>IF(CdTrp3!X59=1,3,IF(CdTrp3!X59=0.5,2,IF(CdTrp3!X59=0,1,0)))</f>
        <v>1</v>
      </c>
      <c r="EB44" s="173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8" t="s">
        <v>738</v>
      </c>
      <c r="B45"/>
      <c r="C45"/>
      <c r="F45" s="171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8" t="s">
        <v>747</v>
      </c>
      <c r="AT45" s="189" t="str">
        <f>CdTrp1!$A60</f>
        <v>lot9</v>
      </c>
      <c r="AU45" s="32"/>
      <c r="AV45" s="173">
        <f>IF(CdTrp1!B60=1,3,IF(CdTrp1!B60=0.5,2,IF(CdTrp1!B60=0,1,0)))</f>
        <v>1</v>
      </c>
      <c r="AW45" s="173">
        <f>IF(CdTrp1!C60=1,3,IF(CdTrp1!C60=0.5,2,IF(CdTrp1!C60=0,1,0)))</f>
        <v>1</v>
      </c>
      <c r="AX45" s="173">
        <f>IF(CdTrp1!D60=1,3,IF(CdTrp1!D60=0.5,2,IF(CdTrp1!D60=0,1,0)))</f>
        <v>1</v>
      </c>
      <c r="AY45" s="173">
        <f>IF(CdTrp1!E60=1,3,IF(CdTrp1!E60=0.5,2,IF(CdTrp1!E60=0,1,0)))</f>
        <v>1</v>
      </c>
      <c r="AZ45" s="173">
        <f>IF(CdTrp1!F60=1,3,IF(CdTrp1!F60=0.5,2,IF(CdTrp1!F60=0,1,0)))</f>
        <v>1</v>
      </c>
      <c r="BA45" s="173">
        <f>IF(CdTrp1!G60=1,3,IF(CdTrp1!G60=0.5,2,IF(CdTrp1!G60=0,1,0)))</f>
        <v>1</v>
      </c>
      <c r="BB45" s="173">
        <f>IF(CdTrp1!H60=1,3,IF(CdTrp1!H60=0.5,2,IF(CdTrp1!H60=0,1,0)))</f>
        <v>1</v>
      </c>
      <c r="BC45" s="173">
        <f>IF(CdTrp1!I60=1,3,IF(CdTrp1!I60=0.5,2,IF(CdTrp1!I60=0,1,0)))</f>
        <v>1</v>
      </c>
      <c r="BD45" s="173">
        <f>IF(CdTrp1!J60=1,3,IF(CdTrp1!J60=0.5,2,IF(CdTrp1!J60=0,1,0)))</f>
        <v>1</v>
      </c>
      <c r="BE45" s="173">
        <f>IF(CdTrp1!K60=1,3,IF(CdTrp1!K60=0.5,2,IF(CdTrp1!K60=0,1,0)))</f>
        <v>1</v>
      </c>
      <c r="BF45" s="173">
        <f>IF(CdTrp1!L60=1,3,IF(CdTrp1!L60=0.5,2,IF(CdTrp1!L60=0,1,0)))</f>
        <v>1</v>
      </c>
      <c r="BG45" s="173">
        <f>IF(CdTrp1!M60=1,3,IF(CdTrp1!M60=0.5,2,IF(CdTrp1!M60=0,1,0)))</f>
        <v>1</v>
      </c>
      <c r="BH45" s="173">
        <f>IF(CdTrp1!N60=1,3,IF(CdTrp1!N60=0.5,2,IF(CdTrp1!N60=0,1,0)))</f>
        <v>1</v>
      </c>
      <c r="BI45" s="173">
        <f>IF(CdTrp1!O60=1,3,IF(CdTrp1!O60=0.5,2,IF(CdTrp1!O60=0,1,0)))</f>
        <v>1</v>
      </c>
      <c r="BJ45" s="173">
        <f>IF(CdTrp1!P60=1,3,IF(CdTrp1!P60=0.5,2,IF(CdTrp1!P60=0,1,0)))</f>
        <v>1</v>
      </c>
      <c r="BK45" s="173">
        <f>IF(CdTrp1!Q60=1,3,IF(CdTrp1!Q60=0.5,2,IF(CdTrp1!Q60=0,1,0)))</f>
        <v>1</v>
      </c>
      <c r="BL45" s="173">
        <f>IF(CdTrp1!R60=1,3,IF(CdTrp1!R60=0.5,2,IF(CdTrp1!R60=0,1,0)))</f>
        <v>1</v>
      </c>
      <c r="BM45" s="173">
        <f>IF(CdTrp1!S60=1,3,IF(CdTrp1!S60=0.5,2,IF(CdTrp1!S60=0,1,0)))</f>
        <v>1</v>
      </c>
      <c r="BN45" s="173">
        <f>IF(CdTrp1!T60=1,3,IF(CdTrp1!T60=0.5,2,IF(CdTrp1!T60=0,1,0)))</f>
        <v>1</v>
      </c>
      <c r="BO45" s="173">
        <f>IF(CdTrp1!U60=1,3,IF(CdTrp1!U60=0.5,2,IF(CdTrp1!U60=0,1,0)))</f>
        <v>1</v>
      </c>
      <c r="BP45" s="173">
        <f>IF(CdTrp1!V60=1,3,IF(CdTrp1!V60=0.5,2,IF(CdTrp1!V60=0,1,0)))</f>
        <v>1</v>
      </c>
      <c r="BQ45" s="173">
        <f>IF(CdTrp1!W60=1,3,IF(CdTrp1!W60=0.5,2,IF(CdTrp1!W60=0,1,0)))</f>
        <v>1</v>
      </c>
      <c r="BR45" s="173">
        <f>IF(CdTrp1!X60=1,3,IF(CdTrp1!X60=0.5,2,IF(CdTrp1!X60=0,1,0)))</f>
        <v>1</v>
      </c>
      <c r="BS45" s="173">
        <f>IF(CdTrp1!Y60=1,3,IF(CdTrp1!Y60=0.5,2,IF(CdTrp1!Y60=0,1,0)))</f>
        <v>1</v>
      </c>
      <c r="BT45"/>
      <c r="BU45"/>
      <c r="BV45"/>
      <c r="BW45"/>
      <c r="BX45"/>
      <c r="BY45"/>
      <c r="BZ45" s="189" t="str">
        <f t="shared" si="27"/>
        <v>lot9</v>
      </c>
      <c r="CA45" s="32"/>
      <c r="CB45" s="173">
        <f>IF(CdTrp2!B60=1,3,IF(CdTrp2!B60=0.5,2,IF(CdTrp2!B60=0,1,0)))</f>
        <v>1</v>
      </c>
      <c r="CC45" s="173">
        <f>IF(CdTrp2!C60=1,3,IF(CdTrp2!C60=0.5,2,IF(CdTrp2!C60=0,1,0)))</f>
        <v>1</v>
      </c>
      <c r="CD45" s="173">
        <f>IF(CdTrp2!D60=1,3,IF(CdTrp2!D60=0.5,2,IF(CdTrp2!D60=0,1,0)))</f>
        <v>1</v>
      </c>
      <c r="CE45" s="173">
        <f>IF(CdTrp2!E60=1,3,IF(CdTrp2!E60=0.5,2,IF(CdTrp2!E60=0,1,0)))</f>
        <v>1</v>
      </c>
      <c r="CF45" s="173">
        <f>IF(CdTrp2!F60=1,3,IF(CdTrp2!F60=0.5,2,IF(CdTrp2!F60=0,1,0)))</f>
        <v>1</v>
      </c>
      <c r="CG45" s="173">
        <f>IF(CdTrp2!G60=1,3,IF(CdTrp2!G60=0.5,2,IF(CdTrp2!G60=0,1,0)))</f>
        <v>1</v>
      </c>
      <c r="CH45" s="173">
        <f>IF(CdTrp2!H60=1,3,IF(CdTrp2!H60=0.5,2,IF(CdTrp2!H60=0,1,0)))</f>
        <v>1</v>
      </c>
      <c r="CI45" s="173">
        <f>IF(CdTrp2!I60=1,3,IF(CdTrp2!I60=0.5,2,IF(CdTrp2!I60=0,1,0)))</f>
        <v>1</v>
      </c>
      <c r="CJ45" s="173">
        <f>IF(CdTrp2!J60=1,3,IF(CdTrp2!J60=0.5,2,IF(CdTrp2!J60=0,1,0)))</f>
        <v>1</v>
      </c>
      <c r="CK45" s="173">
        <f>IF(CdTrp2!K60=1,3,IF(CdTrp2!K60=0.5,2,IF(CdTrp2!K60=0,1,0)))</f>
        <v>1</v>
      </c>
      <c r="CL45" s="173">
        <f>IF(CdTrp2!L60=1,3,IF(CdTrp2!L60=0.5,2,IF(CdTrp2!L60=0,1,0)))</f>
        <v>1</v>
      </c>
      <c r="CM45" s="173">
        <f>IF(CdTrp2!M60=1,3,IF(CdTrp2!M60=0.5,2,IF(CdTrp2!M60=0,1,0)))</f>
        <v>1</v>
      </c>
      <c r="CN45" s="173">
        <f>IF(CdTrp2!N60=1,3,IF(CdTrp2!N60=0.5,2,IF(CdTrp2!N60=0,1,0)))</f>
        <v>1</v>
      </c>
      <c r="CO45" s="173">
        <f>IF(CdTrp2!O60=1,3,IF(CdTrp2!O60=0.5,2,IF(CdTrp2!O60=0,1,0)))</f>
        <v>1</v>
      </c>
      <c r="CP45" s="173">
        <f>IF(CdTrp2!P60=1,3,IF(CdTrp2!P60=0.5,2,IF(CdTrp2!P60=0,1,0)))</f>
        <v>1</v>
      </c>
      <c r="CQ45" s="173">
        <f>IF(CdTrp2!Q60=1,3,IF(CdTrp2!Q60=0.5,2,IF(CdTrp2!Q60=0,1,0)))</f>
        <v>1</v>
      </c>
      <c r="CR45" s="173">
        <f>IF(CdTrp2!R60=1,3,IF(CdTrp2!R60=0.5,2,IF(CdTrp2!R60=0,1,0)))</f>
        <v>1</v>
      </c>
      <c r="CS45" s="173">
        <f>IF(CdTrp2!S60=1,3,IF(CdTrp2!S60=0.5,2,IF(CdTrp2!S60=0,1,0)))</f>
        <v>1</v>
      </c>
      <c r="CT45" s="173">
        <f>IF(CdTrp2!T60=1,3,IF(CdTrp2!T60=0.5,2,IF(CdTrp2!T60=0,1,0)))</f>
        <v>1</v>
      </c>
      <c r="CU45" s="173">
        <f>IF(CdTrp2!U60=1,3,IF(CdTrp2!U60=0.5,2,IF(CdTrp2!U60=0,1,0)))</f>
        <v>1</v>
      </c>
      <c r="CV45" s="173">
        <f>IF(CdTrp2!V60=1,3,IF(CdTrp2!V60=0.5,2,IF(CdTrp2!V60=0,1,0)))</f>
        <v>1</v>
      </c>
      <c r="CW45" s="173">
        <f>IF(CdTrp2!W60=1,3,IF(CdTrp2!W60=0.5,2,IF(CdTrp2!W60=0,1,0)))</f>
        <v>1</v>
      </c>
      <c r="CX45" s="173">
        <f>IF(CdTrp2!X60=1,3,IF(CdTrp2!X60=0.5,2,IF(CdTrp2!X60=0,1,0)))</f>
        <v>1</v>
      </c>
      <c r="CY45" s="173">
        <f>IF(CdTrp2!Y60=1,3,IF(CdTrp2!Y60=0.5,2,IF(CdTrp2!Y60=0,1,0)))</f>
        <v>1</v>
      </c>
      <c r="CZ45"/>
      <c r="DA45"/>
      <c r="DB45"/>
      <c r="DC45" s="189" t="str">
        <f t="shared" si="28"/>
        <v>lot9</v>
      </c>
      <c r="DD45" s="32"/>
      <c r="DE45" s="173">
        <f>IF(CdTrp3!B60=1,3,IF(CdTrp3!B60=0.5,2,IF(CdTrp3!B60=0,1,0)))</f>
        <v>1</v>
      </c>
      <c r="DF45" s="173">
        <f>IF(CdTrp3!C60=1,3,IF(CdTrp3!C60=0.5,2,IF(CdTrp3!C60=0,1,0)))</f>
        <v>1</v>
      </c>
      <c r="DG45" s="173">
        <f>IF(CdTrp3!D60=1,3,IF(CdTrp3!D60=0.5,2,IF(CdTrp3!D60=0,1,0)))</f>
        <v>1</v>
      </c>
      <c r="DH45" s="173">
        <f>IF(CdTrp3!E60=1,3,IF(CdTrp3!E60=0.5,2,IF(CdTrp3!E60=0,1,0)))</f>
        <v>1</v>
      </c>
      <c r="DI45" s="173">
        <f>IF(CdTrp3!F60=1,3,IF(CdTrp3!F60=0.5,2,IF(CdTrp3!F60=0,1,0)))</f>
        <v>1</v>
      </c>
      <c r="DJ45" s="173">
        <f>IF(CdTrp3!G60=1,3,IF(CdTrp3!G60=0.5,2,IF(CdTrp3!G60=0,1,0)))</f>
        <v>1</v>
      </c>
      <c r="DK45" s="173">
        <f>IF(CdTrp3!H60=1,3,IF(CdTrp3!H60=0.5,2,IF(CdTrp3!H60=0,1,0)))</f>
        <v>1</v>
      </c>
      <c r="DL45" s="173">
        <f>IF(CdTrp3!I60=1,3,IF(CdTrp3!I60=0.5,2,IF(CdTrp3!I60=0,1,0)))</f>
        <v>1</v>
      </c>
      <c r="DM45" s="173">
        <f>IF(CdTrp3!J60=1,3,IF(CdTrp3!J60=0.5,2,IF(CdTrp3!J60=0,1,0)))</f>
        <v>1</v>
      </c>
      <c r="DN45" s="173">
        <f>IF(CdTrp3!K60=1,3,IF(CdTrp3!K60=0.5,2,IF(CdTrp3!K60=0,1,0)))</f>
        <v>1</v>
      </c>
      <c r="DO45" s="173">
        <f>IF(CdTrp3!L60=1,3,IF(CdTrp3!L60=0.5,2,IF(CdTrp3!L60=0,1,0)))</f>
        <v>1</v>
      </c>
      <c r="DP45" s="173">
        <f>IF(CdTrp3!M60=1,3,IF(CdTrp3!M60=0.5,2,IF(CdTrp3!M60=0,1,0)))</f>
        <v>1</v>
      </c>
      <c r="DQ45" s="173">
        <f>IF(CdTrp3!N60=1,3,IF(CdTrp3!N60=0.5,2,IF(CdTrp3!N60=0,1,0)))</f>
        <v>1</v>
      </c>
      <c r="DR45" s="173">
        <f>IF(CdTrp3!O60=1,3,IF(CdTrp3!O60=0.5,2,IF(CdTrp3!O60=0,1,0)))</f>
        <v>1</v>
      </c>
      <c r="DS45" s="173">
        <f>IF(CdTrp3!P60=1,3,IF(CdTrp3!P60=0.5,2,IF(CdTrp3!P60=0,1,0)))</f>
        <v>1</v>
      </c>
      <c r="DT45" s="173">
        <f>IF(CdTrp3!Q60=1,3,IF(CdTrp3!Q60=0.5,2,IF(CdTrp3!Q60=0,1,0)))</f>
        <v>1</v>
      </c>
      <c r="DU45" s="173">
        <f>IF(CdTrp3!R60=1,3,IF(CdTrp3!R60=0.5,2,IF(CdTrp3!R60=0,1,0)))</f>
        <v>1</v>
      </c>
      <c r="DV45" s="173">
        <f>IF(CdTrp3!S60=1,3,IF(CdTrp3!S60=0.5,2,IF(CdTrp3!S60=0,1,0)))</f>
        <v>1</v>
      </c>
      <c r="DW45" s="173">
        <f>IF(CdTrp3!T60=1,3,IF(CdTrp3!T60=0.5,2,IF(CdTrp3!T60=0,1,0)))</f>
        <v>1</v>
      </c>
      <c r="DX45" s="173">
        <f>IF(CdTrp3!U60=1,3,IF(CdTrp3!U60=0.5,2,IF(CdTrp3!U60=0,1,0)))</f>
        <v>1</v>
      </c>
      <c r="DY45" s="173">
        <f>IF(CdTrp3!V60=1,3,IF(CdTrp3!V60=0.5,2,IF(CdTrp3!V60=0,1,0)))</f>
        <v>1</v>
      </c>
      <c r="DZ45" s="173">
        <f>IF(CdTrp3!W60=1,3,IF(CdTrp3!W60=0.5,2,IF(CdTrp3!W60=0,1,0)))</f>
        <v>1</v>
      </c>
      <c r="EA45" s="173">
        <f>IF(CdTrp3!X60=1,3,IF(CdTrp3!X60=0.5,2,IF(CdTrp3!X60=0,1,0)))</f>
        <v>1</v>
      </c>
      <c r="EB45" s="173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71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8" t="s">
        <v>747</v>
      </c>
      <c r="AT46" s="271" t="str">
        <f>CdTrp1!$A61</f>
        <v>lot10</v>
      </c>
      <c r="AU46" s="32"/>
      <c r="AV46" s="173">
        <f>IF(CdTrp1!B61=1,3,IF(CdTrp1!B61=0.5,2,IF(CdTrp1!B61=0,1,0)))</f>
        <v>1</v>
      </c>
      <c r="AW46" s="173">
        <f>IF(CdTrp1!C61=1,3,IF(CdTrp1!C61=0.5,2,IF(CdTrp1!C61=0,1,0)))</f>
        <v>1</v>
      </c>
      <c r="AX46" s="173">
        <f>IF(CdTrp1!D61=1,3,IF(CdTrp1!D61=0.5,2,IF(CdTrp1!D61=0,1,0)))</f>
        <v>1</v>
      </c>
      <c r="AY46" s="173">
        <f>IF(CdTrp1!E61=1,3,IF(CdTrp1!E61=0.5,2,IF(CdTrp1!E61=0,1,0)))</f>
        <v>1</v>
      </c>
      <c r="AZ46" s="173">
        <f>IF(CdTrp1!F61=1,3,IF(CdTrp1!F61=0.5,2,IF(CdTrp1!F61=0,1,0)))</f>
        <v>1</v>
      </c>
      <c r="BA46" s="173">
        <f>IF(CdTrp1!G61=1,3,IF(CdTrp1!G61=0.5,2,IF(CdTrp1!G61=0,1,0)))</f>
        <v>1</v>
      </c>
      <c r="BB46" s="173">
        <f>IF(CdTrp1!H61=1,3,IF(CdTrp1!H61=0.5,2,IF(CdTrp1!H61=0,1,0)))</f>
        <v>1</v>
      </c>
      <c r="BC46" s="173">
        <f>IF(CdTrp1!I61=1,3,IF(CdTrp1!I61=0.5,2,IF(CdTrp1!I61=0,1,0)))</f>
        <v>1</v>
      </c>
      <c r="BD46" s="173">
        <f>IF(CdTrp1!J61=1,3,IF(CdTrp1!J61=0.5,2,IF(CdTrp1!J61=0,1,0)))</f>
        <v>1</v>
      </c>
      <c r="BE46" s="173">
        <f>IF(CdTrp1!K61=1,3,IF(CdTrp1!K61=0.5,2,IF(CdTrp1!K61=0,1,0)))</f>
        <v>1</v>
      </c>
      <c r="BF46" s="173">
        <f>IF(CdTrp1!L61=1,3,IF(CdTrp1!L61=0.5,2,IF(CdTrp1!L61=0,1,0)))</f>
        <v>1</v>
      </c>
      <c r="BG46" s="173">
        <f>IF(CdTrp1!M61=1,3,IF(CdTrp1!M61=0.5,2,IF(CdTrp1!M61=0,1,0)))</f>
        <v>1</v>
      </c>
      <c r="BH46" s="173">
        <f>IF(CdTrp1!N61=1,3,IF(CdTrp1!N61=0.5,2,IF(CdTrp1!N61=0,1,0)))</f>
        <v>1</v>
      </c>
      <c r="BI46" s="173">
        <f>IF(CdTrp1!O61=1,3,IF(CdTrp1!O61=0.5,2,IF(CdTrp1!O61=0,1,0)))</f>
        <v>1</v>
      </c>
      <c r="BJ46" s="173">
        <f>IF(CdTrp1!P61=1,3,IF(CdTrp1!P61=0.5,2,IF(CdTrp1!P61=0,1,0)))</f>
        <v>1</v>
      </c>
      <c r="BK46" s="173">
        <f>IF(CdTrp1!Q61=1,3,IF(CdTrp1!Q61=0.5,2,IF(CdTrp1!Q61=0,1,0)))</f>
        <v>1</v>
      </c>
      <c r="BL46" s="173">
        <f>IF(CdTrp1!R61=1,3,IF(CdTrp1!R61=0.5,2,IF(CdTrp1!R61=0,1,0)))</f>
        <v>1</v>
      </c>
      <c r="BM46" s="173">
        <f>IF(CdTrp1!S61=1,3,IF(CdTrp1!S61=0.5,2,IF(CdTrp1!S61=0,1,0)))</f>
        <v>1</v>
      </c>
      <c r="BN46" s="173">
        <f>IF(CdTrp1!T61=1,3,IF(CdTrp1!T61=0.5,2,IF(CdTrp1!T61=0,1,0)))</f>
        <v>1</v>
      </c>
      <c r="BO46" s="173">
        <f>IF(CdTrp1!U61=1,3,IF(CdTrp1!U61=0.5,2,IF(CdTrp1!U61=0,1,0)))</f>
        <v>1</v>
      </c>
      <c r="BP46" s="173">
        <f>IF(CdTrp1!V61=1,3,IF(CdTrp1!V61=0.5,2,IF(CdTrp1!V61=0,1,0)))</f>
        <v>1</v>
      </c>
      <c r="BQ46" s="173">
        <f>IF(CdTrp1!W61=1,3,IF(CdTrp1!W61=0.5,2,IF(CdTrp1!W61=0,1,0)))</f>
        <v>1</v>
      </c>
      <c r="BR46" s="173">
        <f>IF(CdTrp1!X61=1,3,IF(CdTrp1!X61=0.5,2,IF(CdTrp1!X61=0,1,0)))</f>
        <v>1</v>
      </c>
      <c r="BS46" s="173">
        <f>IF(CdTrp1!Y61=1,3,IF(CdTrp1!Y61=0.5,2,IF(CdTrp1!Y61=0,1,0)))</f>
        <v>1</v>
      </c>
      <c r="BT46"/>
      <c r="BU46"/>
      <c r="BV46"/>
      <c r="BW46"/>
      <c r="BX46"/>
      <c r="BY46"/>
      <c r="BZ46" s="189" t="str">
        <f t="shared" si="27"/>
        <v>lot10</v>
      </c>
      <c r="CA46" s="32"/>
      <c r="CB46" s="173">
        <f>IF(CdTrp2!B61=1,3,IF(CdTrp2!B61=0.5,2,IF(CdTrp2!B61=0,1,0)))</f>
        <v>1</v>
      </c>
      <c r="CC46" s="173">
        <f>IF(CdTrp2!C61=1,3,IF(CdTrp2!C61=0.5,2,IF(CdTrp2!C61=0,1,0)))</f>
        <v>1</v>
      </c>
      <c r="CD46" s="173">
        <f>IF(CdTrp2!D61=1,3,IF(CdTrp2!D61=0.5,2,IF(CdTrp2!D61=0,1,0)))</f>
        <v>1</v>
      </c>
      <c r="CE46" s="173">
        <f>IF(CdTrp2!E61=1,3,IF(CdTrp2!E61=0.5,2,IF(CdTrp2!E61=0,1,0)))</f>
        <v>1</v>
      </c>
      <c r="CF46" s="173">
        <f>IF(CdTrp2!F61=1,3,IF(CdTrp2!F61=0.5,2,IF(CdTrp2!F61=0,1,0)))</f>
        <v>1</v>
      </c>
      <c r="CG46" s="173">
        <f>IF(CdTrp2!G61=1,3,IF(CdTrp2!G61=0.5,2,IF(CdTrp2!G61=0,1,0)))</f>
        <v>1</v>
      </c>
      <c r="CH46" s="173">
        <f>IF(CdTrp2!H61=1,3,IF(CdTrp2!H61=0.5,2,IF(CdTrp2!H61=0,1,0)))</f>
        <v>1</v>
      </c>
      <c r="CI46" s="173">
        <f>IF(CdTrp2!I61=1,3,IF(CdTrp2!I61=0.5,2,IF(CdTrp2!I61=0,1,0)))</f>
        <v>1</v>
      </c>
      <c r="CJ46" s="173">
        <f>IF(CdTrp2!J61=1,3,IF(CdTrp2!J61=0.5,2,IF(CdTrp2!J61=0,1,0)))</f>
        <v>1</v>
      </c>
      <c r="CK46" s="173">
        <f>IF(CdTrp2!K61=1,3,IF(CdTrp2!K61=0.5,2,IF(CdTrp2!K61=0,1,0)))</f>
        <v>1</v>
      </c>
      <c r="CL46" s="173">
        <f>IF(CdTrp2!L61=1,3,IF(CdTrp2!L61=0.5,2,IF(CdTrp2!L61=0,1,0)))</f>
        <v>1</v>
      </c>
      <c r="CM46" s="173">
        <f>IF(CdTrp2!M61=1,3,IF(CdTrp2!M61=0.5,2,IF(CdTrp2!M61=0,1,0)))</f>
        <v>1</v>
      </c>
      <c r="CN46" s="173">
        <f>IF(CdTrp2!N61=1,3,IF(CdTrp2!N61=0.5,2,IF(CdTrp2!N61=0,1,0)))</f>
        <v>1</v>
      </c>
      <c r="CO46" s="173">
        <f>IF(CdTrp2!O61=1,3,IF(CdTrp2!O61=0.5,2,IF(CdTrp2!O61=0,1,0)))</f>
        <v>1</v>
      </c>
      <c r="CP46" s="173">
        <f>IF(CdTrp2!P61=1,3,IF(CdTrp2!P61=0.5,2,IF(CdTrp2!P61=0,1,0)))</f>
        <v>1</v>
      </c>
      <c r="CQ46" s="173">
        <f>IF(CdTrp2!Q61=1,3,IF(CdTrp2!Q61=0.5,2,IF(CdTrp2!Q61=0,1,0)))</f>
        <v>1</v>
      </c>
      <c r="CR46" s="173">
        <f>IF(CdTrp2!R61=1,3,IF(CdTrp2!R61=0.5,2,IF(CdTrp2!R61=0,1,0)))</f>
        <v>1</v>
      </c>
      <c r="CS46" s="173">
        <f>IF(CdTrp2!S61=1,3,IF(CdTrp2!S61=0.5,2,IF(CdTrp2!S61=0,1,0)))</f>
        <v>1</v>
      </c>
      <c r="CT46" s="173">
        <f>IF(CdTrp2!T61=1,3,IF(CdTrp2!T61=0.5,2,IF(CdTrp2!T61=0,1,0)))</f>
        <v>1</v>
      </c>
      <c r="CU46" s="173">
        <f>IF(CdTrp2!U61=1,3,IF(CdTrp2!U61=0.5,2,IF(CdTrp2!U61=0,1,0)))</f>
        <v>1</v>
      </c>
      <c r="CV46" s="173">
        <f>IF(CdTrp2!V61=1,3,IF(CdTrp2!V61=0.5,2,IF(CdTrp2!V61=0,1,0)))</f>
        <v>1</v>
      </c>
      <c r="CW46" s="173">
        <f>IF(CdTrp2!W61=1,3,IF(CdTrp2!W61=0.5,2,IF(CdTrp2!W61=0,1,0)))</f>
        <v>1</v>
      </c>
      <c r="CX46" s="173">
        <f>IF(CdTrp2!X61=1,3,IF(CdTrp2!X61=0.5,2,IF(CdTrp2!X61=0,1,0)))</f>
        <v>1</v>
      </c>
      <c r="CY46" s="173">
        <f>IF(CdTrp2!Y61=1,3,IF(CdTrp2!Y61=0.5,2,IF(CdTrp2!Y61=0,1,0)))</f>
        <v>1</v>
      </c>
      <c r="CZ46"/>
      <c r="DA46"/>
      <c r="DB46"/>
      <c r="DC46" s="189" t="str">
        <f t="shared" si="28"/>
        <v>lot10</v>
      </c>
      <c r="DD46" s="32"/>
      <c r="DE46" s="173">
        <f>IF(CdTrp3!B61=1,3,IF(CdTrp3!B61=0.5,2,IF(CdTrp3!B61=0,1,0)))</f>
        <v>1</v>
      </c>
      <c r="DF46" s="173">
        <f>IF(CdTrp3!C61=1,3,IF(CdTrp3!C61=0.5,2,IF(CdTrp3!C61=0,1,0)))</f>
        <v>1</v>
      </c>
      <c r="DG46" s="173">
        <f>IF(CdTrp3!D61=1,3,IF(CdTrp3!D61=0.5,2,IF(CdTrp3!D61=0,1,0)))</f>
        <v>1</v>
      </c>
      <c r="DH46" s="173">
        <f>IF(CdTrp3!E61=1,3,IF(CdTrp3!E61=0.5,2,IF(CdTrp3!E61=0,1,0)))</f>
        <v>1</v>
      </c>
      <c r="DI46" s="173">
        <f>IF(CdTrp3!F61=1,3,IF(CdTrp3!F61=0.5,2,IF(CdTrp3!F61=0,1,0)))</f>
        <v>1</v>
      </c>
      <c r="DJ46" s="173">
        <f>IF(CdTrp3!G61=1,3,IF(CdTrp3!G61=0.5,2,IF(CdTrp3!G61=0,1,0)))</f>
        <v>1</v>
      </c>
      <c r="DK46" s="173">
        <f>IF(CdTrp3!H61=1,3,IF(CdTrp3!H61=0.5,2,IF(CdTrp3!H61=0,1,0)))</f>
        <v>1</v>
      </c>
      <c r="DL46" s="173">
        <f>IF(CdTrp3!I61=1,3,IF(CdTrp3!I61=0.5,2,IF(CdTrp3!I61=0,1,0)))</f>
        <v>1</v>
      </c>
      <c r="DM46" s="173">
        <f>IF(CdTrp3!J61=1,3,IF(CdTrp3!J61=0.5,2,IF(CdTrp3!J61=0,1,0)))</f>
        <v>1</v>
      </c>
      <c r="DN46" s="173">
        <f>IF(CdTrp3!K61=1,3,IF(CdTrp3!K61=0.5,2,IF(CdTrp3!K61=0,1,0)))</f>
        <v>1</v>
      </c>
      <c r="DO46" s="173">
        <f>IF(CdTrp3!L61=1,3,IF(CdTrp3!L61=0.5,2,IF(CdTrp3!L61=0,1,0)))</f>
        <v>1</v>
      </c>
      <c r="DP46" s="173">
        <f>IF(CdTrp3!M61=1,3,IF(CdTrp3!M61=0.5,2,IF(CdTrp3!M61=0,1,0)))</f>
        <v>1</v>
      </c>
      <c r="DQ46" s="173">
        <f>IF(CdTrp3!N61=1,3,IF(CdTrp3!N61=0.5,2,IF(CdTrp3!N61=0,1,0)))</f>
        <v>1</v>
      </c>
      <c r="DR46" s="173">
        <f>IF(CdTrp3!O61=1,3,IF(CdTrp3!O61=0.5,2,IF(CdTrp3!O61=0,1,0)))</f>
        <v>1</v>
      </c>
      <c r="DS46" s="173">
        <f>IF(CdTrp3!P61=1,3,IF(CdTrp3!P61=0.5,2,IF(CdTrp3!P61=0,1,0)))</f>
        <v>1</v>
      </c>
      <c r="DT46" s="173">
        <f>IF(CdTrp3!Q61=1,3,IF(CdTrp3!Q61=0.5,2,IF(CdTrp3!Q61=0,1,0)))</f>
        <v>1</v>
      </c>
      <c r="DU46" s="173">
        <f>IF(CdTrp3!R61=1,3,IF(CdTrp3!R61=0.5,2,IF(CdTrp3!R61=0,1,0)))</f>
        <v>1</v>
      </c>
      <c r="DV46" s="173">
        <f>IF(CdTrp3!S61=1,3,IF(CdTrp3!S61=0.5,2,IF(CdTrp3!S61=0,1,0)))</f>
        <v>1</v>
      </c>
      <c r="DW46" s="173">
        <f>IF(CdTrp3!T61=1,3,IF(CdTrp3!T61=0.5,2,IF(CdTrp3!T61=0,1,0)))</f>
        <v>1</v>
      </c>
      <c r="DX46" s="173">
        <f>IF(CdTrp3!U61=1,3,IF(CdTrp3!U61=0.5,2,IF(CdTrp3!U61=0,1,0)))</f>
        <v>1</v>
      </c>
      <c r="DY46" s="173">
        <f>IF(CdTrp3!V61=1,3,IF(CdTrp3!V61=0.5,2,IF(CdTrp3!V61=0,1,0)))</f>
        <v>1</v>
      </c>
      <c r="DZ46" s="173">
        <f>IF(CdTrp3!W61=1,3,IF(CdTrp3!W61=0.5,2,IF(CdTrp3!W61=0,1,0)))</f>
        <v>1</v>
      </c>
      <c r="EA46" s="173">
        <f>IF(CdTrp3!X61=1,3,IF(CdTrp3!X61=0.5,2,IF(CdTrp3!X61=0,1,0)))</f>
        <v>1</v>
      </c>
      <c r="EB46" s="173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71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8" t="s">
        <v>747</v>
      </c>
      <c r="AT47" s="2" t="s">
        <v>778</v>
      </c>
      <c r="AU47"/>
      <c r="AV47" s="171"/>
      <c r="AW47" s="171"/>
      <c r="AX47" s="171"/>
      <c r="AY47" s="171"/>
      <c r="AZ47" s="171"/>
      <c r="BA47" s="171"/>
      <c r="BB47" s="171"/>
      <c r="BC47" s="171"/>
      <c r="BD47" s="171"/>
      <c r="BE47" s="171"/>
      <c r="BF47" s="171"/>
      <c r="BG47" s="171"/>
      <c r="BH47" s="171"/>
      <c r="BI47" s="171"/>
      <c r="BJ47" s="171"/>
      <c r="BK47" s="171"/>
      <c r="BL47" s="171"/>
      <c r="BM47" s="171"/>
      <c r="BN47" s="171"/>
      <c r="BO47" s="171"/>
      <c r="BP47" s="171"/>
      <c r="BQ47" s="171"/>
      <c r="BR47" s="171"/>
      <c r="BS47" s="171"/>
      <c r="BT47"/>
      <c r="BU47"/>
      <c r="BV47"/>
      <c r="BW47"/>
      <c r="BX47"/>
      <c r="BY47"/>
      <c r="BZ47" s="2" t="s">
        <v>778</v>
      </c>
      <c r="CA47"/>
      <c r="CB47" s="171"/>
      <c r="CC47" s="171"/>
      <c r="CD47" s="171"/>
      <c r="CE47" s="171"/>
      <c r="CF47" s="171"/>
      <c r="CG47" s="171"/>
      <c r="CH47" s="171"/>
      <c r="CI47" s="171"/>
      <c r="CJ47" s="171"/>
      <c r="CK47" s="171"/>
      <c r="CL47" s="171"/>
      <c r="CM47" s="171"/>
      <c r="CN47" s="171"/>
      <c r="CO47" s="171"/>
      <c r="CP47" s="171"/>
      <c r="CQ47" s="171"/>
      <c r="CR47" s="171"/>
      <c r="CS47" s="171"/>
      <c r="CT47" s="171"/>
      <c r="CU47" s="171"/>
      <c r="CV47" s="171"/>
      <c r="CW47" s="171"/>
      <c r="CX47" s="171"/>
      <c r="CY47" s="171"/>
      <c r="CZ47"/>
      <c r="DA47"/>
      <c r="DB47"/>
      <c r="DC47" s="2" t="s">
        <v>778</v>
      </c>
      <c r="DD47"/>
      <c r="DE47" s="171"/>
      <c r="DF47" s="171"/>
      <c r="DG47" s="171"/>
      <c r="DH47" s="171"/>
      <c r="DI47" s="171"/>
      <c r="DJ47" s="171"/>
      <c r="DK47" s="171"/>
      <c r="DL47" s="171"/>
      <c r="DM47" s="171"/>
      <c r="DN47" s="171"/>
      <c r="DO47" s="171"/>
      <c r="DP47" s="171"/>
      <c r="DQ47" s="171"/>
      <c r="DR47" s="171"/>
      <c r="DS47" s="171"/>
      <c r="DT47" s="171"/>
      <c r="DU47" s="171"/>
      <c r="DV47" s="171"/>
      <c r="DW47" s="171"/>
      <c r="DX47" s="171"/>
      <c r="DY47" s="171"/>
      <c r="DZ47" s="171"/>
      <c r="EA47" s="171"/>
      <c r="EB47" s="171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779</v>
      </c>
      <c r="AR48" s="188" t="s">
        <v>747</v>
      </c>
      <c r="AT48" s="189" t="str">
        <f>AT37</f>
        <v>brebis</v>
      </c>
      <c r="AU48" s="32"/>
      <c r="AV48" s="173">
        <f>IF(CdTrp1!B76=1,1,IF(CdTrp1!B76=2,2,IF(CdTrp1!B76=3,2,0)))</f>
        <v>0</v>
      </c>
      <c r="AW48" s="173">
        <f>IF(CdTrp1!C76=1,1,IF(CdTrp1!C76=2,2,IF(CdTrp1!C76=3,2,0)))</f>
        <v>0</v>
      </c>
      <c r="AX48" s="173">
        <f>IF(CdTrp1!D76=1,1,IF(CdTrp1!D76=2,2,IF(CdTrp1!D76=3,2,0)))</f>
        <v>0</v>
      </c>
      <c r="AY48" s="173">
        <f>IF(CdTrp1!E76=1,1,IF(CdTrp1!E76=2,2,IF(CdTrp1!E76=3,2,0)))</f>
        <v>1</v>
      </c>
      <c r="AZ48" s="173">
        <f>IF(CdTrp1!F76=1,1,IF(CdTrp1!F76=2,2,IF(CdTrp1!F76=3,2,0)))</f>
        <v>1</v>
      </c>
      <c r="BA48" s="173">
        <f>IF(CdTrp1!G76=1,1,IF(CdTrp1!G76=2,2,IF(CdTrp1!G76=3,2,0)))</f>
        <v>1</v>
      </c>
      <c r="BB48" s="173">
        <f>IF(CdTrp1!H76=1,1,IF(CdTrp1!H76=2,2,IF(CdTrp1!H76=3,2,0)))</f>
        <v>1</v>
      </c>
      <c r="BC48" s="173">
        <f>IF(CdTrp1!I76=1,1,IF(CdTrp1!I76=2,2,IF(CdTrp1!I76=3,2,0)))</f>
        <v>1</v>
      </c>
      <c r="BD48" s="173">
        <f>IF(CdTrp1!J76=1,1,IF(CdTrp1!J76=2,2,IF(CdTrp1!J76=3,2,0)))</f>
        <v>1</v>
      </c>
      <c r="BE48" s="173">
        <f>IF(CdTrp1!K76=1,1,IF(CdTrp1!K76=2,2,IF(CdTrp1!K76=3,2,0)))</f>
        <v>1</v>
      </c>
      <c r="BF48" s="173">
        <f>IF(CdTrp1!L76=1,1,IF(CdTrp1!L76=2,2,IF(CdTrp1!L76=3,2,0)))</f>
        <v>1</v>
      </c>
      <c r="BG48" s="173">
        <f>IF(CdTrp1!M76=1,1,IF(CdTrp1!M76=2,2,IF(CdTrp1!M76=3,2,0)))</f>
        <v>0</v>
      </c>
      <c r="BH48" s="173">
        <f>IF(CdTrp1!N76=1,1,IF(CdTrp1!N76=2,2,IF(CdTrp1!N76=3,2,0)))</f>
        <v>0</v>
      </c>
      <c r="BI48" s="173">
        <f>IF(CdTrp1!O76=1,1,IF(CdTrp1!O76=2,2,IF(CdTrp1!O76=3,2,0)))</f>
        <v>0</v>
      </c>
      <c r="BJ48" s="173">
        <f>IF(CdTrp1!P76=1,1,IF(CdTrp1!P76=2,2,IF(CdTrp1!P76=3,2,0)))</f>
        <v>0</v>
      </c>
      <c r="BK48" s="173">
        <f>IF(CdTrp1!Q76=1,1,IF(CdTrp1!Q76=2,2,IF(CdTrp1!Q76=3,2,0)))</f>
        <v>0</v>
      </c>
      <c r="BL48" s="173">
        <f>IF(CdTrp1!R76=1,1,IF(CdTrp1!R76=2,2,IF(CdTrp1!R76=3,2,0)))</f>
        <v>0</v>
      </c>
      <c r="BM48" s="173">
        <f>IF(CdTrp1!S76=1,1,IF(CdTrp1!S76=2,2,IF(CdTrp1!S76=3,2,0)))</f>
        <v>0</v>
      </c>
      <c r="BN48" s="173">
        <f>IF(CdTrp1!T76=1,1,IF(CdTrp1!T76=2,2,IF(CdTrp1!T76=3,2,0)))</f>
        <v>1</v>
      </c>
      <c r="BO48" s="173">
        <f>IF(CdTrp1!U76=1,1,IF(CdTrp1!U76=2,2,IF(CdTrp1!U76=3,2,0)))</f>
        <v>1</v>
      </c>
      <c r="BP48" s="173">
        <f>IF(CdTrp1!V76=1,1,IF(CdTrp1!V76=2,2,IF(CdTrp1!V76=3,2,0)))</f>
        <v>0</v>
      </c>
      <c r="BQ48" s="173">
        <f>IF(CdTrp1!W76=1,1,IF(CdTrp1!W76=2,2,IF(CdTrp1!W76=3,2,0)))</f>
        <v>0</v>
      </c>
      <c r="BR48" s="173">
        <f>IF(CdTrp1!X76=1,1,IF(CdTrp1!X76=2,2,IF(CdTrp1!X76=3,2,0)))</f>
        <v>0</v>
      </c>
      <c r="BS48" s="173">
        <f>IF(CdTrp1!Y76=1,1,IF(CdTrp1!Y76=2,2,IF(CdTrp1!Y76=3,2,0)))</f>
        <v>0</v>
      </c>
      <c r="BU48">
        <v>1</v>
      </c>
      <c r="BV48" t="s">
        <v>217</v>
      </c>
      <c r="BZ48" s="189" t="str">
        <f t="shared" ref="BZ48:BZ57" si="29">+BZ15</f>
        <v xml:space="preserve">vaches </v>
      </c>
      <c r="CA48" s="32"/>
      <c r="CB48" s="173">
        <f>IF(CdTrp2!B76=1,1,IF(CdTrp2!B76=2,2,IF(CdTrp2!B76=3,2,0)))</f>
        <v>0</v>
      </c>
      <c r="CC48" s="173">
        <f>IF(CdTrp2!C76=1,1,IF(CdTrp2!C76=2,2,IF(CdTrp2!C76=3,2,0)))</f>
        <v>0</v>
      </c>
      <c r="CD48" s="173">
        <f>IF(CdTrp2!D76=1,1,IF(CdTrp2!D76=2,2,IF(CdTrp2!D76=3,2,0)))</f>
        <v>0</v>
      </c>
      <c r="CE48" s="173">
        <f>IF(CdTrp2!E76=1,1,IF(CdTrp2!E76=2,2,IF(CdTrp2!E76=3,2,0)))</f>
        <v>0</v>
      </c>
      <c r="CF48" s="173">
        <f>IF(CdTrp2!F76=1,1,IF(CdTrp2!F76=2,2,IF(CdTrp2!F76=3,2,0)))</f>
        <v>0</v>
      </c>
      <c r="CG48" s="173">
        <f>IF(CdTrp2!G76=1,1,IF(CdTrp2!G76=2,2,IF(CdTrp2!G76=3,2,0)))</f>
        <v>0</v>
      </c>
      <c r="CH48" s="173">
        <f>IF(CdTrp2!H76=1,1,IF(CdTrp2!H76=2,2,IF(CdTrp2!H76=3,2,0)))</f>
        <v>1</v>
      </c>
      <c r="CI48" s="173">
        <f>IF(CdTrp2!I76=1,1,IF(CdTrp2!I76=2,2,IF(CdTrp2!I76=3,2,0)))</f>
        <v>1</v>
      </c>
      <c r="CJ48" s="173">
        <f>IF(CdTrp2!J76=1,1,IF(CdTrp2!J76=2,2,IF(CdTrp2!J76=3,2,0)))</f>
        <v>2</v>
      </c>
      <c r="CK48" s="173">
        <f>IF(CdTrp2!K76=1,1,IF(CdTrp2!K76=2,2,IF(CdTrp2!K76=3,2,0)))</f>
        <v>2</v>
      </c>
      <c r="CL48" s="173">
        <f>IF(CdTrp2!L76=1,1,IF(CdTrp2!L76=2,2,IF(CdTrp2!L76=3,2,0)))</f>
        <v>2</v>
      </c>
      <c r="CM48" s="173">
        <f>IF(CdTrp2!M76=1,1,IF(CdTrp2!M76=2,2,IF(CdTrp2!M76=3,2,0)))</f>
        <v>2</v>
      </c>
      <c r="CN48" s="173">
        <f>IF(CdTrp2!N76=1,1,IF(CdTrp2!N76=2,2,IF(CdTrp2!N76=3,2,0)))</f>
        <v>2</v>
      </c>
      <c r="CO48" s="173">
        <f>IF(CdTrp2!O76=1,1,IF(CdTrp2!O76=2,2,IF(CdTrp2!O76=3,2,0)))</f>
        <v>1</v>
      </c>
      <c r="CP48" s="173">
        <f>IF(CdTrp2!P76=1,1,IF(CdTrp2!P76=2,2,IF(CdTrp2!P76=3,2,0)))</f>
        <v>1</v>
      </c>
      <c r="CQ48" s="173">
        <f>IF(CdTrp2!Q76=1,1,IF(CdTrp2!Q76=2,2,IF(CdTrp2!Q76=3,2,0)))</f>
        <v>1</v>
      </c>
      <c r="CR48" s="173">
        <f>IF(CdTrp2!R76=1,1,IF(CdTrp2!R76=2,2,IF(CdTrp2!R76=3,2,0)))</f>
        <v>2</v>
      </c>
      <c r="CS48" s="173">
        <f>IF(CdTrp2!S76=1,1,IF(CdTrp2!S76=2,2,IF(CdTrp2!S76=3,2,0)))</f>
        <v>2</v>
      </c>
      <c r="CT48" s="173">
        <f>IF(CdTrp2!T76=1,1,IF(CdTrp2!T76=2,2,IF(CdTrp2!T76=3,2,0)))</f>
        <v>2</v>
      </c>
      <c r="CU48" s="173">
        <f>IF(CdTrp2!U76=1,1,IF(CdTrp2!U76=2,2,IF(CdTrp2!U76=3,2,0)))</f>
        <v>2</v>
      </c>
      <c r="CV48" s="173">
        <f>IF(CdTrp2!V76=1,1,IF(CdTrp2!V76=2,2,IF(CdTrp2!V76=3,2,0)))</f>
        <v>2</v>
      </c>
      <c r="CW48" s="173">
        <f>IF(CdTrp2!W76=1,1,IF(CdTrp2!W76=2,2,IF(CdTrp2!W76=3,2,0)))</f>
        <v>2</v>
      </c>
      <c r="CX48" s="173">
        <f>IF(CdTrp2!X76=1,1,IF(CdTrp2!X76=2,2,IF(CdTrp2!X76=3,2,0)))</f>
        <v>0</v>
      </c>
      <c r="CY48" s="173">
        <f>IF(CdTrp2!Y76=1,1,IF(CdTrp2!Y76=2,2,IF(CdTrp2!Y76=3,2,0)))</f>
        <v>0</v>
      </c>
      <c r="DC48" s="189" t="str">
        <f t="shared" ref="DC48:DC57" si="30">+DC15</f>
        <v>lot1</v>
      </c>
      <c r="DD48" s="32"/>
      <c r="DE48" s="173">
        <f>IF(CdTrp3!B76=1,1,IF(CdTrp3!B76=2,2,IF(CdTrp3!B76=3,2,0)))</f>
        <v>0</v>
      </c>
      <c r="DF48" s="173">
        <f>IF(CdTrp3!C76=1,1,IF(CdTrp3!C76=2,2,IF(CdTrp3!C76=3,2,0)))</f>
        <v>0</v>
      </c>
      <c r="DG48" s="173">
        <f>IF(CdTrp3!D76=1,1,IF(CdTrp3!D76=2,2,IF(CdTrp3!D76=3,2,0)))</f>
        <v>0</v>
      </c>
      <c r="DH48" s="173">
        <f>IF(CdTrp3!E76=1,1,IF(CdTrp3!E76=2,2,IF(CdTrp3!E76=3,2,0)))</f>
        <v>0</v>
      </c>
      <c r="DI48" s="173">
        <f>IF(CdTrp3!F76=1,1,IF(CdTrp3!F76=2,2,IF(CdTrp3!F76=3,2,0)))</f>
        <v>0</v>
      </c>
      <c r="DJ48" s="173">
        <f>IF(CdTrp3!G76=1,1,IF(CdTrp3!G76=2,2,IF(CdTrp3!G76=3,2,0)))</f>
        <v>0</v>
      </c>
      <c r="DK48" s="173">
        <f>IF(CdTrp3!H76=1,1,IF(CdTrp3!H76=2,2,IF(CdTrp3!H76=3,2,0)))</f>
        <v>0</v>
      </c>
      <c r="DL48" s="173">
        <f>IF(CdTrp3!I76=1,1,IF(CdTrp3!I76=2,2,IF(CdTrp3!I76=3,2,0)))</f>
        <v>0</v>
      </c>
      <c r="DM48" s="173">
        <f>IF(CdTrp3!J76=1,1,IF(CdTrp3!J76=2,2,IF(CdTrp3!J76=3,2,0)))</f>
        <v>0</v>
      </c>
      <c r="DN48" s="173">
        <f>IF(CdTrp3!K76=1,1,IF(CdTrp3!K76=2,2,IF(CdTrp3!K76=3,2,0)))</f>
        <v>0</v>
      </c>
      <c r="DO48" s="173">
        <f>IF(CdTrp3!L76=1,1,IF(CdTrp3!L76=2,2,IF(CdTrp3!L76=3,2,0)))</f>
        <v>0</v>
      </c>
      <c r="DP48" s="173">
        <f>IF(CdTrp3!M76=1,1,IF(CdTrp3!M76=2,2,IF(CdTrp3!M76=3,2,0)))</f>
        <v>0</v>
      </c>
      <c r="DQ48" s="173">
        <f>IF(CdTrp3!N76=1,1,IF(CdTrp3!N76=2,2,IF(CdTrp3!N76=3,2,0)))</f>
        <v>0</v>
      </c>
      <c r="DR48" s="173">
        <f>IF(CdTrp3!O76=1,1,IF(CdTrp3!O76=2,2,IF(CdTrp3!O76=3,2,0)))</f>
        <v>0</v>
      </c>
      <c r="DS48" s="173">
        <f>IF(CdTrp3!P76=1,1,IF(CdTrp3!P76=2,2,IF(CdTrp3!P76=3,2,0)))</f>
        <v>0</v>
      </c>
      <c r="DT48" s="173">
        <f>IF(CdTrp3!Q76=1,1,IF(CdTrp3!Q76=2,2,IF(CdTrp3!Q76=3,2,0)))</f>
        <v>0</v>
      </c>
      <c r="DU48" s="173">
        <f>IF(CdTrp3!R76=1,1,IF(CdTrp3!R76=2,2,IF(CdTrp3!R76=3,2,0)))</f>
        <v>0</v>
      </c>
      <c r="DV48" s="173">
        <f>IF(CdTrp3!S76=1,1,IF(CdTrp3!S76=2,2,IF(CdTrp3!S76=3,2,0)))</f>
        <v>0</v>
      </c>
      <c r="DW48" s="173">
        <f>IF(CdTrp3!T76=1,1,IF(CdTrp3!T76=2,2,IF(CdTrp3!T76=3,2,0)))</f>
        <v>0</v>
      </c>
      <c r="DX48" s="173">
        <f>IF(CdTrp3!U76=1,1,IF(CdTrp3!U76=2,2,IF(CdTrp3!U76=3,2,0)))</f>
        <v>0</v>
      </c>
      <c r="DY48" s="173">
        <f>IF(CdTrp3!V76=1,1,IF(CdTrp3!V76=2,2,IF(CdTrp3!V76=3,2,0)))</f>
        <v>0</v>
      </c>
      <c r="DZ48" s="173">
        <f>IF(CdTrp3!W76=1,1,IF(CdTrp3!W76=2,2,IF(CdTrp3!W76=3,2,0)))</f>
        <v>0</v>
      </c>
      <c r="EA48" s="173">
        <f>IF(CdTrp3!X76=1,1,IF(CdTrp3!X76=2,2,IF(CdTrp3!X76=3,2,0)))</f>
        <v>0</v>
      </c>
      <c r="EB48" s="173">
        <f>IF(CdTrp3!Y76=1,1,IF(CdTrp3!Y76=2,2,IF(CdTrp3!Y76=3,2,0)))</f>
        <v>0</v>
      </c>
    </row>
    <row r="49" spans="1:132" x14ac:dyDescent="0.25">
      <c r="A49" s="23" t="s">
        <v>780</v>
      </c>
      <c r="B49" s="171" t="s">
        <v>52</v>
      </c>
      <c r="C49" t="s">
        <v>781</v>
      </c>
      <c r="AR49" s="188" t="s">
        <v>747</v>
      </c>
      <c r="AT49" s="189" t="str">
        <f t="shared" ref="AT49:AT57" si="31">AT38</f>
        <v>vides</v>
      </c>
      <c r="AU49" s="32"/>
      <c r="AV49" s="173">
        <f>IF(CdTrp1!B77=1,1,IF(CdTrp1!B77=2,2,IF(CdTrp1!B77=3,2,0)))</f>
        <v>2</v>
      </c>
      <c r="AW49" s="173">
        <f>IF(CdTrp1!C77=1,1,IF(CdTrp1!C77=2,2,IF(CdTrp1!C77=3,2,0)))</f>
        <v>2</v>
      </c>
      <c r="AX49" s="173">
        <f>IF(CdTrp1!D77=1,1,IF(CdTrp1!D77=2,2,IF(CdTrp1!D77=3,2,0)))</f>
        <v>2</v>
      </c>
      <c r="AY49" s="173">
        <f>IF(CdTrp1!E77=1,1,IF(CdTrp1!E77=2,2,IF(CdTrp1!E77=3,2,0)))</f>
        <v>2</v>
      </c>
      <c r="AZ49" s="173">
        <f>IF(CdTrp1!F77=1,1,IF(CdTrp1!F77=2,2,IF(CdTrp1!F77=3,2,0)))</f>
        <v>2</v>
      </c>
      <c r="BA49" s="173">
        <f>IF(CdTrp1!G77=1,1,IF(CdTrp1!G77=2,2,IF(CdTrp1!G77=3,2,0)))</f>
        <v>2</v>
      </c>
      <c r="BB49" s="173">
        <f>IF(CdTrp1!H77=1,1,IF(CdTrp1!H77=2,2,IF(CdTrp1!H77=3,2,0)))</f>
        <v>2</v>
      </c>
      <c r="BC49" s="173">
        <f>IF(CdTrp1!I77=1,1,IF(CdTrp1!I77=2,2,IF(CdTrp1!I77=3,2,0)))</f>
        <v>2</v>
      </c>
      <c r="BD49" s="173">
        <f>IF(CdTrp1!J77=1,1,IF(CdTrp1!J77=2,2,IF(CdTrp1!J77=3,2,0)))</f>
        <v>2</v>
      </c>
      <c r="BE49" s="173">
        <f>IF(CdTrp1!K77=1,1,IF(CdTrp1!K77=2,2,IF(CdTrp1!K77=3,2,0)))</f>
        <v>0</v>
      </c>
      <c r="BF49" s="173">
        <f>IF(CdTrp1!L77=1,1,IF(CdTrp1!L77=2,2,IF(CdTrp1!L77=3,2,0)))</f>
        <v>0</v>
      </c>
      <c r="BG49" s="173">
        <f>IF(CdTrp1!M77=1,1,IF(CdTrp1!M77=2,2,IF(CdTrp1!M77=3,2,0)))</f>
        <v>0</v>
      </c>
      <c r="BH49" s="173">
        <f>IF(CdTrp1!N77=1,1,IF(CdTrp1!N77=2,2,IF(CdTrp1!N77=3,2,0)))</f>
        <v>0</v>
      </c>
      <c r="BI49" s="173">
        <f>IF(CdTrp1!O77=1,1,IF(CdTrp1!O77=2,2,IF(CdTrp1!O77=3,2,0)))</f>
        <v>0</v>
      </c>
      <c r="BJ49" s="173">
        <f>IF(CdTrp1!P77=1,1,IF(CdTrp1!P77=2,2,IF(CdTrp1!P77=3,2,0)))</f>
        <v>0</v>
      </c>
      <c r="BK49" s="173">
        <f>IF(CdTrp1!Q77=1,1,IF(CdTrp1!Q77=2,2,IF(CdTrp1!Q77=3,2,0)))</f>
        <v>0</v>
      </c>
      <c r="BL49" s="173">
        <f>IF(CdTrp1!R77=1,1,IF(CdTrp1!R77=2,2,IF(CdTrp1!R77=3,2,0)))</f>
        <v>0</v>
      </c>
      <c r="BM49" s="173">
        <f>IF(CdTrp1!S77=1,1,IF(CdTrp1!S77=2,2,IF(CdTrp1!S77=3,2,0)))</f>
        <v>0</v>
      </c>
      <c r="BN49" s="173">
        <f>IF(CdTrp1!T77=1,1,IF(CdTrp1!T77=2,2,IF(CdTrp1!T77=3,2,0)))</f>
        <v>0</v>
      </c>
      <c r="BO49" s="173">
        <f>IF(CdTrp1!U77=1,1,IF(CdTrp1!U77=2,2,IF(CdTrp1!U77=3,2,0)))</f>
        <v>2</v>
      </c>
      <c r="BP49" s="173">
        <f>IF(CdTrp1!V77=1,1,IF(CdTrp1!V77=2,2,IF(CdTrp1!V77=3,2,0)))</f>
        <v>2</v>
      </c>
      <c r="BQ49" s="173">
        <f>IF(CdTrp1!W77=1,1,IF(CdTrp1!W77=2,2,IF(CdTrp1!W77=3,2,0)))</f>
        <v>2</v>
      </c>
      <c r="BR49" s="173">
        <f>IF(CdTrp1!X77=1,1,IF(CdTrp1!X77=2,2,IF(CdTrp1!X77=3,2,0)))</f>
        <v>2</v>
      </c>
      <c r="BS49" s="173">
        <f>IF(CdTrp1!Y77=1,1,IF(CdTrp1!Y77=2,2,IF(CdTrp1!Y77=3,2,0)))</f>
        <v>2</v>
      </c>
      <c r="BU49">
        <v>2</v>
      </c>
      <c r="BV49" t="s">
        <v>782</v>
      </c>
      <c r="BY49" s="17"/>
      <c r="BZ49" s="189" t="str">
        <f t="shared" si="29"/>
        <v>genisses -1an</v>
      </c>
      <c r="CA49" s="32"/>
      <c r="CB49" s="173">
        <f>IF(CdTrp2!B77=1,1,IF(CdTrp2!B77=2,2,IF(CdTrp2!B77=3,2,0)))</f>
        <v>0</v>
      </c>
      <c r="CC49" s="173">
        <f>IF(CdTrp2!C77=1,1,IF(CdTrp2!C77=2,2,IF(CdTrp2!C77=3,2,0)))</f>
        <v>0</v>
      </c>
      <c r="CD49" s="173">
        <f>IF(CdTrp2!D77=1,1,IF(CdTrp2!D77=2,2,IF(CdTrp2!D77=3,2,0)))</f>
        <v>0</v>
      </c>
      <c r="CE49" s="173">
        <f>IF(CdTrp2!E77=1,1,IF(CdTrp2!E77=2,2,IF(CdTrp2!E77=3,2,0)))</f>
        <v>0</v>
      </c>
      <c r="CF49" s="173">
        <f>IF(CdTrp2!F77=1,1,IF(CdTrp2!F77=2,2,IF(CdTrp2!F77=3,2,0)))</f>
        <v>0</v>
      </c>
      <c r="CG49" s="173">
        <f>IF(CdTrp2!G77=1,1,IF(CdTrp2!G77=2,2,IF(CdTrp2!G77=3,2,0)))</f>
        <v>1</v>
      </c>
      <c r="CH49" s="173">
        <f>IF(CdTrp2!H77=1,1,IF(CdTrp2!H77=2,2,IF(CdTrp2!H77=3,2,0)))</f>
        <v>1</v>
      </c>
      <c r="CI49" s="173">
        <f>IF(CdTrp2!I77=1,1,IF(CdTrp2!I77=2,2,IF(CdTrp2!I77=3,2,0)))</f>
        <v>1</v>
      </c>
      <c r="CJ49" s="173">
        <f>IF(CdTrp2!J77=1,1,IF(CdTrp2!J77=2,2,IF(CdTrp2!J77=3,2,0)))</f>
        <v>1</v>
      </c>
      <c r="CK49" s="173">
        <f>IF(CdTrp2!K77=1,1,IF(CdTrp2!K77=2,2,IF(CdTrp2!K77=3,2,0)))</f>
        <v>1</v>
      </c>
      <c r="CL49" s="173">
        <f>IF(CdTrp2!L77=1,1,IF(CdTrp2!L77=2,2,IF(CdTrp2!L77=3,2,0)))</f>
        <v>1</v>
      </c>
      <c r="CM49" s="173">
        <f>IF(CdTrp2!M77=1,1,IF(CdTrp2!M77=2,2,IF(CdTrp2!M77=3,2,0)))</f>
        <v>1</v>
      </c>
      <c r="CN49" s="173">
        <f>IF(CdTrp2!N77=1,1,IF(CdTrp2!N77=2,2,IF(CdTrp2!N77=3,2,0)))</f>
        <v>1</v>
      </c>
      <c r="CO49" s="173">
        <f>IF(CdTrp2!O77=1,1,IF(CdTrp2!O77=2,2,IF(CdTrp2!O77=3,2,0)))</f>
        <v>1</v>
      </c>
      <c r="CP49" s="173">
        <f>IF(CdTrp2!P77=1,1,IF(CdTrp2!P77=2,2,IF(CdTrp2!P77=3,2,0)))</f>
        <v>1</v>
      </c>
      <c r="CQ49" s="173">
        <f>IF(CdTrp2!Q77=1,1,IF(CdTrp2!Q77=2,2,IF(CdTrp2!Q77=3,2,0)))</f>
        <v>1</v>
      </c>
      <c r="CR49" s="173">
        <f>IF(CdTrp2!R77=1,1,IF(CdTrp2!R77=2,2,IF(CdTrp2!R77=3,2,0)))</f>
        <v>1</v>
      </c>
      <c r="CS49" s="173">
        <f>IF(CdTrp2!S77=1,1,IF(CdTrp2!S77=2,2,IF(CdTrp2!S77=3,2,0)))</f>
        <v>1</v>
      </c>
      <c r="CT49" s="173">
        <f>IF(CdTrp2!T77=1,1,IF(CdTrp2!T77=2,2,IF(CdTrp2!T77=3,2,0)))</f>
        <v>1</v>
      </c>
      <c r="CU49" s="173">
        <f>IF(CdTrp2!U77=1,1,IF(CdTrp2!U77=2,2,IF(CdTrp2!U77=3,2,0)))</f>
        <v>1</v>
      </c>
      <c r="CV49" s="173">
        <f>IF(CdTrp2!V77=1,1,IF(CdTrp2!V77=2,2,IF(CdTrp2!V77=3,2,0)))</f>
        <v>1</v>
      </c>
      <c r="CW49" s="173">
        <f>IF(CdTrp2!W77=1,1,IF(CdTrp2!W77=2,2,IF(CdTrp2!W77=3,2,0)))</f>
        <v>1</v>
      </c>
      <c r="CX49" s="173">
        <f>IF(CdTrp2!X77=1,1,IF(CdTrp2!X77=2,2,IF(CdTrp2!X77=3,2,0)))</f>
        <v>0</v>
      </c>
      <c r="CY49" s="173">
        <f>IF(CdTrp2!Y77=1,1,IF(CdTrp2!Y77=2,2,IF(CdTrp2!Y77=3,2,0)))</f>
        <v>0</v>
      </c>
      <c r="DB49" s="17"/>
      <c r="DC49" s="189" t="str">
        <f t="shared" si="30"/>
        <v>lot2</v>
      </c>
      <c r="DD49" s="32"/>
      <c r="DE49" s="173">
        <f>IF(CdTrp3!B77=1,1,IF(CdTrp3!B77=2,2,IF(CdTrp3!B77=3,2,0)))</f>
        <v>0</v>
      </c>
      <c r="DF49" s="173">
        <f>IF(CdTrp3!C77=1,1,IF(CdTrp3!C77=2,2,IF(CdTrp3!C77=3,2,0)))</f>
        <v>0</v>
      </c>
      <c r="DG49" s="173">
        <f>IF(CdTrp3!D77=1,1,IF(CdTrp3!D77=2,2,IF(CdTrp3!D77=3,2,0)))</f>
        <v>0</v>
      </c>
      <c r="DH49" s="173">
        <f>IF(CdTrp3!E77=1,1,IF(CdTrp3!E77=2,2,IF(CdTrp3!E77=3,2,0)))</f>
        <v>0</v>
      </c>
      <c r="DI49" s="173">
        <f>IF(CdTrp3!F77=1,1,IF(CdTrp3!F77=2,2,IF(CdTrp3!F77=3,2,0)))</f>
        <v>0</v>
      </c>
      <c r="DJ49" s="173">
        <f>IF(CdTrp3!G77=1,1,IF(CdTrp3!G77=2,2,IF(CdTrp3!G77=3,2,0)))</f>
        <v>0</v>
      </c>
      <c r="DK49" s="173">
        <f>IF(CdTrp3!H77=1,1,IF(CdTrp3!H77=2,2,IF(CdTrp3!H77=3,2,0)))</f>
        <v>0</v>
      </c>
      <c r="DL49" s="173">
        <f>IF(CdTrp3!I77=1,1,IF(CdTrp3!I77=2,2,IF(CdTrp3!I77=3,2,0)))</f>
        <v>0</v>
      </c>
      <c r="DM49" s="173">
        <f>IF(CdTrp3!J77=1,1,IF(CdTrp3!J77=2,2,IF(CdTrp3!J77=3,2,0)))</f>
        <v>0</v>
      </c>
      <c r="DN49" s="173">
        <f>IF(CdTrp3!K77=1,1,IF(CdTrp3!K77=2,2,IF(CdTrp3!K77=3,2,0)))</f>
        <v>0</v>
      </c>
      <c r="DO49" s="173">
        <f>IF(CdTrp3!L77=1,1,IF(CdTrp3!L77=2,2,IF(CdTrp3!L77=3,2,0)))</f>
        <v>0</v>
      </c>
      <c r="DP49" s="173">
        <f>IF(CdTrp3!M77=1,1,IF(CdTrp3!M77=2,2,IF(CdTrp3!M77=3,2,0)))</f>
        <v>0</v>
      </c>
      <c r="DQ49" s="173">
        <f>IF(CdTrp3!N77=1,1,IF(CdTrp3!N77=2,2,IF(CdTrp3!N77=3,2,0)))</f>
        <v>0</v>
      </c>
      <c r="DR49" s="173">
        <f>IF(CdTrp3!O77=1,1,IF(CdTrp3!O77=2,2,IF(CdTrp3!O77=3,2,0)))</f>
        <v>0</v>
      </c>
      <c r="DS49" s="173">
        <f>IF(CdTrp3!P77=1,1,IF(CdTrp3!P77=2,2,IF(CdTrp3!P77=3,2,0)))</f>
        <v>0</v>
      </c>
      <c r="DT49" s="173">
        <f>IF(CdTrp3!Q77=1,1,IF(CdTrp3!Q77=2,2,IF(CdTrp3!Q77=3,2,0)))</f>
        <v>0</v>
      </c>
      <c r="DU49" s="173">
        <f>IF(CdTrp3!R77=1,1,IF(CdTrp3!R77=2,2,IF(CdTrp3!R77=3,2,0)))</f>
        <v>0</v>
      </c>
      <c r="DV49" s="173">
        <f>IF(CdTrp3!S77=1,1,IF(CdTrp3!S77=2,2,IF(CdTrp3!S77=3,2,0)))</f>
        <v>0</v>
      </c>
      <c r="DW49" s="173">
        <f>IF(CdTrp3!T77=1,1,IF(CdTrp3!T77=2,2,IF(CdTrp3!T77=3,2,0)))</f>
        <v>0</v>
      </c>
      <c r="DX49" s="173">
        <f>IF(CdTrp3!U77=1,1,IF(CdTrp3!U77=2,2,IF(CdTrp3!U77=3,2,0)))</f>
        <v>0</v>
      </c>
      <c r="DY49" s="173">
        <f>IF(CdTrp3!V77=1,1,IF(CdTrp3!V77=2,2,IF(CdTrp3!V77=3,2,0)))</f>
        <v>0</v>
      </c>
      <c r="DZ49" s="173">
        <f>IF(CdTrp3!W77=1,1,IF(CdTrp3!W77=2,2,IF(CdTrp3!W77=3,2,0)))</f>
        <v>0</v>
      </c>
      <c r="EA49" s="173">
        <f>IF(CdTrp3!X77=1,1,IF(CdTrp3!X77=2,2,IF(CdTrp3!X77=3,2,0)))</f>
        <v>0</v>
      </c>
      <c r="EB49" s="173">
        <f>IF(CdTrp3!Y77=1,1,IF(CdTrp3!Y77=2,2,IF(CdTrp3!Y77=3,2,0)))</f>
        <v>0</v>
      </c>
    </row>
    <row r="50" spans="1:132" x14ac:dyDescent="0.25">
      <c r="A50" t="s">
        <v>783</v>
      </c>
      <c r="B50" s="173">
        <f>Scénario!K35+Scénario!K36</f>
        <v>0</v>
      </c>
      <c r="C50" s="190">
        <f>IF(B50&gt;[1]Trav!$E$116,[1]Trav!C116,[1]Trav!B116)</f>
        <v>11</v>
      </c>
      <c r="E50" s="172"/>
      <c r="F50" s="173">
        <f>ROUND(B50*C50,0)</f>
        <v>0</v>
      </c>
      <c r="AR50" s="188" t="s">
        <v>747</v>
      </c>
      <c r="AT50" s="189" t="str">
        <f t="shared" si="31"/>
        <v>agnelles</v>
      </c>
      <c r="AU50" s="32"/>
      <c r="AV50" s="173">
        <f>IF(CdTrp1!B78=1,1,IF(CdTrp1!B78=2,2,IF(CdTrp1!B78=3,2,0)))</f>
        <v>0</v>
      </c>
      <c r="AW50" s="173">
        <f>IF(CdTrp1!C78=1,1,IF(CdTrp1!C78=2,2,IF(CdTrp1!C78=3,2,0)))</f>
        <v>0</v>
      </c>
      <c r="AX50" s="173">
        <f>IF(CdTrp1!D78=1,1,IF(CdTrp1!D78=2,2,IF(CdTrp1!D78=3,2,0)))</f>
        <v>1</v>
      </c>
      <c r="AY50" s="173">
        <f>IF(CdTrp1!E78=1,1,IF(CdTrp1!E78=2,2,IF(CdTrp1!E78=3,2,0)))</f>
        <v>1</v>
      </c>
      <c r="AZ50" s="173">
        <f>IF(CdTrp1!F78=1,1,IF(CdTrp1!F78=2,2,IF(CdTrp1!F78=3,2,0)))</f>
        <v>1</v>
      </c>
      <c r="BA50" s="173">
        <f>IF(CdTrp1!G78=1,1,IF(CdTrp1!G78=2,2,IF(CdTrp1!G78=3,2,0)))</f>
        <v>1</v>
      </c>
      <c r="BB50" s="173">
        <f>IF(CdTrp1!H78=1,1,IF(CdTrp1!H78=2,2,IF(CdTrp1!H78=3,2,0)))</f>
        <v>1</v>
      </c>
      <c r="BC50" s="173">
        <f>IF(CdTrp1!I78=1,1,IF(CdTrp1!I78=2,2,IF(CdTrp1!I78=3,2,0)))</f>
        <v>1</v>
      </c>
      <c r="BD50" s="173">
        <f>IF(CdTrp1!J78=1,1,IF(CdTrp1!J78=2,2,IF(CdTrp1!J78=3,2,0)))</f>
        <v>1</v>
      </c>
      <c r="BE50" s="173">
        <f>IF(CdTrp1!K78=1,1,IF(CdTrp1!K78=2,2,IF(CdTrp1!K78=3,2,0)))</f>
        <v>1</v>
      </c>
      <c r="BF50" s="173">
        <f>IF(CdTrp1!L78=1,1,IF(CdTrp1!L78=2,2,IF(CdTrp1!L78=3,2,0)))</f>
        <v>1</v>
      </c>
      <c r="BG50" s="173">
        <f>IF(CdTrp1!M78=1,1,IF(CdTrp1!M78=2,2,IF(CdTrp1!M78=3,2,0)))</f>
        <v>1</v>
      </c>
      <c r="BH50" s="173">
        <f>IF(CdTrp1!N78=1,1,IF(CdTrp1!N78=2,2,IF(CdTrp1!N78=3,2,0)))</f>
        <v>1</v>
      </c>
      <c r="BI50" s="173">
        <f>IF(CdTrp1!O78=1,1,IF(CdTrp1!O78=2,2,IF(CdTrp1!O78=3,2,0)))</f>
        <v>1</v>
      </c>
      <c r="BJ50" s="173">
        <f>IF(CdTrp1!P78=1,1,IF(CdTrp1!P78=2,2,IF(CdTrp1!P78=3,2,0)))</f>
        <v>1</v>
      </c>
      <c r="BK50" s="173">
        <f>IF(CdTrp1!Q78=1,1,IF(CdTrp1!Q78=2,2,IF(CdTrp1!Q78=3,2,0)))</f>
        <v>1</v>
      </c>
      <c r="BL50" s="173">
        <f>IF(CdTrp1!R78=1,1,IF(CdTrp1!R78=2,2,IF(CdTrp1!R78=3,2,0)))</f>
        <v>1</v>
      </c>
      <c r="BM50" s="173">
        <f>IF(CdTrp1!S78=1,1,IF(CdTrp1!S78=2,2,IF(CdTrp1!S78=3,2,0)))</f>
        <v>1</v>
      </c>
      <c r="BN50" s="173">
        <f>IF(CdTrp1!T78=1,1,IF(CdTrp1!T78=2,2,IF(CdTrp1!T78=3,2,0)))</f>
        <v>1</v>
      </c>
      <c r="BO50" s="173">
        <f>IF(CdTrp1!U78=1,1,IF(CdTrp1!U78=2,2,IF(CdTrp1!U78=3,2,0)))</f>
        <v>0</v>
      </c>
      <c r="BP50" s="173">
        <f>IF(CdTrp1!V78=1,1,IF(CdTrp1!V78=2,2,IF(CdTrp1!V78=3,2,0)))</f>
        <v>0</v>
      </c>
      <c r="BQ50" s="173">
        <f>IF(CdTrp1!W78=1,1,IF(CdTrp1!W78=2,2,IF(CdTrp1!W78=3,2,0)))</f>
        <v>0</v>
      </c>
      <c r="BR50" s="173">
        <f>IF(CdTrp1!X78=1,1,IF(CdTrp1!X78=2,2,IF(CdTrp1!X78=3,2,0)))</f>
        <v>0</v>
      </c>
      <c r="BS50" s="173">
        <f>IF(CdTrp1!Y78=1,1,IF(CdTrp1!Y78=2,2,IF(CdTrp1!Y78=3,2,0)))</f>
        <v>0</v>
      </c>
      <c r="BU50" s="196">
        <v>4</v>
      </c>
      <c r="BV50" t="s">
        <v>784</v>
      </c>
      <c r="BZ50" s="189" t="str">
        <f t="shared" si="29"/>
        <v>genisses +1an</v>
      </c>
      <c r="CA50" s="32"/>
      <c r="CB50" s="173">
        <f>IF(CdTrp2!B78=1,1,IF(CdTrp2!B78=2,2,IF(CdTrp2!B78=3,2,0)))</f>
        <v>0</v>
      </c>
      <c r="CC50" s="173">
        <f>IF(CdTrp2!C78=1,1,IF(CdTrp2!C78=2,2,IF(CdTrp2!C78=3,2,0)))</f>
        <v>0</v>
      </c>
      <c r="CD50" s="173">
        <f>IF(CdTrp2!D78=1,1,IF(CdTrp2!D78=2,2,IF(CdTrp2!D78=3,2,0)))</f>
        <v>2</v>
      </c>
      <c r="CE50" s="173">
        <f>IF(CdTrp2!E78=1,1,IF(CdTrp2!E78=2,2,IF(CdTrp2!E78=3,2,0)))</f>
        <v>2</v>
      </c>
      <c r="CF50" s="173">
        <f>IF(CdTrp2!F78=1,1,IF(CdTrp2!F78=2,2,IF(CdTrp2!F78=3,2,0)))</f>
        <v>2</v>
      </c>
      <c r="CG50" s="173">
        <f>IF(CdTrp2!G78=1,1,IF(CdTrp2!G78=2,2,IF(CdTrp2!G78=3,2,0)))</f>
        <v>2</v>
      </c>
      <c r="CH50" s="173">
        <f>IF(CdTrp2!H78=1,1,IF(CdTrp2!H78=2,2,IF(CdTrp2!H78=3,2,0)))</f>
        <v>2</v>
      </c>
      <c r="CI50" s="173">
        <f>IF(CdTrp2!I78=1,1,IF(CdTrp2!I78=2,2,IF(CdTrp2!I78=3,2,0)))</f>
        <v>2</v>
      </c>
      <c r="CJ50" s="173">
        <f>IF(CdTrp2!J78=1,1,IF(CdTrp2!J78=2,2,IF(CdTrp2!J78=3,2,0)))</f>
        <v>2</v>
      </c>
      <c r="CK50" s="173">
        <f>IF(CdTrp2!K78=1,1,IF(CdTrp2!K78=2,2,IF(CdTrp2!K78=3,2,0)))</f>
        <v>2</v>
      </c>
      <c r="CL50" s="173">
        <f>IF(CdTrp2!L78=1,1,IF(CdTrp2!L78=2,2,IF(CdTrp2!L78=3,2,0)))</f>
        <v>2</v>
      </c>
      <c r="CM50" s="173">
        <f>IF(CdTrp2!M78=1,1,IF(CdTrp2!M78=2,2,IF(CdTrp2!M78=3,2,0)))</f>
        <v>2</v>
      </c>
      <c r="CN50" s="173">
        <f>IF(CdTrp2!N78=1,1,IF(CdTrp2!N78=2,2,IF(CdTrp2!N78=3,2,0)))</f>
        <v>2</v>
      </c>
      <c r="CO50" s="173">
        <f>IF(CdTrp2!O78=1,1,IF(CdTrp2!O78=2,2,IF(CdTrp2!O78=3,2,0)))</f>
        <v>2</v>
      </c>
      <c r="CP50" s="173">
        <f>IF(CdTrp2!P78=1,1,IF(CdTrp2!P78=2,2,IF(CdTrp2!P78=3,2,0)))</f>
        <v>2</v>
      </c>
      <c r="CQ50" s="173">
        <f>IF(CdTrp2!Q78=1,1,IF(CdTrp2!Q78=2,2,IF(CdTrp2!Q78=3,2,0)))</f>
        <v>2</v>
      </c>
      <c r="CR50" s="173">
        <f>IF(CdTrp2!R78=1,1,IF(CdTrp2!R78=2,2,IF(CdTrp2!R78=3,2,0)))</f>
        <v>2</v>
      </c>
      <c r="CS50" s="173">
        <f>IF(CdTrp2!S78=1,1,IF(CdTrp2!S78=2,2,IF(CdTrp2!S78=3,2,0)))</f>
        <v>2</v>
      </c>
      <c r="CT50" s="173">
        <f>IF(CdTrp2!T78=1,1,IF(CdTrp2!T78=2,2,IF(CdTrp2!T78=3,2,0)))</f>
        <v>2</v>
      </c>
      <c r="CU50" s="173">
        <f>IF(CdTrp2!U78=1,1,IF(CdTrp2!U78=2,2,IF(CdTrp2!U78=3,2,0)))</f>
        <v>1</v>
      </c>
      <c r="CV50" s="173">
        <f>IF(CdTrp2!V78=1,1,IF(CdTrp2!V78=2,2,IF(CdTrp2!V78=3,2,0)))</f>
        <v>1</v>
      </c>
      <c r="CW50" s="173">
        <f>IF(CdTrp2!W78=1,1,IF(CdTrp2!W78=2,2,IF(CdTrp2!W78=3,2,0)))</f>
        <v>1</v>
      </c>
      <c r="CX50" s="173">
        <f>IF(CdTrp2!X78=1,1,IF(CdTrp2!X78=2,2,IF(CdTrp2!X78=3,2,0)))</f>
        <v>0</v>
      </c>
      <c r="CY50" s="173">
        <f>IF(CdTrp2!Y78=1,1,IF(CdTrp2!Y78=2,2,IF(CdTrp2!Y78=3,2,0)))</f>
        <v>0</v>
      </c>
      <c r="DC50" s="189" t="str">
        <f t="shared" si="30"/>
        <v>lot3</v>
      </c>
      <c r="DD50" s="32"/>
      <c r="DE50" s="173">
        <f>IF(CdTrp3!B78=1,1,IF(CdTrp3!B78=2,2,IF(CdTrp3!B78=3,2,0)))</f>
        <v>0</v>
      </c>
      <c r="DF50" s="173">
        <f>IF(CdTrp3!C78=1,1,IF(CdTrp3!C78=2,2,IF(CdTrp3!C78=3,2,0)))</f>
        <v>0</v>
      </c>
      <c r="DG50" s="173">
        <f>IF(CdTrp3!D78=1,1,IF(CdTrp3!D78=2,2,IF(CdTrp3!D78=3,2,0)))</f>
        <v>0</v>
      </c>
      <c r="DH50" s="173">
        <f>IF(CdTrp3!E78=1,1,IF(CdTrp3!E78=2,2,IF(CdTrp3!E78=3,2,0)))</f>
        <v>0</v>
      </c>
      <c r="DI50" s="173">
        <f>IF(CdTrp3!F78=1,1,IF(CdTrp3!F78=2,2,IF(CdTrp3!F78=3,2,0)))</f>
        <v>0</v>
      </c>
      <c r="DJ50" s="173">
        <f>IF(CdTrp3!G78=1,1,IF(CdTrp3!G78=2,2,IF(CdTrp3!G78=3,2,0)))</f>
        <v>0</v>
      </c>
      <c r="DK50" s="173">
        <f>IF(CdTrp3!H78=1,1,IF(CdTrp3!H78=2,2,IF(CdTrp3!H78=3,2,0)))</f>
        <v>0</v>
      </c>
      <c r="DL50" s="173">
        <f>IF(CdTrp3!I78=1,1,IF(CdTrp3!I78=2,2,IF(CdTrp3!I78=3,2,0)))</f>
        <v>0</v>
      </c>
      <c r="DM50" s="173">
        <f>IF(CdTrp3!J78=1,1,IF(CdTrp3!J78=2,2,IF(CdTrp3!J78=3,2,0)))</f>
        <v>0</v>
      </c>
      <c r="DN50" s="173">
        <f>IF(CdTrp3!K78=1,1,IF(CdTrp3!K78=2,2,IF(CdTrp3!K78=3,2,0)))</f>
        <v>0</v>
      </c>
      <c r="DO50" s="173">
        <f>IF(CdTrp3!L78=1,1,IF(CdTrp3!L78=2,2,IF(CdTrp3!L78=3,2,0)))</f>
        <v>0</v>
      </c>
      <c r="DP50" s="173">
        <f>IF(CdTrp3!M78=1,1,IF(CdTrp3!M78=2,2,IF(CdTrp3!M78=3,2,0)))</f>
        <v>0</v>
      </c>
      <c r="DQ50" s="173">
        <f>IF(CdTrp3!N78=1,1,IF(CdTrp3!N78=2,2,IF(CdTrp3!N78=3,2,0)))</f>
        <v>0</v>
      </c>
      <c r="DR50" s="173">
        <f>IF(CdTrp3!O78=1,1,IF(CdTrp3!O78=2,2,IF(CdTrp3!O78=3,2,0)))</f>
        <v>0</v>
      </c>
      <c r="DS50" s="173">
        <f>IF(CdTrp3!P78=1,1,IF(CdTrp3!P78=2,2,IF(CdTrp3!P78=3,2,0)))</f>
        <v>0</v>
      </c>
      <c r="DT50" s="173">
        <f>IF(CdTrp3!Q78=1,1,IF(CdTrp3!Q78=2,2,IF(CdTrp3!Q78=3,2,0)))</f>
        <v>0</v>
      </c>
      <c r="DU50" s="173">
        <f>IF(CdTrp3!R78=1,1,IF(CdTrp3!R78=2,2,IF(CdTrp3!R78=3,2,0)))</f>
        <v>0</v>
      </c>
      <c r="DV50" s="173">
        <f>IF(CdTrp3!S78=1,1,IF(CdTrp3!S78=2,2,IF(CdTrp3!S78=3,2,0)))</f>
        <v>0</v>
      </c>
      <c r="DW50" s="173">
        <f>IF(CdTrp3!T78=1,1,IF(CdTrp3!T78=2,2,IF(CdTrp3!T78=3,2,0)))</f>
        <v>0</v>
      </c>
      <c r="DX50" s="173">
        <f>IF(CdTrp3!U78=1,1,IF(CdTrp3!U78=2,2,IF(CdTrp3!U78=3,2,0)))</f>
        <v>0</v>
      </c>
      <c r="DY50" s="173">
        <f>IF(CdTrp3!V78=1,1,IF(CdTrp3!V78=2,2,IF(CdTrp3!V78=3,2,0)))</f>
        <v>0</v>
      </c>
      <c r="DZ50" s="173">
        <f>IF(CdTrp3!W78=1,1,IF(CdTrp3!W78=2,2,IF(CdTrp3!W78=3,2,0)))</f>
        <v>0</v>
      </c>
      <c r="EA50" s="173">
        <f>IF(CdTrp3!X78=1,1,IF(CdTrp3!X78=2,2,IF(CdTrp3!X78=3,2,0)))</f>
        <v>0</v>
      </c>
      <c r="EB50" s="173">
        <f>IF(CdTrp3!Y78=1,1,IF(CdTrp3!Y78=2,2,IF(CdTrp3!Y78=3,2,0)))</f>
        <v>0</v>
      </c>
    </row>
    <row r="51" spans="1:132" x14ac:dyDescent="0.25">
      <c r="A51" t="s">
        <v>785</v>
      </c>
      <c r="B51" s="173">
        <f>Scénario!K34</f>
        <v>1</v>
      </c>
      <c r="C51" s="190">
        <f>IF(B51&gt;[1]Trav!E117,[1]Trav!C117,[1]Trav!B117)</f>
        <v>15.7</v>
      </c>
      <c r="E51" s="172"/>
      <c r="F51" s="173">
        <f t="shared" ref="F51:F59" si="32">ROUND(B51*C51,0)</f>
        <v>16</v>
      </c>
      <c r="AR51" s="188" t="s">
        <v>747</v>
      </c>
      <c r="AT51" s="189" t="str">
        <f t="shared" si="31"/>
        <v>beliers</v>
      </c>
      <c r="AU51" s="32"/>
      <c r="AV51" s="173">
        <f>IF(CdTrp1!B79=1,1,IF(CdTrp1!B79=2,2,IF(CdTrp1!B79=3,2,0)))</f>
        <v>2</v>
      </c>
      <c r="AW51" s="173">
        <f>IF(CdTrp1!C79=1,1,IF(CdTrp1!C79=2,2,IF(CdTrp1!C79=3,2,0)))</f>
        <v>2</v>
      </c>
      <c r="AX51" s="173">
        <f>IF(CdTrp1!D79=1,1,IF(CdTrp1!D79=2,2,IF(CdTrp1!D79=3,2,0)))</f>
        <v>2</v>
      </c>
      <c r="AY51" s="173">
        <f>IF(CdTrp1!E79=1,1,IF(CdTrp1!E79=2,2,IF(CdTrp1!E79=3,2,0)))</f>
        <v>2</v>
      </c>
      <c r="AZ51" s="173">
        <f>IF(CdTrp1!F79=1,1,IF(CdTrp1!F79=2,2,IF(CdTrp1!F79=3,2,0)))</f>
        <v>2</v>
      </c>
      <c r="BA51" s="173">
        <f>IF(CdTrp1!G79=1,1,IF(CdTrp1!G79=2,2,IF(CdTrp1!G79=3,2,0)))</f>
        <v>2</v>
      </c>
      <c r="BB51" s="173">
        <f>IF(CdTrp1!H79=1,1,IF(CdTrp1!H79=2,2,IF(CdTrp1!H79=3,2,0)))</f>
        <v>2</v>
      </c>
      <c r="BC51" s="173">
        <f>IF(CdTrp1!I79=1,1,IF(CdTrp1!I79=2,2,IF(CdTrp1!I79=3,2,0)))</f>
        <v>2</v>
      </c>
      <c r="BD51" s="173">
        <f>IF(CdTrp1!J79=1,1,IF(CdTrp1!J79=2,2,IF(CdTrp1!J79=3,2,0)))</f>
        <v>1</v>
      </c>
      <c r="BE51" s="173">
        <f>IF(CdTrp1!K79=1,1,IF(CdTrp1!K79=2,2,IF(CdTrp1!K79=3,2,0)))</f>
        <v>0</v>
      </c>
      <c r="BF51" s="173">
        <f>IF(CdTrp1!L79=1,1,IF(CdTrp1!L79=2,2,IF(CdTrp1!L79=3,2,0)))</f>
        <v>0</v>
      </c>
      <c r="BG51" s="173">
        <f>IF(CdTrp1!M79=1,1,IF(CdTrp1!M79=2,2,IF(CdTrp1!M79=3,2,0)))</f>
        <v>0</v>
      </c>
      <c r="BH51" s="173">
        <f>IF(CdTrp1!N79=1,1,IF(CdTrp1!N79=2,2,IF(CdTrp1!N79=3,2,0)))</f>
        <v>0</v>
      </c>
      <c r="BI51" s="173">
        <f>IF(CdTrp1!O79=1,1,IF(CdTrp1!O79=2,2,IF(CdTrp1!O79=3,2,0)))</f>
        <v>0</v>
      </c>
      <c r="BJ51" s="173">
        <f>IF(CdTrp1!P79=1,1,IF(CdTrp1!P79=2,2,IF(CdTrp1!P79=3,2,0)))</f>
        <v>0</v>
      </c>
      <c r="BK51" s="173">
        <f>IF(CdTrp1!Q79=1,1,IF(CdTrp1!Q79=2,2,IF(CdTrp1!Q79=3,2,0)))</f>
        <v>0</v>
      </c>
      <c r="BL51" s="173">
        <f>IF(CdTrp1!R79=1,1,IF(CdTrp1!R79=2,2,IF(CdTrp1!R79=3,2,0)))</f>
        <v>0</v>
      </c>
      <c r="BM51" s="173">
        <f>IF(CdTrp1!S79=1,1,IF(CdTrp1!S79=2,2,IF(CdTrp1!S79=3,2,0)))</f>
        <v>0</v>
      </c>
      <c r="BN51" s="173">
        <f>IF(CdTrp1!T79=1,1,IF(CdTrp1!T79=2,2,IF(CdTrp1!T79=3,2,0)))</f>
        <v>0</v>
      </c>
      <c r="BO51" s="173">
        <f>IF(CdTrp1!U79=1,1,IF(CdTrp1!U79=2,2,IF(CdTrp1!U79=3,2,0)))</f>
        <v>2</v>
      </c>
      <c r="BP51" s="173">
        <f>IF(CdTrp1!V79=1,1,IF(CdTrp1!V79=2,2,IF(CdTrp1!V79=3,2,0)))</f>
        <v>2</v>
      </c>
      <c r="BQ51" s="173">
        <f>IF(CdTrp1!W79=1,1,IF(CdTrp1!W79=2,2,IF(CdTrp1!W79=3,2,0)))</f>
        <v>2</v>
      </c>
      <c r="BR51" s="173">
        <f>IF(CdTrp1!X79=1,1,IF(CdTrp1!X79=2,2,IF(CdTrp1!X79=3,2,0)))</f>
        <v>2</v>
      </c>
      <c r="BS51" s="173">
        <f>IF(CdTrp1!Y79=1,1,IF(CdTrp1!Y79=2,2,IF(CdTrp1!Y79=3,2,0)))</f>
        <v>2</v>
      </c>
      <c r="BU51">
        <v>0</v>
      </c>
      <c r="BV51" t="s">
        <v>786</v>
      </c>
      <c r="BZ51" s="189" t="str">
        <f t="shared" si="29"/>
        <v>lot4</v>
      </c>
      <c r="CA51" s="32"/>
      <c r="CB51" s="173">
        <f>IF(CdTrp2!B79=1,1,IF(CdTrp2!B79=2,2,IF(CdTrp2!B79=3,2,0)))</f>
        <v>0</v>
      </c>
      <c r="CC51" s="173">
        <f>IF(CdTrp2!C79=1,1,IF(CdTrp2!C79=2,2,IF(CdTrp2!C79=3,2,0)))</f>
        <v>0</v>
      </c>
      <c r="CD51" s="173">
        <f>IF(CdTrp2!D79=1,1,IF(CdTrp2!D79=2,2,IF(CdTrp2!D79=3,2,0)))</f>
        <v>0</v>
      </c>
      <c r="CE51" s="173">
        <f>IF(CdTrp2!E79=1,1,IF(CdTrp2!E79=2,2,IF(CdTrp2!E79=3,2,0)))</f>
        <v>0</v>
      </c>
      <c r="CF51" s="173">
        <f>IF(CdTrp2!F79=1,1,IF(CdTrp2!F79=2,2,IF(CdTrp2!F79=3,2,0)))</f>
        <v>0</v>
      </c>
      <c r="CG51" s="173">
        <f>IF(CdTrp2!G79=1,1,IF(CdTrp2!G79=2,2,IF(CdTrp2!G79=3,2,0)))</f>
        <v>0</v>
      </c>
      <c r="CH51" s="173">
        <f>IF(CdTrp2!H79=1,1,IF(CdTrp2!H79=2,2,IF(CdTrp2!H79=3,2,0)))</f>
        <v>0</v>
      </c>
      <c r="CI51" s="173">
        <f>IF(CdTrp2!I79=1,1,IF(CdTrp2!I79=2,2,IF(CdTrp2!I79=3,2,0)))</f>
        <v>0</v>
      </c>
      <c r="CJ51" s="173">
        <f>IF(CdTrp2!J79=1,1,IF(CdTrp2!J79=2,2,IF(CdTrp2!J79=3,2,0)))</f>
        <v>0</v>
      </c>
      <c r="CK51" s="173">
        <f>IF(CdTrp2!K79=1,1,IF(CdTrp2!K79=2,2,IF(CdTrp2!K79=3,2,0)))</f>
        <v>0</v>
      </c>
      <c r="CL51" s="173">
        <f>IF(CdTrp2!L79=1,1,IF(CdTrp2!L79=2,2,IF(CdTrp2!L79=3,2,0)))</f>
        <v>0</v>
      </c>
      <c r="CM51" s="173">
        <f>IF(CdTrp2!M79=1,1,IF(CdTrp2!M79=2,2,IF(CdTrp2!M79=3,2,0)))</f>
        <v>0</v>
      </c>
      <c r="CN51" s="173">
        <f>IF(CdTrp2!N79=1,1,IF(CdTrp2!N79=2,2,IF(CdTrp2!N79=3,2,0)))</f>
        <v>0</v>
      </c>
      <c r="CO51" s="173">
        <f>IF(CdTrp2!O79=1,1,IF(CdTrp2!O79=2,2,IF(CdTrp2!O79=3,2,0)))</f>
        <v>0</v>
      </c>
      <c r="CP51" s="173">
        <f>IF(CdTrp2!P79=1,1,IF(CdTrp2!P79=2,2,IF(CdTrp2!P79=3,2,0)))</f>
        <v>0</v>
      </c>
      <c r="CQ51" s="173">
        <f>IF(CdTrp2!Q79=1,1,IF(CdTrp2!Q79=2,2,IF(CdTrp2!Q79=3,2,0)))</f>
        <v>0</v>
      </c>
      <c r="CR51" s="173">
        <f>IF(CdTrp2!R79=1,1,IF(CdTrp2!R79=2,2,IF(CdTrp2!R79=3,2,0)))</f>
        <v>0</v>
      </c>
      <c r="CS51" s="173">
        <f>IF(CdTrp2!S79=1,1,IF(CdTrp2!S79=2,2,IF(CdTrp2!S79=3,2,0)))</f>
        <v>0</v>
      </c>
      <c r="CT51" s="173">
        <f>IF(CdTrp2!T79=1,1,IF(CdTrp2!T79=2,2,IF(CdTrp2!T79=3,2,0)))</f>
        <v>0</v>
      </c>
      <c r="CU51" s="173">
        <f>IF(CdTrp2!U79=1,1,IF(CdTrp2!U79=2,2,IF(CdTrp2!U79=3,2,0)))</f>
        <v>0</v>
      </c>
      <c r="CV51" s="173">
        <f>IF(CdTrp2!V79=1,1,IF(CdTrp2!V79=2,2,IF(CdTrp2!V79=3,2,0)))</f>
        <v>0</v>
      </c>
      <c r="CW51" s="173">
        <f>IF(CdTrp2!W79=1,1,IF(CdTrp2!W79=2,2,IF(CdTrp2!W79=3,2,0)))</f>
        <v>0</v>
      </c>
      <c r="CX51" s="173">
        <f>IF(CdTrp2!X79=1,1,IF(CdTrp2!X79=2,2,IF(CdTrp2!X79=3,2,0)))</f>
        <v>0</v>
      </c>
      <c r="CY51" s="173">
        <f>IF(CdTrp2!Y79=1,1,IF(CdTrp2!Y79=2,2,IF(CdTrp2!Y79=3,2,0)))</f>
        <v>0</v>
      </c>
      <c r="DC51" s="189" t="str">
        <f t="shared" si="30"/>
        <v>lot4</v>
      </c>
      <c r="DD51" s="32"/>
      <c r="DE51" s="173">
        <f>IF(CdTrp3!B79=1,1,IF(CdTrp3!B79=2,2,IF(CdTrp3!B79=3,2,0)))</f>
        <v>0</v>
      </c>
      <c r="DF51" s="173">
        <f>IF(CdTrp3!C79=1,1,IF(CdTrp3!C79=2,2,IF(CdTrp3!C79=3,2,0)))</f>
        <v>0</v>
      </c>
      <c r="DG51" s="173">
        <f>IF(CdTrp3!D79=1,1,IF(CdTrp3!D79=2,2,IF(CdTrp3!D79=3,2,0)))</f>
        <v>0</v>
      </c>
      <c r="DH51" s="173">
        <f>IF(CdTrp3!E79=1,1,IF(CdTrp3!E79=2,2,IF(CdTrp3!E79=3,2,0)))</f>
        <v>0</v>
      </c>
      <c r="DI51" s="173">
        <f>IF(CdTrp3!F79=1,1,IF(CdTrp3!F79=2,2,IF(CdTrp3!F79=3,2,0)))</f>
        <v>0</v>
      </c>
      <c r="DJ51" s="173">
        <f>IF(CdTrp3!G79=1,1,IF(CdTrp3!G79=2,2,IF(CdTrp3!G79=3,2,0)))</f>
        <v>0</v>
      </c>
      <c r="DK51" s="173">
        <f>IF(CdTrp3!H79=1,1,IF(CdTrp3!H79=2,2,IF(CdTrp3!H79=3,2,0)))</f>
        <v>0</v>
      </c>
      <c r="DL51" s="173">
        <f>IF(CdTrp3!I79=1,1,IF(CdTrp3!I79=2,2,IF(CdTrp3!I79=3,2,0)))</f>
        <v>0</v>
      </c>
      <c r="DM51" s="173">
        <f>IF(CdTrp3!J79=1,1,IF(CdTrp3!J79=2,2,IF(CdTrp3!J79=3,2,0)))</f>
        <v>0</v>
      </c>
      <c r="DN51" s="173">
        <f>IF(CdTrp3!K79=1,1,IF(CdTrp3!K79=2,2,IF(CdTrp3!K79=3,2,0)))</f>
        <v>0</v>
      </c>
      <c r="DO51" s="173">
        <f>IF(CdTrp3!L79=1,1,IF(CdTrp3!L79=2,2,IF(CdTrp3!L79=3,2,0)))</f>
        <v>0</v>
      </c>
      <c r="DP51" s="173">
        <f>IF(CdTrp3!M79=1,1,IF(CdTrp3!M79=2,2,IF(CdTrp3!M79=3,2,0)))</f>
        <v>0</v>
      </c>
      <c r="DQ51" s="173">
        <f>IF(CdTrp3!N79=1,1,IF(CdTrp3!N79=2,2,IF(CdTrp3!N79=3,2,0)))</f>
        <v>0</v>
      </c>
      <c r="DR51" s="173">
        <f>IF(CdTrp3!O79=1,1,IF(CdTrp3!O79=2,2,IF(CdTrp3!O79=3,2,0)))</f>
        <v>0</v>
      </c>
      <c r="DS51" s="173">
        <f>IF(CdTrp3!P79=1,1,IF(CdTrp3!P79=2,2,IF(CdTrp3!P79=3,2,0)))</f>
        <v>0</v>
      </c>
      <c r="DT51" s="173">
        <f>IF(CdTrp3!Q79=1,1,IF(CdTrp3!Q79=2,2,IF(CdTrp3!Q79=3,2,0)))</f>
        <v>0</v>
      </c>
      <c r="DU51" s="173">
        <f>IF(CdTrp3!R79=1,1,IF(CdTrp3!R79=2,2,IF(CdTrp3!R79=3,2,0)))</f>
        <v>0</v>
      </c>
      <c r="DV51" s="173">
        <f>IF(CdTrp3!S79=1,1,IF(CdTrp3!S79=2,2,IF(CdTrp3!S79=3,2,0)))</f>
        <v>0</v>
      </c>
      <c r="DW51" s="173">
        <f>IF(CdTrp3!T79=1,1,IF(CdTrp3!T79=2,2,IF(CdTrp3!T79=3,2,0)))</f>
        <v>0</v>
      </c>
      <c r="DX51" s="173">
        <f>IF(CdTrp3!U79=1,1,IF(CdTrp3!U79=2,2,IF(CdTrp3!U79=3,2,0)))</f>
        <v>0</v>
      </c>
      <c r="DY51" s="173">
        <f>IF(CdTrp3!V79=1,1,IF(CdTrp3!V79=2,2,IF(CdTrp3!V79=3,2,0)))</f>
        <v>0</v>
      </c>
      <c r="DZ51" s="173">
        <f>IF(CdTrp3!W79=1,1,IF(CdTrp3!W79=2,2,IF(CdTrp3!W79=3,2,0)))</f>
        <v>0</v>
      </c>
      <c r="EA51" s="173">
        <f>IF(CdTrp3!X79=1,1,IF(CdTrp3!X79=2,2,IF(CdTrp3!X79=3,2,0)))</f>
        <v>0</v>
      </c>
      <c r="EB51" s="173">
        <f>IF(CdTrp3!Y79=1,1,IF(CdTrp3!Y79=2,2,IF(CdTrp3!Y79=3,2,0)))</f>
        <v>0</v>
      </c>
    </row>
    <row r="52" spans="1:132" x14ac:dyDescent="0.25">
      <c r="A52" s="5" t="s">
        <v>787</v>
      </c>
      <c r="B52" s="173">
        <f>Scénario!K40/[1]Trav!$B$124</f>
        <v>1.25</v>
      </c>
      <c r="C52" s="190">
        <f>IF(B52&gt;[1]Trav!E118,[1]Trav!C118,[1]Trav!B118)/[1]Trav!$B$124</f>
        <v>0.92500000000000004</v>
      </c>
      <c r="D52"/>
      <c r="E52" s="172"/>
      <c r="F52" s="173">
        <f t="shared" si="32"/>
        <v>1</v>
      </c>
      <c r="AR52" s="188" t="s">
        <v>747</v>
      </c>
      <c r="AT52" s="189" t="str">
        <f t="shared" si="31"/>
        <v>lot5</v>
      </c>
      <c r="AU52" s="32"/>
      <c r="AV52" s="173">
        <f>IF(CdTrp1!B80=1,1,IF(CdTrp1!B80=2,2,IF(CdTrp1!B80=3,2,0)))</f>
        <v>0</v>
      </c>
      <c r="AW52" s="173">
        <f>IF(CdTrp1!C80=1,1,IF(CdTrp1!C80=2,2,IF(CdTrp1!C80=3,2,0)))</f>
        <v>0</v>
      </c>
      <c r="AX52" s="173">
        <f>IF(CdTrp1!D80=1,1,IF(CdTrp1!D80=2,2,IF(CdTrp1!D80=3,2,0)))</f>
        <v>0</v>
      </c>
      <c r="AY52" s="173">
        <f>IF(CdTrp1!E80=1,1,IF(CdTrp1!E80=2,2,IF(CdTrp1!E80=3,2,0)))</f>
        <v>0</v>
      </c>
      <c r="AZ52" s="173">
        <f>IF(CdTrp1!F80=1,1,IF(CdTrp1!F80=2,2,IF(CdTrp1!F80=3,2,0)))</f>
        <v>0</v>
      </c>
      <c r="BA52" s="173">
        <f>IF(CdTrp1!G80=1,1,IF(CdTrp1!G80=2,2,IF(CdTrp1!G80=3,2,0)))</f>
        <v>0</v>
      </c>
      <c r="BB52" s="173">
        <f>IF(CdTrp1!H80=1,1,IF(CdTrp1!H80=2,2,IF(CdTrp1!H80=3,2,0)))</f>
        <v>0</v>
      </c>
      <c r="BC52" s="173">
        <f>IF(CdTrp1!I80=1,1,IF(CdTrp1!I80=2,2,IF(CdTrp1!I80=3,2,0)))</f>
        <v>0</v>
      </c>
      <c r="BD52" s="173">
        <f>IF(CdTrp1!J80=1,1,IF(CdTrp1!J80=2,2,IF(CdTrp1!J80=3,2,0)))</f>
        <v>0</v>
      </c>
      <c r="BE52" s="173">
        <f>IF(CdTrp1!K80=1,1,IF(CdTrp1!K80=2,2,IF(CdTrp1!K80=3,2,0)))</f>
        <v>0</v>
      </c>
      <c r="BF52" s="173">
        <f>IF(CdTrp1!L80=1,1,IF(CdTrp1!L80=2,2,IF(CdTrp1!L80=3,2,0)))</f>
        <v>0</v>
      </c>
      <c r="BG52" s="173">
        <f>IF(CdTrp1!M80=1,1,IF(CdTrp1!M80=2,2,IF(CdTrp1!M80=3,2,0)))</f>
        <v>0</v>
      </c>
      <c r="BH52" s="173">
        <f>IF(CdTrp1!N80=1,1,IF(CdTrp1!N80=2,2,IF(CdTrp1!N80=3,2,0)))</f>
        <v>0</v>
      </c>
      <c r="BI52" s="173">
        <f>IF(CdTrp1!O80=1,1,IF(CdTrp1!O80=2,2,IF(CdTrp1!O80=3,2,0)))</f>
        <v>0</v>
      </c>
      <c r="BJ52" s="173">
        <f>IF(CdTrp1!P80=1,1,IF(CdTrp1!P80=2,2,IF(CdTrp1!P80=3,2,0)))</f>
        <v>0</v>
      </c>
      <c r="BK52" s="173">
        <f>IF(CdTrp1!Q80=1,1,IF(CdTrp1!Q80=2,2,IF(CdTrp1!Q80=3,2,0)))</f>
        <v>0</v>
      </c>
      <c r="BL52" s="173">
        <f>IF(CdTrp1!R80=1,1,IF(CdTrp1!R80=2,2,IF(CdTrp1!R80=3,2,0)))</f>
        <v>0</v>
      </c>
      <c r="BM52" s="173">
        <f>IF(CdTrp1!S80=1,1,IF(CdTrp1!S80=2,2,IF(CdTrp1!S80=3,2,0)))</f>
        <v>0</v>
      </c>
      <c r="BN52" s="173">
        <f>IF(CdTrp1!T80=1,1,IF(CdTrp1!T80=2,2,IF(CdTrp1!T80=3,2,0)))</f>
        <v>0</v>
      </c>
      <c r="BO52" s="173">
        <f>IF(CdTrp1!U80=1,1,IF(CdTrp1!U80=2,2,IF(CdTrp1!U80=3,2,0)))</f>
        <v>0</v>
      </c>
      <c r="BP52" s="173">
        <f>IF(CdTrp1!V80=1,1,IF(CdTrp1!V80=2,2,IF(CdTrp1!V80=3,2,0)))</f>
        <v>0</v>
      </c>
      <c r="BQ52" s="173">
        <f>IF(CdTrp1!W80=1,1,IF(CdTrp1!W80=2,2,IF(CdTrp1!W80=3,2,0)))</f>
        <v>0</v>
      </c>
      <c r="BR52" s="173">
        <f>IF(CdTrp1!X80=1,1,IF(CdTrp1!X80=2,2,IF(CdTrp1!X80=3,2,0)))</f>
        <v>0</v>
      </c>
      <c r="BS52" s="173">
        <f>IF(CdTrp1!Y80=1,1,IF(CdTrp1!Y80=2,2,IF(CdTrp1!Y80=3,2,0)))</f>
        <v>0</v>
      </c>
      <c r="BZ52" s="189" t="str">
        <f t="shared" si="29"/>
        <v>lot5</v>
      </c>
      <c r="CA52" s="32"/>
      <c r="CB52" s="173">
        <f>IF(CdTrp2!B80=1,1,IF(CdTrp2!B80=2,2,IF(CdTrp2!B80=3,2,0)))</f>
        <v>0</v>
      </c>
      <c r="CC52" s="173">
        <f>IF(CdTrp2!C80=1,1,IF(CdTrp2!C80=2,2,IF(CdTrp2!C80=3,2,0)))</f>
        <v>0</v>
      </c>
      <c r="CD52" s="173">
        <f>IF(CdTrp2!D80=1,1,IF(CdTrp2!D80=2,2,IF(CdTrp2!D80=3,2,0)))</f>
        <v>0</v>
      </c>
      <c r="CE52" s="173">
        <f>IF(CdTrp2!E80=1,1,IF(CdTrp2!E80=2,2,IF(CdTrp2!E80=3,2,0)))</f>
        <v>0</v>
      </c>
      <c r="CF52" s="173">
        <f>IF(CdTrp2!F80=1,1,IF(CdTrp2!F80=2,2,IF(CdTrp2!F80=3,2,0)))</f>
        <v>0</v>
      </c>
      <c r="CG52" s="173">
        <f>IF(CdTrp2!G80=1,1,IF(CdTrp2!G80=2,2,IF(CdTrp2!G80=3,2,0)))</f>
        <v>0</v>
      </c>
      <c r="CH52" s="173">
        <f>IF(CdTrp2!H80=1,1,IF(CdTrp2!H80=2,2,IF(CdTrp2!H80=3,2,0)))</f>
        <v>0</v>
      </c>
      <c r="CI52" s="173">
        <f>IF(CdTrp2!I80=1,1,IF(CdTrp2!I80=2,2,IF(CdTrp2!I80=3,2,0)))</f>
        <v>0</v>
      </c>
      <c r="CJ52" s="173">
        <f>IF(CdTrp2!J80=1,1,IF(CdTrp2!J80=2,2,IF(CdTrp2!J80=3,2,0)))</f>
        <v>0</v>
      </c>
      <c r="CK52" s="173">
        <f>IF(CdTrp2!K80=1,1,IF(CdTrp2!K80=2,2,IF(CdTrp2!K80=3,2,0)))</f>
        <v>0</v>
      </c>
      <c r="CL52" s="173">
        <f>IF(CdTrp2!L80=1,1,IF(CdTrp2!L80=2,2,IF(CdTrp2!L80=3,2,0)))</f>
        <v>0</v>
      </c>
      <c r="CM52" s="173">
        <f>IF(CdTrp2!M80=1,1,IF(CdTrp2!M80=2,2,IF(CdTrp2!M80=3,2,0)))</f>
        <v>0</v>
      </c>
      <c r="CN52" s="173">
        <f>IF(CdTrp2!N80=1,1,IF(CdTrp2!N80=2,2,IF(CdTrp2!N80=3,2,0)))</f>
        <v>0</v>
      </c>
      <c r="CO52" s="173">
        <f>IF(CdTrp2!O80=1,1,IF(CdTrp2!O80=2,2,IF(CdTrp2!O80=3,2,0)))</f>
        <v>0</v>
      </c>
      <c r="CP52" s="173">
        <f>IF(CdTrp2!P80=1,1,IF(CdTrp2!P80=2,2,IF(CdTrp2!P80=3,2,0)))</f>
        <v>0</v>
      </c>
      <c r="CQ52" s="173">
        <f>IF(CdTrp2!Q80=1,1,IF(CdTrp2!Q80=2,2,IF(CdTrp2!Q80=3,2,0)))</f>
        <v>0</v>
      </c>
      <c r="CR52" s="173">
        <f>IF(CdTrp2!R80=1,1,IF(CdTrp2!R80=2,2,IF(CdTrp2!R80=3,2,0)))</f>
        <v>0</v>
      </c>
      <c r="CS52" s="173">
        <f>IF(CdTrp2!S80=1,1,IF(CdTrp2!S80=2,2,IF(CdTrp2!S80=3,2,0)))</f>
        <v>0</v>
      </c>
      <c r="CT52" s="173">
        <f>IF(CdTrp2!T80=1,1,IF(CdTrp2!T80=2,2,IF(CdTrp2!T80=3,2,0)))</f>
        <v>0</v>
      </c>
      <c r="CU52" s="173">
        <f>IF(CdTrp2!U80=1,1,IF(CdTrp2!U80=2,2,IF(CdTrp2!U80=3,2,0)))</f>
        <v>0</v>
      </c>
      <c r="CV52" s="173">
        <f>IF(CdTrp2!V80=1,1,IF(CdTrp2!V80=2,2,IF(CdTrp2!V80=3,2,0)))</f>
        <v>0</v>
      </c>
      <c r="CW52" s="173">
        <f>IF(CdTrp2!W80=1,1,IF(CdTrp2!W80=2,2,IF(CdTrp2!W80=3,2,0)))</f>
        <v>0</v>
      </c>
      <c r="CX52" s="173">
        <f>IF(CdTrp2!X80=1,1,IF(CdTrp2!X80=2,2,IF(CdTrp2!X80=3,2,0)))</f>
        <v>0</v>
      </c>
      <c r="CY52" s="173">
        <f>IF(CdTrp2!Y80=1,1,IF(CdTrp2!Y80=2,2,IF(CdTrp2!Y80=3,2,0)))</f>
        <v>0</v>
      </c>
      <c r="DC52" s="189" t="str">
        <f t="shared" si="30"/>
        <v>lot5</v>
      </c>
      <c r="DD52" s="32"/>
      <c r="DE52" s="173">
        <f>IF(CdTrp3!B80=1,1,IF(CdTrp3!B80=2,2,IF(CdTrp3!B80=3,2,0)))</f>
        <v>0</v>
      </c>
      <c r="DF52" s="173">
        <f>IF(CdTrp3!C80=1,1,IF(CdTrp3!C80=2,2,IF(CdTrp3!C80=3,2,0)))</f>
        <v>0</v>
      </c>
      <c r="DG52" s="173">
        <f>IF(CdTrp3!D80=1,1,IF(CdTrp3!D80=2,2,IF(CdTrp3!D80=3,2,0)))</f>
        <v>0</v>
      </c>
      <c r="DH52" s="173">
        <f>IF(CdTrp3!E80=1,1,IF(CdTrp3!E80=2,2,IF(CdTrp3!E80=3,2,0)))</f>
        <v>0</v>
      </c>
      <c r="DI52" s="173">
        <f>IF(CdTrp3!F80=1,1,IF(CdTrp3!F80=2,2,IF(CdTrp3!F80=3,2,0)))</f>
        <v>0</v>
      </c>
      <c r="DJ52" s="173">
        <f>IF(CdTrp3!G80=1,1,IF(CdTrp3!G80=2,2,IF(CdTrp3!G80=3,2,0)))</f>
        <v>0</v>
      </c>
      <c r="DK52" s="173">
        <f>IF(CdTrp3!H80=1,1,IF(CdTrp3!H80=2,2,IF(CdTrp3!H80=3,2,0)))</f>
        <v>0</v>
      </c>
      <c r="DL52" s="173">
        <f>IF(CdTrp3!I80=1,1,IF(CdTrp3!I80=2,2,IF(CdTrp3!I80=3,2,0)))</f>
        <v>0</v>
      </c>
      <c r="DM52" s="173">
        <f>IF(CdTrp3!J80=1,1,IF(CdTrp3!J80=2,2,IF(CdTrp3!J80=3,2,0)))</f>
        <v>0</v>
      </c>
      <c r="DN52" s="173">
        <f>IF(CdTrp3!K80=1,1,IF(CdTrp3!K80=2,2,IF(CdTrp3!K80=3,2,0)))</f>
        <v>0</v>
      </c>
      <c r="DO52" s="173">
        <f>IF(CdTrp3!L80=1,1,IF(CdTrp3!L80=2,2,IF(CdTrp3!L80=3,2,0)))</f>
        <v>0</v>
      </c>
      <c r="DP52" s="173">
        <f>IF(CdTrp3!M80=1,1,IF(CdTrp3!M80=2,2,IF(CdTrp3!M80=3,2,0)))</f>
        <v>0</v>
      </c>
      <c r="DQ52" s="173">
        <f>IF(CdTrp3!N80=1,1,IF(CdTrp3!N80=2,2,IF(CdTrp3!N80=3,2,0)))</f>
        <v>0</v>
      </c>
      <c r="DR52" s="173">
        <f>IF(CdTrp3!O80=1,1,IF(CdTrp3!O80=2,2,IF(CdTrp3!O80=3,2,0)))</f>
        <v>0</v>
      </c>
      <c r="DS52" s="173">
        <f>IF(CdTrp3!P80=1,1,IF(CdTrp3!P80=2,2,IF(CdTrp3!P80=3,2,0)))</f>
        <v>0</v>
      </c>
      <c r="DT52" s="173">
        <f>IF(CdTrp3!Q80=1,1,IF(CdTrp3!Q80=2,2,IF(CdTrp3!Q80=3,2,0)))</f>
        <v>0</v>
      </c>
      <c r="DU52" s="173">
        <f>IF(CdTrp3!R80=1,1,IF(CdTrp3!R80=2,2,IF(CdTrp3!R80=3,2,0)))</f>
        <v>0</v>
      </c>
      <c r="DV52" s="173">
        <f>IF(CdTrp3!S80=1,1,IF(CdTrp3!S80=2,2,IF(CdTrp3!S80=3,2,0)))</f>
        <v>0</v>
      </c>
      <c r="DW52" s="173">
        <f>IF(CdTrp3!T80=1,1,IF(CdTrp3!T80=2,2,IF(CdTrp3!T80=3,2,0)))</f>
        <v>0</v>
      </c>
      <c r="DX52" s="173">
        <f>IF(CdTrp3!U80=1,1,IF(CdTrp3!U80=2,2,IF(CdTrp3!U80=3,2,0)))</f>
        <v>0</v>
      </c>
      <c r="DY52" s="173">
        <f>IF(CdTrp3!V80=1,1,IF(CdTrp3!V80=2,2,IF(CdTrp3!V80=3,2,0)))</f>
        <v>0</v>
      </c>
      <c r="DZ52" s="173">
        <f>IF(CdTrp3!W80=1,1,IF(CdTrp3!W80=2,2,IF(CdTrp3!W80=3,2,0)))</f>
        <v>0</v>
      </c>
      <c r="EA52" s="173">
        <f>IF(CdTrp3!X80=1,1,IF(CdTrp3!X80=2,2,IF(CdTrp3!X80=3,2,0)))</f>
        <v>0</v>
      </c>
      <c r="EB52" s="173">
        <f>IF(CdTrp3!Y80=1,1,IF(CdTrp3!Y80=2,2,IF(CdTrp3!Y80=3,2,0)))</f>
        <v>0</v>
      </c>
    </row>
    <row r="53" spans="1:132" x14ac:dyDescent="0.25">
      <c r="A53" s="5" t="s">
        <v>788</v>
      </c>
      <c r="B53" s="173">
        <f>Scénario!K42</f>
        <v>0</v>
      </c>
      <c r="C53" s="190">
        <f>IF(B53&gt;[1]Trav!E118,[1]Trav!C118,[1]Trav!B118)</f>
        <v>3.7</v>
      </c>
      <c r="D53"/>
      <c r="E53" s="172"/>
      <c r="F53" s="173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8" t="s">
        <v>747</v>
      </c>
      <c r="AT53" s="189" t="str">
        <f t="shared" si="31"/>
        <v>lot6</v>
      </c>
      <c r="AU53" s="32"/>
      <c r="AV53" s="173">
        <f>IF(CdTrp1!B81=1,1,IF(CdTrp1!B81=2,2,IF(CdTrp1!B81=3,2,0)))</f>
        <v>0</v>
      </c>
      <c r="AW53" s="173">
        <f>IF(CdTrp1!C81=1,1,IF(CdTrp1!C81=2,2,IF(CdTrp1!C81=3,2,0)))</f>
        <v>0</v>
      </c>
      <c r="AX53" s="173">
        <f>IF(CdTrp1!D81=1,1,IF(CdTrp1!D81=2,2,IF(CdTrp1!D81=3,2,0)))</f>
        <v>0</v>
      </c>
      <c r="AY53" s="173">
        <f>IF(CdTrp1!E81=1,1,IF(CdTrp1!E81=2,2,IF(CdTrp1!E81=3,2,0)))</f>
        <v>0</v>
      </c>
      <c r="AZ53" s="173">
        <f>IF(CdTrp1!F81=1,1,IF(CdTrp1!F81=2,2,IF(CdTrp1!F81=3,2,0)))</f>
        <v>0</v>
      </c>
      <c r="BA53" s="173">
        <f>IF(CdTrp1!G81=1,1,IF(CdTrp1!G81=2,2,IF(CdTrp1!G81=3,2,0)))</f>
        <v>0</v>
      </c>
      <c r="BB53" s="173">
        <f>IF(CdTrp1!H81=1,1,IF(CdTrp1!H81=2,2,IF(CdTrp1!H81=3,2,0)))</f>
        <v>0</v>
      </c>
      <c r="BC53" s="173">
        <f>IF(CdTrp1!I81=1,1,IF(CdTrp1!I81=2,2,IF(CdTrp1!I81=3,2,0)))</f>
        <v>0</v>
      </c>
      <c r="BD53" s="173">
        <f>IF(CdTrp1!J81=1,1,IF(CdTrp1!J81=2,2,IF(CdTrp1!J81=3,2,0)))</f>
        <v>0</v>
      </c>
      <c r="BE53" s="173">
        <f>IF(CdTrp1!K81=1,1,IF(CdTrp1!K81=2,2,IF(CdTrp1!K81=3,2,0)))</f>
        <v>0</v>
      </c>
      <c r="BF53" s="173">
        <f>IF(CdTrp1!L81=1,1,IF(CdTrp1!L81=2,2,IF(CdTrp1!L81=3,2,0)))</f>
        <v>0</v>
      </c>
      <c r="BG53" s="173">
        <f>IF(CdTrp1!M81=1,1,IF(CdTrp1!M81=2,2,IF(CdTrp1!M81=3,2,0)))</f>
        <v>0</v>
      </c>
      <c r="BH53" s="173">
        <f>IF(CdTrp1!N81=1,1,IF(CdTrp1!N81=2,2,IF(CdTrp1!N81=3,2,0)))</f>
        <v>0</v>
      </c>
      <c r="BI53" s="173">
        <f>IF(CdTrp1!O81=1,1,IF(CdTrp1!O81=2,2,IF(CdTrp1!O81=3,2,0)))</f>
        <v>0</v>
      </c>
      <c r="BJ53" s="173">
        <f>IF(CdTrp1!P81=1,1,IF(CdTrp1!P81=2,2,IF(CdTrp1!P81=3,2,0)))</f>
        <v>0</v>
      </c>
      <c r="BK53" s="173">
        <f>IF(CdTrp1!Q81=1,1,IF(CdTrp1!Q81=2,2,IF(CdTrp1!Q81=3,2,0)))</f>
        <v>0</v>
      </c>
      <c r="BL53" s="173">
        <f>IF(CdTrp1!R81=1,1,IF(CdTrp1!R81=2,2,IF(CdTrp1!R81=3,2,0)))</f>
        <v>0</v>
      </c>
      <c r="BM53" s="173">
        <f>IF(CdTrp1!S81=1,1,IF(CdTrp1!S81=2,2,IF(CdTrp1!S81=3,2,0)))</f>
        <v>0</v>
      </c>
      <c r="BN53" s="173">
        <f>IF(CdTrp1!T81=1,1,IF(CdTrp1!T81=2,2,IF(CdTrp1!T81=3,2,0)))</f>
        <v>0</v>
      </c>
      <c r="BO53" s="173">
        <f>IF(CdTrp1!U81=1,1,IF(CdTrp1!U81=2,2,IF(CdTrp1!U81=3,2,0)))</f>
        <v>0</v>
      </c>
      <c r="BP53" s="173">
        <f>IF(CdTrp1!V81=1,1,IF(CdTrp1!V81=2,2,IF(CdTrp1!V81=3,2,0)))</f>
        <v>0</v>
      </c>
      <c r="BQ53" s="173">
        <f>IF(CdTrp1!W81=1,1,IF(CdTrp1!W81=2,2,IF(CdTrp1!W81=3,2,0)))</f>
        <v>0</v>
      </c>
      <c r="BR53" s="173">
        <f>IF(CdTrp1!X81=1,1,IF(CdTrp1!X81=2,2,IF(CdTrp1!X81=3,2,0)))</f>
        <v>0</v>
      </c>
      <c r="BS53" s="173">
        <f>IF(CdTrp1!Y81=1,1,IF(CdTrp1!Y81=2,2,IF(CdTrp1!Y81=3,2,0)))</f>
        <v>0</v>
      </c>
      <c r="BZ53" s="189" t="str">
        <f t="shared" si="29"/>
        <v>lot6</v>
      </c>
      <c r="CA53" s="32"/>
      <c r="CB53" s="173">
        <f>IF(CdTrp2!B81=1,1,IF(CdTrp2!B81=2,2,IF(CdTrp2!B81=3,2,0)))</f>
        <v>0</v>
      </c>
      <c r="CC53" s="173">
        <f>IF(CdTrp2!C81=1,1,IF(CdTrp2!C81=2,2,IF(CdTrp2!C81=3,2,0)))</f>
        <v>0</v>
      </c>
      <c r="CD53" s="173">
        <f>IF(CdTrp2!D81=1,1,IF(CdTrp2!D81=2,2,IF(CdTrp2!D81=3,2,0)))</f>
        <v>0</v>
      </c>
      <c r="CE53" s="173">
        <f>IF(CdTrp2!E81=1,1,IF(CdTrp2!E81=2,2,IF(CdTrp2!E81=3,2,0)))</f>
        <v>0</v>
      </c>
      <c r="CF53" s="173">
        <f>IF(CdTrp2!F81=1,1,IF(CdTrp2!F81=2,2,IF(CdTrp2!F81=3,2,0)))</f>
        <v>0</v>
      </c>
      <c r="CG53" s="173">
        <f>IF(CdTrp2!G81=1,1,IF(CdTrp2!G81=2,2,IF(CdTrp2!G81=3,2,0)))</f>
        <v>0</v>
      </c>
      <c r="CH53" s="173">
        <f>IF(CdTrp2!H81=1,1,IF(CdTrp2!H81=2,2,IF(CdTrp2!H81=3,2,0)))</f>
        <v>0</v>
      </c>
      <c r="CI53" s="173">
        <f>IF(CdTrp2!I81=1,1,IF(CdTrp2!I81=2,2,IF(CdTrp2!I81=3,2,0)))</f>
        <v>0</v>
      </c>
      <c r="CJ53" s="173">
        <f>IF(CdTrp2!J81=1,1,IF(CdTrp2!J81=2,2,IF(CdTrp2!J81=3,2,0)))</f>
        <v>0</v>
      </c>
      <c r="CK53" s="173">
        <f>IF(CdTrp2!K81=1,1,IF(CdTrp2!K81=2,2,IF(CdTrp2!K81=3,2,0)))</f>
        <v>0</v>
      </c>
      <c r="CL53" s="173">
        <f>IF(CdTrp2!L81=1,1,IF(CdTrp2!L81=2,2,IF(CdTrp2!L81=3,2,0)))</f>
        <v>0</v>
      </c>
      <c r="CM53" s="173">
        <f>IF(CdTrp2!M81=1,1,IF(CdTrp2!M81=2,2,IF(CdTrp2!M81=3,2,0)))</f>
        <v>0</v>
      </c>
      <c r="CN53" s="173">
        <f>IF(CdTrp2!N81=1,1,IF(CdTrp2!N81=2,2,IF(CdTrp2!N81=3,2,0)))</f>
        <v>0</v>
      </c>
      <c r="CO53" s="173">
        <f>IF(CdTrp2!O81=1,1,IF(CdTrp2!O81=2,2,IF(CdTrp2!O81=3,2,0)))</f>
        <v>0</v>
      </c>
      <c r="CP53" s="173">
        <f>IF(CdTrp2!P81=1,1,IF(CdTrp2!P81=2,2,IF(CdTrp2!P81=3,2,0)))</f>
        <v>0</v>
      </c>
      <c r="CQ53" s="173">
        <f>IF(CdTrp2!Q81=1,1,IF(CdTrp2!Q81=2,2,IF(CdTrp2!Q81=3,2,0)))</f>
        <v>0</v>
      </c>
      <c r="CR53" s="173">
        <f>IF(CdTrp2!R81=1,1,IF(CdTrp2!R81=2,2,IF(CdTrp2!R81=3,2,0)))</f>
        <v>0</v>
      </c>
      <c r="CS53" s="173">
        <f>IF(CdTrp2!S81=1,1,IF(CdTrp2!S81=2,2,IF(CdTrp2!S81=3,2,0)))</f>
        <v>0</v>
      </c>
      <c r="CT53" s="173">
        <f>IF(CdTrp2!T81=1,1,IF(CdTrp2!T81=2,2,IF(CdTrp2!T81=3,2,0)))</f>
        <v>0</v>
      </c>
      <c r="CU53" s="173">
        <f>IF(CdTrp2!U81=1,1,IF(CdTrp2!U81=2,2,IF(CdTrp2!U81=3,2,0)))</f>
        <v>0</v>
      </c>
      <c r="CV53" s="173">
        <f>IF(CdTrp2!V81=1,1,IF(CdTrp2!V81=2,2,IF(CdTrp2!V81=3,2,0)))</f>
        <v>0</v>
      </c>
      <c r="CW53" s="173">
        <f>IF(CdTrp2!W81=1,1,IF(CdTrp2!W81=2,2,IF(CdTrp2!W81=3,2,0)))</f>
        <v>0</v>
      </c>
      <c r="CX53" s="173">
        <f>IF(CdTrp2!X81=1,1,IF(CdTrp2!X81=2,2,IF(CdTrp2!X81=3,2,0)))</f>
        <v>0</v>
      </c>
      <c r="CY53" s="173">
        <f>IF(CdTrp2!Y81=1,1,IF(CdTrp2!Y81=2,2,IF(CdTrp2!Y81=3,2,0)))</f>
        <v>0</v>
      </c>
      <c r="DC53" s="189" t="str">
        <f t="shared" si="30"/>
        <v>lot6</v>
      </c>
      <c r="DD53" s="32"/>
      <c r="DE53" s="173">
        <f>IF(CdTrp3!B81=1,1,IF(CdTrp3!B81=2,2,IF(CdTrp3!B81=3,2,0)))</f>
        <v>0</v>
      </c>
      <c r="DF53" s="173">
        <f>IF(CdTrp3!C81=1,1,IF(CdTrp3!C81=2,2,IF(CdTrp3!C81=3,2,0)))</f>
        <v>0</v>
      </c>
      <c r="DG53" s="173">
        <f>IF(CdTrp3!D81=1,1,IF(CdTrp3!D81=2,2,IF(CdTrp3!D81=3,2,0)))</f>
        <v>0</v>
      </c>
      <c r="DH53" s="173">
        <f>IF(CdTrp3!E81=1,1,IF(CdTrp3!E81=2,2,IF(CdTrp3!E81=3,2,0)))</f>
        <v>0</v>
      </c>
      <c r="DI53" s="173">
        <f>IF(CdTrp3!F81=1,1,IF(CdTrp3!F81=2,2,IF(CdTrp3!F81=3,2,0)))</f>
        <v>0</v>
      </c>
      <c r="DJ53" s="173">
        <f>IF(CdTrp3!G81=1,1,IF(CdTrp3!G81=2,2,IF(CdTrp3!G81=3,2,0)))</f>
        <v>0</v>
      </c>
      <c r="DK53" s="173">
        <f>IF(CdTrp3!H81=1,1,IF(CdTrp3!H81=2,2,IF(CdTrp3!H81=3,2,0)))</f>
        <v>0</v>
      </c>
      <c r="DL53" s="173">
        <f>IF(CdTrp3!I81=1,1,IF(CdTrp3!I81=2,2,IF(CdTrp3!I81=3,2,0)))</f>
        <v>0</v>
      </c>
      <c r="DM53" s="173">
        <f>IF(CdTrp3!J81=1,1,IF(CdTrp3!J81=2,2,IF(CdTrp3!J81=3,2,0)))</f>
        <v>0</v>
      </c>
      <c r="DN53" s="173">
        <f>IF(CdTrp3!K81=1,1,IF(CdTrp3!K81=2,2,IF(CdTrp3!K81=3,2,0)))</f>
        <v>0</v>
      </c>
      <c r="DO53" s="173">
        <f>IF(CdTrp3!L81=1,1,IF(CdTrp3!L81=2,2,IF(CdTrp3!L81=3,2,0)))</f>
        <v>0</v>
      </c>
      <c r="DP53" s="173">
        <f>IF(CdTrp3!M81=1,1,IF(CdTrp3!M81=2,2,IF(CdTrp3!M81=3,2,0)))</f>
        <v>0</v>
      </c>
      <c r="DQ53" s="173">
        <f>IF(CdTrp3!N81=1,1,IF(CdTrp3!N81=2,2,IF(CdTrp3!N81=3,2,0)))</f>
        <v>0</v>
      </c>
      <c r="DR53" s="173">
        <f>IF(CdTrp3!O81=1,1,IF(CdTrp3!O81=2,2,IF(CdTrp3!O81=3,2,0)))</f>
        <v>0</v>
      </c>
      <c r="DS53" s="173">
        <f>IF(CdTrp3!P81=1,1,IF(CdTrp3!P81=2,2,IF(CdTrp3!P81=3,2,0)))</f>
        <v>0</v>
      </c>
      <c r="DT53" s="173">
        <f>IF(CdTrp3!Q81=1,1,IF(CdTrp3!Q81=2,2,IF(CdTrp3!Q81=3,2,0)))</f>
        <v>0</v>
      </c>
      <c r="DU53" s="173">
        <f>IF(CdTrp3!R81=1,1,IF(CdTrp3!R81=2,2,IF(CdTrp3!R81=3,2,0)))</f>
        <v>0</v>
      </c>
      <c r="DV53" s="173">
        <f>IF(CdTrp3!S81=1,1,IF(CdTrp3!S81=2,2,IF(CdTrp3!S81=3,2,0)))</f>
        <v>0</v>
      </c>
      <c r="DW53" s="173">
        <f>IF(CdTrp3!T81=1,1,IF(CdTrp3!T81=2,2,IF(CdTrp3!T81=3,2,0)))</f>
        <v>0</v>
      </c>
      <c r="DX53" s="173">
        <f>IF(CdTrp3!U81=1,1,IF(CdTrp3!U81=2,2,IF(CdTrp3!U81=3,2,0)))</f>
        <v>0</v>
      </c>
      <c r="DY53" s="173">
        <f>IF(CdTrp3!V81=1,1,IF(CdTrp3!V81=2,2,IF(CdTrp3!V81=3,2,0)))</f>
        <v>0</v>
      </c>
      <c r="DZ53" s="173">
        <f>IF(CdTrp3!W81=1,1,IF(CdTrp3!W81=2,2,IF(CdTrp3!W81=3,2,0)))</f>
        <v>0</v>
      </c>
      <c r="EA53" s="173">
        <f>IF(CdTrp3!X81=1,1,IF(CdTrp3!X81=2,2,IF(CdTrp3!X81=3,2,0)))</f>
        <v>0</v>
      </c>
      <c r="EB53" s="173">
        <f>IF(CdTrp3!Y81=1,1,IF(CdTrp3!Y81=2,2,IF(CdTrp3!Y81=3,2,0)))</f>
        <v>0</v>
      </c>
    </row>
    <row r="54" spans="1:132" x14ac:dyDescent="0.25">
      <c r="A54" s="5" t="s">
        <v>789</v>
      </c>
      <c r="B54" s="173">
        <f>SUM(Scénario!K40:K42)</f>
        <v>28</v>
      </c>
      <c r="C54" s="190">
        <f>IF(B54&gt;[1]Trav!E119,[1]Trav!C119,[1]Trav!B119)</f>
        <v>1.4</v>
      </c>
      <c r="D54"/>
      <c r="E54" s="172"/>
      <c r="F54" s="173">
        <f t="shared" si="32"/>
        <v>39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8" t="s">
        <v>747</v>
      </c>
      <c r="AT54" s="189" t="str">
        <f t="shared" si="31"/>
        <v>lot7</v>
      </c>
      <c r="AU54" s="32"/>
      <c r="AV54" s="173">
        <f>IF(CdTrp1!B82=1,1,IF(CdTrp1!B82=2,2,IF(CdTrp1!B82=3,2,0)))</f>
        <v>0</v>
      </c>
      <c r="AW54" s="173">
        <f>IF(CdTrp1!C82=1,1,IF(CdTrp1!C82=2,2,IF(CdTrp1!C82=3,2,0)))</f>
        <v>0</v>
      </c>
      <c r="AX54" s="173">
        <f>IF(CdTrp1!D82=1,1,IF(CdTrp1!D82=2,2,IF(CdTrp1!D82=3,2,0)))</f>
        <v>0</v>
      </c>
      <c r="AY54" s="173">
        <f>IF(CdTrp1!E82=1,1,IF(CdTrp1!E82=2,2,IF(CdTrp1!E82=3,2,0)))</f>
        <v>0</v>
      </c>
      <c r="AZ54" s="173">
        <f>IF(CdTrp1!F82=1,1,IF(CdTrp1!F82=2,2,IF(CdTrp1!F82=3,2,0)))</f>
        <v>0</v>
      </c>
      <c r="BA54" s="173">
        <f>IF(CdTrp1!G82=1,1,IF(CdTrp1!G82=2,2,IF(CdTrp1!G82=3,2,0)))</f>
        <v>0</v>
      </c>
      <c r="BB54" s="173">
        <f>IF(CdTrp1!H82=1,1,IF(CdTrp1!H82=2,2,IF(CdTrp1!H82=3,2,0)))</f>
        <v>0</v>
      </c>
      <c r="BC54" s="173">
        <f>IF(CdTrp1!I82=1,1,IF(CdTrp1!I82=2,2,IF(CdTrp1!I82=3,2,0)))</f>
        <v>0</v>
      </c>
      <c r="BD54" s="173">
        <f>IF(CdTrp1!J82=1,1,IF(CdTrp1!J82=2,2,IF(CdTrp1!J82=3,2,0)))</f>
        <v>0</v>
      </c>
      <c r="BE54" s="173">
        <f>IF(CdTrp1!K82=1,1,IF(CdTrp1!K82=2,2,IF(CdTrp1!K82=3,2,0)))</f>
        <v>0</v>
      </c>
      <c r="BF54" s="173">
        <f>IF(CdTrp1!L82=1,1,IF(CdTrp1!L82=2,2,IF(CdTrp1!L82=3,2,0)))</f>
        <v>0</v>
      </c>
      <c r="BG54" s="173">
        <f>IF(CdTrp1!M82=1,1,IF(CdTrp1!M82=2,2,IF(CdTrp1!M82=3,2,0)))</f>
        <v>0</v>
      </c>
      <c r="BH54" s="173">
        <f>IF(CdTrp1!N82=1,1,IF(CdTrp1!N82=2,2,IF(CdTrp1!N82=3,2,0)))</f>
        <v>0</v>
      </c>
      <c r="BI54" s="173">
        <f>IF(CdTrp1!O82=1,1,IF(CdTrp1!O82=2,2,IF(CdTrp1!O82=3,2,0)))</f>
        <v>0</v>
      </c>
      <c r="BJ54" s="173">
        <f>IF(CdTrp1!P82=1,1,IF(CdTrp1!P82=2,2,IF(CdTrp1!P82=3,2,0)))</f>
        <v>0</v>
      </c>
      <c r="BK54" s="173">
        <f>IF(CdTrp1!Q82=1,1,IF(CdTrp1!Q82=2,2,IF(CdTrp1!Q82=3,2,0)))</f>
        <v>0</v>
      </c>
      <c r="BL54" s="173">
        <f>IF(CdTrp1!R82=1,1,IF(CdTrp1!R82=2,2,IF(CdTrp1!R82=3,2,0)))</f>
        <v>0</v>
      </c>
      <c r="BM54" s="173">
        <f>IF(CdTrp1!S82=1,1,IF(CdTrp1!S82=2,2,IF(CdTrp1!S82=3,2,0)))</f>
        <v>0</v>
      </c>
      <c r="BN54" s="173">
        <f>IF(CdTrp1!T82=1,1,IF(CdTrp1!T82=2,2,IF(CdTrp1!T82=3,2,0)))</f>
        <v>0</v>
      </c>
      <c r="BO54" s="173">
        <f>IF(CdTrp1!U82=1,1,IF(CdTrp1!U82=2,2,IF(CdTrp1!U82=3,2,0)))</f>
        <v>0</v>
      </c>
      <c r="BP54" s="173">
        <f>IF(CdTrp1!V82=1,1,IF(CdTrp1!V82=2,2,IF(CdTrp1!V82=3,2,0)))</f>
        <v>0</v>
      </c>
      <c r="BQ54" s="173">
        <f>IF(CdTrp1!W82=1,1,IF(CdTrp1!W82=2,2,IF(CdTrp1!W82=3,2,0)))</f>
        <v>0</v>
      </c>
      <c r="BR54" s="173">
        <f>IF(CdTrp1!X82=1,1,IF(CdTrp1!X82=2,2,IF(CdTrp1!X82=3,2,0)))</f>
        <v>0</v>
      </c>
      <c r="BS54" s="173">
        <f>IF(CdTrp1!Y82=1,1,IF(CdTrp1!Y82=2,2,IF(CdTrp1!Y82=3,2,0)))</f>
        <v>0</v>
      </c>
      <c r="BZ54" s="189" t="str">
        <f t="shared" si="29"/>
        <v>lot7</v>
      </c>
      <c r="CA54" s="32"/>
      <c r="CB54" s="173">
        <f>IF(CdTrp2!B82=1,1,IF(CdTrp2!B82=2,2,IF(CdTrp2!B82=3,2,0)))</f>
        <v>0</v>
      </c>
      <c r="CC54" s="173">
        <f>IF(CdTrp2!C82=1,1,IF(CdTrp2!C82=2,2,IF(CdTrp2!C82=3,2,0)))</f>
        <v>0</v>
      </c>
      <c r="CD54" s="173">
        <f>IF(CdTrp2!D82=1,1,IF(CdTrp2!D82=2,2,IF(CdTrp2!D82=3,2,0)))</f>
        <v>0</v>
      </c>
      <c r="CE54" s="173">
        <f>IF(CdTrp2!E82=1,1,IF(CdTrp2!E82=2,2,IF(CdTrp2!E82=3,2,0)))</f>
        <v>0</v>
      </c>
      <c r="CF54" s="173">
        <f>IF(CdTrp2!F82=1,1,IF(CdTrp2!F82=2,2,IF(CdTrp2!F82=3,2,0)))</f>
        <v>0</v>
      </c>
      <c r="CG54" s="173">
        <f>IF(CdTrp2!G82=1,1,IF(CdTrp2!G82=2,2,IF(CdTrp2!G82=3,2,0)))</f>
        <v>0</v>
      </c>
      <c r="CH54" s="173">
        <f>IF(CdTrp2!H82=1,1,IF(CdTrp2!H82=2,2,IF(CdTrp2!H82=3,2,0)))</f>
        <v>0</v>
      </c>
      <c r="CI54" s="173">
        <f>IF(CdTrp2!I82=1,1,IF(CdTrp2!I82=2,2,IF(CdTrp2!I82=3,2,0)))</f>
        <v>0</v>
      </c>
      <c r="CJ54" s="173">
        <f>IF(CdTrp2!J82=1,1,IF(CdTrp2!J82=2,2,IF(CdTrp2!J82=3,2,0)))</f>
        <v>0</v>
      </c>
      <c r="CK54" s="173">
        <f>IF(CdTrp2!K82=1,1,IF(CdTrp2!K82=2,2,IF(CdTrp2!K82=3,2,0)))</f>
        <v>0</v>
      </c>
      <c r="CL54" s="173">
        <f>IF(CdTrp2!L82=1,1,IF(CdTrp2!L82=2,2,IF(CdTrp2!L82=3,2,0)))</f>
        <v>0</v>
      </c>
      <c r="CM54" s="173">
        <f>IF(CdTrp2!M82=1,1,IF(CdTrp2!M82=2,2,IF(CdTrp2!M82=3,2,0)))</f>
        <v>0</v>
      </c>
      <c r="CN54" s="173">
        <f>IF(CdTrp2!N82=1,1,IF(CdTrp2!N82=2,2,IF(CdTrp2!N82=3,2,0)))</f>
        <v>0</v>
      </c>
      <c r="CO54" s="173">
        <f>IF(CdTrp2!O82=1,1,IF(CdTrp2!O82=2,2,IF(CdTrp2!O82=3,2,0)))</f>
        <v>0</v>
      </c>
      <c r="CP54" s="173">
        <f>IF(CdTrp2!P82=1,1,IF(CdTrp2!P82=2,2,IF(CdTrp2!P82=3,2,0)))</f>
        <v>0</v>
      </c>
      <c r="CQ54" s="173">
        <f>IF(CdTrp2!Q82=1,1,IF(CdTrp2!Q82=2,2,IF(CdTrp2!Q82=3,2,0)))</f>
        <v>0</v>
      </c>
      <c r="CR54" s="173">
        <f>IF(CdTrp2!R82=1,1,IF(CdTrp2!R82=2,2,IF(CdTrp2!R82=3,2,0)))</f>
        <v>0</v>
      </c>
      <c r="CS54" s="173">
        <f>IF(CdTrp2!S82=1,1,IF(CdTrp2!S82=2,2,IF(CdTrp2!S82=3,2,0)))</f>
        <v>0</v>
      </c>
      <c r="CT54" s="173">
        <f>IF(CdTrp2!T82=1,1,IF(CdTrp2!T82=2,2,IF(CdTrp2!T82=3,2,0)))</f>
        <v>0</v>
      </c>
      <c r="CU54" s="173">
        <f>IF(CdTrp2!U82=1,1,IF(CdTrp2!U82=2,2,IF(CdTrp2!U82=3,2,0)))</f>
        <v>0</v>
      </c>
      <c r="CV54" s="173">
        <f>IF(CdTrp2!V82=1,1,IF(CdTrp2!V82=2,2,IF(CdTrp2!V82=3,2,0)))</f>
        <v>0</v>
      </c>
      <c r="CW54" s="173">
        <f>IF(CdTrp2!W82=1,1,IF(CdTrp2!W82=2,2,IF(CdTrp2!W82=3,2,0)))</f>
        <v>0</v>
      </c>
      <c r="CX54" s="173">
        <f>IF(CdTrp2!X82=1,1,IF(CdTrp2!X82=2,2,IF(CdTrp2!X82=3,2,0)))</f>
        <v>0</v>
      </c>
      <c r="CY54" s="173">
        <f>IF(CdTrp2!Y82=1,1,IF(CdTrp2!Y82=2,2,IF(CdTrp2!Y82=3,2,0)))</f>
        <v>0</v>
      </c>
      <c r="DC54" s="189" t="str">
        <f t="shared" si="30"/>
        <v>lot7</v>
      </c>
      <c r="DD54" s="32"/>
      <c r="DE54" s="173">
        <f>IF(CdTrp3!B82=1,1,IF(CdTrp3!B82=2,2,IF(CdTrp3!B82=3,2,0)))</f>
        <v>0</v>
      </c>
      <c r="DF54" s="173">
        <f>IF(CdTrp3!C82=1,1,IF(CdTrp3!C82=2,2,IF(CdTrp3!C82=3,2,0)))</f>
        <v>0</v>
      </c>
      <c r="DG54" s="173">
        <f>IF(CdTrp3!D82=1,1,IF(CdTrp3!D82=2,2,IF(CdTrp3!D82=3,2,0)))</f>
        <v>0</v>
      </c>
      <c r="DH54" s="173">
        <f>IF(CdTrp3!E82=1,1,IF(CdTrp3!E82=2,2,IF(CdTrp3!E82=3,2,0)))</f>
        <v>0</v>
      </c>
      <c r="DI54" s="173">
        <f>IF(CdTrp3!F82=1,1,IF(CdTrp3!F82=2,2,IF(CdTrp3!F82=3,2,0)))</f>
        <v>0</v>
      </c>
      <c r="DJ54" s="173">
        <f>IF(CdTrp3!G82=1,1,IF(CdTrp3!G82=2,2,IF(CdTrp3!G82=3,2,0)))</f>
        <v>0</v>
      </c>
      <c r="DK54" s="173">
        <f>IF(CdTrp3!H82=1,1,IF(CdTrp3!H82=2,2,IF(CdTrp3!H82=3,2,0)))</f>
        <v>0</v>
      </c>
      <c r="DL54" s="173">
        <f>IF(CdTrp3!I82=1,1,IF(CdTrp3!I82=2,2,IF(CdTrp3!I82=3,2,0)))</f>
        <v>0</v>
      </c>
      <c r="DM54" s="173">
        <f>IF(CdTrp3!J82=1,1,IF(CdTrp3!J82=2,2,IF(CdTrp3!J82=3,2,0)))</f>
        <v>0</v>
      </c>
      <c r="DN54" s="173">
        <f>IF(CdTrp3!K82=1,1,IF(CdTrp3!K82=2,2,IF(CdTrp3!K82=3,2,0)))</f>
        <v>0</v>
      </c>
      <c r="DO54" s="173">
        <f>IF(CdTrp3!L82=1,1,IF(CdTrp3!L82=2,2,IF(CdTrp3!L82=3,2,0)))</f>
        <v>0</v>
      </c>
      <c r="DP54" s="173">
        <f>IF(CdTrp3!M82=1,1,IF(CdTrp3!M82=2,2,IF(CdTrp3!M82=3,2,0)))</f>
        <v>0</v>
      </c>
      <c r="DQ54" s="173">
        <f>IF(CdTrp3!N82=1,1,IF(CdTrp3!N82=2,2,IF(CdTrp3!N82=3,2,0)))</f>
        <v>0</v>
      </c>
      <c r="DR54" s="173">
        <f>IF(CdTrp3!O82=1,1,IF(CdTrp3!O82=2,2,IF(CdTrp3!O82=3,2,0)))</f>
        <v>0</v>
      </c>
      <c r="DS54" s="173">
        <f>IF(CdTrp3!P82=1,1,IF(CdTrp3!P82=2,2,IF(CdTrp3!P82=3,2,0)))</f>
        <v>0</v>
      </c>
      <c r="DT54" s="173">
        <f>IF(CdTrp3!Q82=1,1,IF(CdTrp3!Q82=2,2,IF(CdTrp3!Q82=3,2,0)))</f>
        <v>0</v>
      </c>
      <c r="DU54" s="173">
        <f>IF(CdTrp3!R82=1,1,IF(CdTrp3!R82=2,2,IF(CdTrp3!R82=3,2,0)))</f>
        <v>0</v>
      </c>
      <c r="DV54" s="173">
        <f>IF(CdTrp3!S82=1,1,IF(CdTrp3!S82=2,2,IF(CdTrp3!S82=3,2,0)))</f>
        <v>0</v>
      </c>
      <c r="DW54" s="173">
        <f>IF(CdTrp3!T82=1,1,IF(CdTrp3!T82=2,2,IF(CdTrp3!T82=3,2,0)))</f>
        <v>0</v>
      </c>
      <c r="DX54" s="173">
        <f>IF(CdTrp3!U82=1,1,IF(CdTrp3!U82=2,2,IF(CdTrp3!U82=3,2,0)))</f>
        <v>0</v>
      </c>
      <c r="DY54" s="173">
        <f>IF(CdTrp3!V82=1,1,IF(CdTrp3!V82=2,2,IF(CdTrp3!V82=3,2,0)))</f>
        <v>0</v>
      </c>
      <c r="DZ54" s="173">
        <f>IF(CdTrp3!W82=1,1,IF(CdTrp3!W82=2,2,IF(CdTrp3!W82=3,2,0)))</f>
        <v>0</v>
      </c>
      <c r="EA54" s="173">
        <f>IF(CdTrp3!X82=1,1,IF(CdTrp3!X82=2,2,IF(CdTrp3!X82=3,2,0)))</f>
        <v>0</v>
      </c>
      <c r="EB54" s="173">
        <f>IF(CdTrp3!Y82=1,1,IF(CdTrp3!Y82=2,2,IF(CdTrp3!Y82=3,2,0)))</f>
        <v>0</v>
      </c>
    </row>
    <row r="55" spans="1:132" x14ac:dyDescent="0.25">
      <c r="A55" s="5" t="s">
        <v>790</v>
      </c>
      <c r="B55" s="173">
        <f>Scénario!M28*(1-Scénario!K31/100)</f>
        <v>17.37</v>
      </c>
      <c r="C55" s="190">
        <f>IF(B55&gt;[1]Trav!E121,[1]Trav!C121,[1]Trav!B121)</f>
        <v>7.2</v>
      </c>
      <c r="D55"/>
      <c r="E55" s="172"/>
      <c r="F55" s="173">
        <f t="shared" si="32"/>
        <v>125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8" t="s">
        <v>747</v>
      </c>
      <c r="AT55" s="189" t="str">
        <f t="shared" si="31"/>
        <v>lot8</v>
      </c>
      <c r="AU55" s="32"/>
      <c r="AV55" s="173">
        <f>IF(CdTrp1!B83=1,1,IF(CdTrp1!B83=2,2,IF(CdTrp1!B83=3,2,0)))</f>
        <v>0</v>
      </c>
      <c r="AW55" s="173">
        <f>IF(CdTrp1!C83=1,1,IF(CdTrp1!C83=2,2,IF(CdTrp1!C83=3,2,0)))</f>
        <v>0</v>
      </c>
      <c r="AX55" s="173">
        <f>IF(CdTrp1!D83=1,1,IF(CdTrp1!D83=2,2,IF(CdTrp1!D83=3,2,0)))</f>
        <v>0</v>
      </c>
      <c r="AY55" s="173">
        <f>IF(CdTrp1!E83=1,1,IF(CdTrp1!E83=2,2,IF(CdTrp1!E83=3,2,0)))</f>
        <v>0</v>
      </c>
      <c r="AZ55" s="173">
        <f>IF(CdTrp1!F83=1,1,IF(CdTrp1!F83=2,2,IF(CdTrp1!F83=3,2,0)))</f>
        <v>0</v>
      </c>
      <c r="BA55" s="173">
        <f>IF(CdTrp1!G83=1,1,IF(CdTrp1!G83=2,2,IF(CdTrp1!G83=3,2,0)))</f>
        <v>0</v>
      </c>
      <c r="BB55" s="173">
        <f>IF(CdTrp1!H83=1,1,IF(CdTrp1!H83=2,2,IF(CdTrp1!H83=3,2,0)))</f>
        <v>0</v>
      </c>
      <c r="BC55" s="173">
        <f>IF(CdTrp1!I83=1,1,IF(CdTrp1!I83=2,2,IF(CdTrp1!I83=3,2,0)))</f>
        <v>0</v>
      </c>
      <c r="BD55" s="173">
        <f>IF(CdTrp1!J83=1,1,IF(CdTrp1!J83=2,2,IF(CdTrp1!J83=3,2,0)))</f>
        <v>0</v>
      </c>
      <c r="BE55" s="173">
        <f>IF(CdTrp1!K83=1,1,IF(CdTrp1!K83=2,2,IF(CdTrp1!K83=3,2,0)))</f>
        <v>0</v>
      </c>
      <c r="BF55" s="173">
        <f>IF(CdTrp1!L83=1,1,IF(CdTrp1!L83=2,2,IF(CdTrp1!L83=3,2,0)))</f>
        <v>0</v>
      </c>
      <c r="BG55" s="173">
        <f>IF(CdTrp1!M83=1,1,IF(CdTrp1!M83=2,2,IF(CdTrp1!M83=3,2,0)))</f>
        <v>0</v>
      </c>
      <c r="BH55" s="173">
        <f>IF(CdTrp1!N83=1,1,IF(CdTrp1!N83=2,2,IF(CdTrp1!N83=3,2,0)))</f>
        <v>0</v>
      </c>
      <c r="BI55" s="173">
        <f>IF(CdTrp1!O83=1,1,IF(CdTrp1!O83=2,2,IF(CdTrp1!O83=3,2,0)))</f>
        <v>0</v>
      </c>
      <c r="BJ55" s="173">
        <f>IF(CdTrp1!P83=1,1,IF(CdTrp1!P83=2,2,IF(CdTrp1!P83=3,2,0)))</f>
        <v>0</v>
      </c>
      <c r="BK55" s="173">
        <f>IF(CdTrp1!Q83=1,1,IF(CdTrp1!Q83=2,2,IF(CdTrp1!Q83=3,2,0)))</f>
        <v>0</v>
      </c>
      <c r="BL55" s="173">
        <f>IF(CdTrp1!R83=1,1,IF(CdTrp1!R83=2,2,IF(CdTrp1!R83=3,2,0)))</f>
        <v>0</v>
      </c>
      <c r="BM55" s="173">
        <f>IF(CdTrp1!S83=1,1,IF(CdTrp1!S83=2,2,IF(CdTrp1!S83=3,2,0)))</f>
        <v>0</v>
      </c>
      <c r="BN55" s="173">
        <f>IF(CdTrp1!T83=1,1,IF(CdTrp1!T83=2,2,IF(CdTrp1!T83=3,2,0)))</f>
        <v>0</v>
      </c>
      <c r="BO55" s="173">
        <f>IF(CdTrp1!U83=1,1,IF(CdTrp1!U83=2,2,IF(CdTrp1!U83=3,2,0)))</f>
        <v>0</v>
      </c>
      <c r="BP55" s="173">
        <f>IF(CdTrp1!V83=1,1,IF(CdTrp1!V83=2,2,IF(CdTrp1!V83=3,2,0)))</f>
        <v>0</v>
      </c>
      <c r="BQ55" s="173">
        <f>IF(CdTrp1!W83=1,1,IF(CdTrp1!W83=2,2,IF(CdTrp1!W83=3,2,0)))</f>
        <v>0</v>
      </c>
      <c r="BR55" s="173">
        <f>IF(CdTrp1!X83=1,1,IF(CdTrp1!X83=2,2,IF(CdTrp1!X83=3,2,0)))</f>
        <v>0</v>
      </c>
      <c r="BS55" s="173">
        <f>IF(CdTrp1!Y83=1,1,IF(CdTrp1!Y83=2,2,IF(CdTrp1!Y83=3,2,0)))</f>
        <v>0</v>
      </c>
      <c r="BZ55" s="189" t="str">
        <f t="shared" si="29"/>
        <v>lot8</v>
      </c>
      <c r="CA55" s="32"/>
      <c r="CB55" s="173">
        <f>IF(CdTrp2!B83=1,1,IF(CdTrp2!B83=2,2,IF(CdTrp2!B83=3,2,0)))</f>
        <v>0</v>
      </c>
      <c r="CC55" s="173">
        <f>IF(CdTrp2!C83=1,1,IF(CdTrp2!C83=2,2,IF(CdTrp2!C83=3,2,0)))</f>
        <v>0</v>
      </c>
      <c r="CD55" s="173">
        <f>IF(CdTrp2!D83=1,1,IF(CdTrp2!D83=2,2,IF(CdTrp2!D83=3,2,0)))</f>
        <v>0</v>
      </c>
      <c r="CE55" s="173">
        <f>IF(CdTrp2!E83=1,1,IF(CdTrp2!E83=2,2,IF(CdTrp2!E83=3,2,0)))</f>
        <v>0</v>
      </c>
      <c r="CF55" s="173">
        <f>IF(CdTrp2!F83=1,1,IF(CdTrp2!F83=2,2,IF(CdTrp2!F83=3,2,0)))</f>
        <v>0</v>
      </c>
      <c r="CG55" s="173">
        <f>IF(CdTrp2!G83=1,1,IF(CdTrp2!G83=2,2,IF(CdTrp2!G83=3,2,0)))</f>
        <v>0</v>
      </c>
      <c r="CH55" s="173">
        <f>IF(CdTrp2!H83=1,1,IF(CdTrp2!H83=2,2,IF(CdTrp2!H83=3,2,0)))</f>
        <v>0</v>
      </c>
      <c r="CI55" s="173">
        <f>IF(CdTrp2!I83=1,1,IF(CdTrp2!I83=2,2,IF(CdTrp2!I83=3,2,0)))</f>
        <v>0</v>
      </c>
      <c r="CJ55" s="173">
        <f>IF(CdTrp2!J83=1,1,IF(CdTrp2!J83=2,2,IF(CdTrp2!J83=3,2,0)))</f>
        <v>0</v>
      </c>
      <c r="CK55" s="173">
        <f>IF(CdTrp2!K83=1,1,IF(CdTrp2!K83=2,2,IF(CdTrp2!K83=3,2,0)))</f>
        <v>0</v>
      </c>
      <c r="CL55" s="173">
        <f>IF(CdTrp2!L83=1,1,IF(CdTrp2!L83=2,2,IF(CdTrp2!L83=3,2,0)))</f>
        <v>0</v>
      </c>
      <c r="CM55" s="173">
        <f>IF(CdTrp2!M83=1,1,IF(CdTrp2!M83=2,2,IF(CdTrp2!M83=3,2,0)))</f>
        <v>0</v>
      </c>
      <c r="CN55" s="173">
        <f>IF(CdTrp2!N83=1,1,IF(CdTrp2!N83=2,2,IF(CdTrp2!N83=3,2,0)))</f>
        <v>0</v>
      </c>
      <c r="CO55" s="173">
        <f>IF(CdTrp2!O83=1,1,IF(CdTrp2!O83=2,2,IF(CdTrp2!O83=3,2,0)))</f>
        <v>0</v>
      </c>
      <c r="CP55" s="173">
        <f>IF(CdTrp2!P83=1,1,IF(CdTrp2!P83=2,2,IF(CdTrp2!P83=3,2,0)))</f>
        <v>0</v>
      </c>
      <c r="CQ55" s="173">
        <f>IF(CdTrp2!Q83=1,1,IF(CdTrp2!Q83=2,2,IF(CdTrp2!Q83=3,2,0)))</f>
        <v>0</v>
      </c>
      <c r="CR55" s="173">
        <f>IF(CdTrp2!R83=1,1,IF(CdTrp2!R83=2,2,IF(CdTrp2!R83=3,2,0)))</f>
        <v>0</v>
      </c>
      <c r="CS55" s="173">
        <f>IF(CdTrp2!S83=1,1,IF(CdTrp2!S83=2,2,IF(CdTrp2!S83=3,2,0)))</f>
        <v>0</v>
      </c>
      <c r="CT55" s="173">
        <f>IF(CdTrp2!T83=1,1,IF(CdTrp2!T83=2,2,IF(CdTrp2!T83=3,2,0)))</f>
        <v>0</v>
      </c>
      <c r="CU55" s="173">
        <f>IF(CdTrp2!U83=1,1,IF(CdTrp2!U83=2,2,IF(CdTrp2!U83=3,2,0)))</f>
        <v>0</v>
      </c>
      <c r="CV55" s="173">
        <f>IF(CdTrp2!V83=1,1,IF(CdTrp2!V83=2,2,IF(CdTrp2!V83=3,2,0)))</f>
        <v>0</v>
      </c>
      <c r="CW55" s="173">
        <f>IF(CdTrp2!W83=1,1,IF(CdTrp2!W83=2,2,IF(CdTrp2!W83=3,2,0)))</f>
        <v>0</v>
      </c>
      <c r="CX55" s="173">
        <f>IF(CdTrp2!X83=1,1,IF(CdTrp2!X83=2,2,IF(CdTrp2!X83=3,2,0)))</f>
        <v>0</v>
      </c>
      <c r="CY55" s="173">
        <f>IF(CdTrp2!Y83=1,1,IF(CdTrp2!Y83=2,2,IF(CdTrp2!Y83=3,2,0)))</f>
        <v>0</v>
      </c>
      <c r="DC55" s="189" t="str">
        <f t="shared" si="30"/>
        <v>lot8</v>
      </c>
      <c r="DD55" s="32"/>
      <c r="DE55" s="173">
        <f>IF(CdTrp3!B83=1,1,IF(CdTrp3!B83=2,2,IF(CdTrp3!B83=3,2,0)))</f>
        <v>0</v>
      </c>
      <c r="DF55" s="173">
        <f>IF(CdTrp3!C83=1,1,IF(CdTrp3!C83=2,2,IF(CdTrp3!C83=3,2,0)))</f>
        <v>0</v>
      </c>
      <c r="DG55" s="173">
        <f>IF(CdTrp3!D83=1,1,IF(CdTrp3!D83=2,2,IF(CdTrp3!D83=3,2,0)))</f>
        <v>0</v>
      </c>
      <c r="DH55" s="173">
        <f>IF(CdTrp3!E83=1,1,IF(CdTrp3!E83=2,2,IF(CdTrp3!E83=3,2,0)))</f>
        <v>0</v>
      </c>
      <c r="DI55" s="173">
        <f>IF(CdTrp3!F83=1,1,IF(CdTrp3!F83=2,2,IF(CdTrp3!F83=3,2,0)))</f>
        <v>0</v>
      </c>
      <c r="DJ55" s="173">
        <f>IF(CdTrp3!G83=1,1,IF(CdTrp3!G83=2,2,IF(CdTrp3!G83=3,2,0)))</f>
        <v>0</v>
      </c>
      <c r="DK55" s="173">
        <f>IF(CdTrp3!H83=1,1,IF(CdTrp3!H83=2,2,IF(CdTrp3!H83=3,2,0)))</f>
        <v>0</v>
      </c>
      <c r="DL55" s="173">
        <f>IF(CdTrp3!I83=1,1,IF(CdTrp3!I83=2,2,IF(CdTrp3!I83=3,2,0)))</f>
        <v>0</v>
      </c>
      <c r="DM55" s="173">
        <f>IF(CdTrp3!J83=1,1,IF(CdTrp3!J83=2,2,IF(CdTrp3!J83=3,2,0)))</f>
        <v>0</v>
      </c>
      <c r="DN55" s="173">
        <f>IF(CdTrp3!K83=1,1,IF(CdTrp3!K83=2,2,IF(CdTrp3!K83=3,2,0)))</f>
        <v>0</v>
      </c>
      <c r="DO55" s="173">
        <f>IF(CdTrp3!L83=1,1,IF(CdTrp3!L83=2,2,IF(CdTrp3!L83=3,2,0)))</f>
        <v>0</v>
      </c>
      <c r="DP55" s="173">
        <f>IF(CdTrp3!M83=1,1,IF(CdTrp3!M83=2,2,IF(CdTrp3!M83=3,2,0)))</f>
        <v>0</v>
      </c>
      <c r="DQ55" s="173">
        <f>IF(CdTrp3!N83=1,1,IF(CdTrp3!N83=2,2,IF(CdTrp3!N83=3,2,0)))</f>
        <v>0</v>
      </c>
      <c r="DR55" s="173">
        <f>IF(CdTrp3!O83=1,1,IF(CdTrp3!O83=2,2,IF(CdTrp3!O83=3,2,0)))</f>
        <v>0</v>
      </c>
      <c r="DS55" s="173">
        <f>IF(CdTrp3!P83=1,1,IF(CdTrp3!P83=2,2,IF(CdTrp3!P83=3,2,0)))</f>
        <v>0</v>
      </c>
      <c r="DT55" s="173">
        <f>IF(CdTrp3!Q83=1,1,IF(CdTrp3!Q83=2,2,IF(CdTrp3!Q83=3,2,0)))</f>
        <v>0</v>
      </c>
      <c r="DU55" s="173">
        <f>IF(CdTrp3!R83=1,1,IF(CdTrp3!R83=2,2,IF(CdTrp3!R83=3,2,0)))</f>
        <v>0</v>
      </c>
      <c r="DV55" s="173">
        <f>IF(CdTrp3!S83=1,1,IF(CdTrp3!S83=2,2,IF(CdTrp3!S83=3,2,0)))</f>
        <v>0</v>
      </c>
      <c r="DW55" s="173">
        <f>IF(CdTrp3!T83=1,1,IF(CdTrp3!T83=2,2,IF(CdTrp3!T83=3,2,0)))</f>
        <v>0</v>
      </c>
      <c r="DX55" s="173">
        <f>IF(CdTrp3!U83=1,1,IF(CdTrp3!U83=2,2,IF(CdTrp3!U83=3,2,0)))</f>
        <v>0</v>
      </c>
      <c r="DY55" s="173">
        <f>IF(CdTrp3!V83=1,1,IF(CdTrp3!V83=2,2,IF(CdTrp3!V83=3,2,0)))</f>
        <v>0</v>
      </c>
      <c r="DZ55" s="173">
        <f>IF(CdTrp3!W83=1,1,IF(CdTrp3!W83=2,2,IF(CdTrp3!W83=3,2,0)))</f>
        <v>0</v>
      </c>
      <c r="EA55" s="173">
        <f>IF(CdTrp3!X83=1,1,IF(CdTrp3!X83=2,2,IF(CdTrp3!X83=3,2,0)))</f>
        <v>0</v>
      </c>
      <c r="EB55" s="173">
        <f>IF(CdTrp3!Y83=1,1,IF(CdTrp3!Y83=2,2,IF(CdTrp3!Y83=3,2,0)))</f>
        <v>0</v>
      </c>
    </row>
    <row r="56" spans="1:132" x14ac:dyDescent="0.25">
      <c r="A56" s="5" t="s">
        <v>791</v>
      </c>
      <c r="B56" s="173">
        <f>Scénario!M29</f>
        <v>16</v>
      </c>
      <c r="C56" s="190">
        <f>IF(B56&gt;[1]Trav!E121,[1]Trav!C121,[1]Trav!B121)</f>
        <v>7.2</v>
      </c>
      <c r="D56"/>
      <c r="E56" s="172"/>
      <c r="F56" s="173">
        <f t="shared" si="32"/>
        <v>115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8" t="s">
        <v>747</v>
      </c>
      <c r="AT56" s="189" t="str">
        <f t="shared" si="31"/>
        <v>lot9</v>
      </c>
      <c r="AU56" s="32"/>
      <c r="AV56" s="173">
        <f>IF(CdTrp1!B84=1,1,IF(CdTrp1!B84=2,2,IF(CdTrp1!B84=3,2,0)))</f>
        <v>0</v>
      </c>
      <c r="AW56" s="173">
        <f>IF(CdTrp1!C84=1,1,IF(CdTrp1!C84=2,2,IF(CdTrp1!C84=3,2,0)))</f>
        <v>0</v>
      </c>
      <c r="AX56" s="173">
        <f>IF(CdTrp1!D84=1,1,IF(CdTrp1!D84=2,2,IF(CdTrp1!D84=3,2,0)))</f>
        <v>0</v>
      </c>
      <c r="AY56" s="173">
        <f>IF(CdTrp1!E84=1,1,IF(CdTrp1!E84=2,2,IF(CdTrp1!E84=3,2,0)))</f>
        <v>0</v>
      </c>
      <c r="AZ56" s="173">
        <f>IF(CdTrp1!F84=1,1,IF(CdTrp1!F84=2,2,IF(CdTrp1!F84=3,2,0)))</f>
        <v>0</v>
      </c>
      <c r="BA56" s="173">
        <f>IF(CdTrp1!G84=1,1,IF(CdTrp1!G84=2,2,IF(CdTrp1!G84=3,2,0)))</f>
        <v>0</v>
      </c>
      <c r="BB56" s="173">
        <f>IF(CdTrp1!H84=1,1,IF(CdTrp1!H84=2,2,IF(CdTrp1!H84=3,2,0)))</f>
        <v>0</v>
      </c>
      <c r="BC56" s="173">
        <f>IF(CdTrp1!I84=1,1,IF(CdTrp1!I84=2,2,IF(CdTrp1!I84=3,2,0)))</f>
        <v>0</v>
      </c>
      <c r="BD56" s="173">
        <f>IF(CdTrp1!J84=1,1,IF(CdTrp1!J84=2,2,IF(CdTrp1!J84=3,2,0)))</f>
        <v>0</v>
      </c>
      <c r="BE56" s="173">
        <f>IF(CdTrp1!K84=1,1,IF(CdTrp1!K84=2,2,IF(CdTrp1!K84=3,2,0)))</f>
        <v>0</v>
      </c>
      <c r="BF56" s="173">
        <f>IF(CdTrp1!L84=1,1,IF(CdTrp1!L84=2,2,IF(CdTrp1!L84=3,2,0)))</f>
        <v>0</v>
      </c>
      <c r="BG56" s="173">
        <f>IF(CdTrp1!M84=1,1,IF(CdTrp1!M84=2,2,IF(CdTrp1!M84=3,2,0)))</f>
        <v>0</v>
      </c>
      <c r="BH56" s="173">
        <f>IF(CdTrp1!N84=1,1,IF(CdTrp1!N84=2,2,IF(CdTrp1!N84=3,2,0)))</f>
        <v>0</v>
      </c>
      <c r="BI56" s="173">
        <f>IF(CdTrp1!O84=1,1,IF(CdTrp1!O84=2,2,IF(CdTrp1!O84=3,2,0)))</f>
        <v>0</v>
      </c>
      <c r="BJ56" s="173">
        <f>IF(CdTrp1!P84=1,1,IF(CdTrp1!P84=2,2,IF(CdTrp1!P84=3,2,0)))</f>
        <v>0</v>
      </c>
      <c r="BK56" s="173">
        <f>IF(CdTrp1!Q84=1,1,IF(CdTrp1!Q84=2,2,IF(CdTrp1!Q84=3,2,0)))</f>
        <v>0</v>
      </c>
      <c r="BL56" s="173">
        <f>IF(CdTrp1!R84=1,1,IF(CdTrp1!R84=2,2,IF(CdTrp1!R84=3,2,0)))</f>
        <v>0</v>
      </c>
      <c r="BM56" s="173">
        <f>IF(CdTrp1!S84=1,1,IF(CdTrp1!S84=2,2,IF(CdTrp1!S84=3,2,0)))</f>
        <v>0</v>
      </c>
      <c r="BN56" s="173">
        <f>IF(CdTrp1!T84=1,1,IF(CdTrp1!T84=2,2,IF(CdTrp1!T84=3,2,0)))</f>
        <v>0</v>
      </c>
      <c r="BO56" s="173">
        <f>IF(CdTrp1!U84=1,1,IF(CdTrp1!U84=2,2,IF(CdTrp1!U84=3,2,0)))</f>
        <v>0</v>
      </c>
      <c r="BP56" s="173">
        <f>IF(CdTrp1!V84=1,1,IF(CdTrp1!V84=2,2,IF(CdTrp1!V84=3,2,0)))</f>
        <v>0</v>
      </c>
      <c r="BQ56" s="173">
        <f>IF(CdTrp1!W84=1,1,IF(CdTrp1!W84=2,2,IF(CdTrp1!W84=3,2,0)))</f>
        <v>0</v>
      </c>
      <c r="BR56" s="173">
        <f>IF(CdTrp1!X84=1,1,IF(CdTrp1!X84=2,2,IF(CdTrp1!X84=3,2,0)))</f>
        <v>0</v>
      </c>
      <c r="BS56" s="173">
        <f>IF(CdTrp1!Y84=1,1,IF(CdTrp1!Y84=2,2,IF(CdTrp1!Y84=3,2,0)))</f>
        <v>0</v>
      </c>
      <c r="BZ56" s="189" t="str">
        <f t="shared" si="29"/>
        <v>lot9</v>
      </c>
      <c r="CA56" s="32"/>
      <c r="CB56" s="173">
        <f>IF(CdTrp2!B84=1,1,IF(CdTrp2!B84=2,2,IF(CdTrp2!B84=3,2,0)))</f>
        <v>0</v>
      </c>
      <c r="CC56" s="173">
        <f>IF(CdTrp2!C84=1,1,IF(CdTrp2!C84=2,2,IF(CdTrp2!C84=3,2,0)))</f>
        <v>0</v>
      </c>
      <c r="CD56" s="173">
        <f>IF(CdTrp2!D84=1,1,IF(CdTrp2!D84=2,2,IF(CdTrp2!D84=3,2,0)))</f>
        <v>0</v>
      </c>
      <c r="CE56" s="173">
        <f>IF(CdTrp2!E84=1,1,IF(CdTrp2!E84=2,2,IF(CdTrp2!E84=3,2,0)))</f>
        <v>0</v>
      </c>
      <c r="CF56" s="173">
        <f>IF(CdTrp2!F84=1,1,IF(CdTrp2!F84=2,2,IF(CdTrp2!F84=3,2,0)))</f>
        <v>0</v>
      </c>
      <c r="CG56" s="173">
        <f>IF(CdTrp2!G84=1,1,IF(CdTrp2!G84=2,2,IF(CdTrp2!G84=3,2,0)))</f>
        <v>0</v>
      </c>
      <c r="CH56" s="173">
        <f>IF(CdTrp2!H84=1,1,IF(CdTrp2!H84=2,2,IF(CdTrp2!H84=3,2,0)))</f>
        <v>0</v>
      </c>
      <c r="CI56" s="173">
        <f>IF(CdTrp2!I84=1,1,IF(CdTrp2!I84=2,2,IF(CdTrp2!I84=3,2,0)))</f>
        <v>0</v>
      </c>
      <c r="CJ56" s="173">
        <f>IF(CdTrp2!J84=1,1,IF(CdTrp2!J84=2,2,IF(CdTrp2!J84=3,2,0)))</f>
        <v>0</v>
      </c>
      <c r="CK56" s="173">
        <f>IF(CdTrp2!K84=1,1,IF(CdTrp2!K84=2,2,IF(CdTrp2!K84=3,2,0)))</f>
        <v>0</v>
      </c>
      <c r="CL56" s="173">
        <f>IF(CdTrp2!L84=1,1,IF(CdTrp2!L84=2,2,IF(CdTrp2!L84=3,2,0)))</f>
        <v>0</v>
      </c>
      <c r="CM56" s="173">
        <f>IF(CdTrp2!M84=1,1,IF(CdTrp2!M84=2,2,IF(CdTrp2!M84=3,2,0)))</f>
        <v>0</v>
      </c>
      <c r="CN56" s="173">
        <f>IF(CdTrp2!N84=1,1,IF(CdTrp2!N84=2,2,IF(CdTrp2!N84=3,2,0)))</f>
        <v>0</v>
      </c>
      <c r="CO56" s="173">
        <f>IF(CdTrp2!O84=1,1,IF(CdTrp2!O84=2,2,IF(CdTrp2!O84=3,2,0)))</f>
        <v>0</v>
      </c>
      <c r="CP56" s="173">
        <f>IF(CdTrp2!P84=1,1,IF(CdTrp2!P84=2,2,IF(CdTrp2!P84=3,2,0)))</f>
        <v>0</v>
      </c>
      <c r="CQ56" s="173">
        <f>IF(CdTrp2!Q84=1,1,IF(CdTrp2!Q84=2,2,IF(CdTrp2!Q84=3,2,0)))</f>
        <v>0</v>
      </c>
      <c r="CR56" s="173">
        <f>IF(CdTrp2!R84=1,1,IF(CdTrp2!R84=2,2,IF(CdTrp2!R84=3,2,0)))</f>
        <v>0</v>
      </c>
      <c r="CS56" s="173">
        <f>IF(CdTrp2!S84=1,1,IF(CdTrp2!S84=2,2,IF(CdTrp2!S84=3,2,0)))</f>
        <v>0</v>
      </c>
      <c r="CT56" s="173">
        <f>IF(CdTrp2!T84=1,1,IF(CdTrp2!T84=2,2,IF(CdTrp2!T84=3,2,0)))</f>
        <v>0</v>
      </c>
      <c r="CU56" s="173">
        <f>IF(CdTrp2!U84=1,1,IF(CdTrp2!U84=2,2,IF(CdTrp2!U84=3,2,0)))</f>
        <v>0</v>
      </c>
      <c r="CV56" s="173">
        <f>IF(CdTrp2!V84=1,1,IF(CdTrp2!V84=2,2,IF(CdTrp2!V84=3,2,0)))</f>
        <v>0</v>
      </c>
      <c r="CW56" s="173">
        <f>IF(CdTrp2!W84=1,1,IF(CdTrp2!W84=2,2,IF(CdTrp2!W84=3,2,0)))</f>
        <v>0</v>
      </c>
      <c r="CX56" s="173">
        <f>IF(CdTrp2!X84=1,1,IF(CdTrp2!X84=2,2,IF(CdTrp2!X84=3,2,0)))</f>
        <v>0</v>
      </c>
      <c r="CY56" s="173">
        <f>IF(CdTrp2!Y84=1,1,IF(CdTrp2!Y84=2,2,IF(CdTrp2!Y84=3,2,0)))</f>
        <v>0</v>
      </c>
      <c r="DC56" s="189" t="str">
        <f t="shared" si="30"/>
        <v>lot9</v>
      </c>
      <c r="DD56" s="32"/>
      <c r="DE56" s="173">
        <f>IF(CdTrp3!B84=1,1,IF(CdTrp3!B84=2,2,IF(CdTrp3!B84=3,2,0)))</f>
        <v>0</v>
      </c>
      <c r="DF56" s="173">
        <f>IF(CdTrp3!C84=1,1,IF(CdTrp3!C84=2,2,IF(CdTrp3!C84=3,2,0)))</f>
        <v>0</v>
      </c>
      <c r="DG56" s="173">
        <f>IF(CdTrp3!D84=1,1,IF(CdTrp3!D84=2,2,IF(CdTrp3!D84=3,2,0)))</f>
        <v>0</v>
      </c>
      <c r="DH56" s="173">
        <f>IF(CdTrp3!E84=1,1,IF(CdTrp3!E84=2,2,IF(CdTrp3!E84=3,2,0)))</f>
        <v>0</v>
      </c>
      <c r="DI56" s="173">
        <f>IF(CdTrp3!F84=1,1,IF(CdTrp3!F84=2,2,IF(CdTrp3!F84=3,2,0)))</f>
        <v>0</v>
      </c>
      <c r="DJ56" s="173">
        <f>IF(CdTrp3!G84=1,1,IF(CdTrp3!G84=2,2,IF(CdTrp3!G84=3,2,0)))</f>
        <v>0</v>
      </c>
      <c r="DK56" s="173">
        <f>IF(CdTrp3!H84=1,1,IF(CdTrp3!H84=2,2,IF(CdTrp3!H84=3,2,0)))</f>
        <v>0</v>
      </c>
      <c r="DL56" s="173">
        <f>IF(CdTrp3!I84=1,1,IF(CdTrp3!I84=2,2,IF(CdTrp3!I84=3,2,0)))</f>
        <v>0</v>
      </c>
      <c r="DM56" s="173">
        <f>IF(CdTrp3!J84=1,1,IF(CdTrp3!J84=2,2,IF(CdTrp3!J84=3,2,0)))</f>
        <v>0</v>
      </c>
      <c r="DN56" s="173">
        <f>IF(CdTrp3!K84=1,1,IF(CdTrp3!K84=2,2,IF(CdTrp3!K84=3,2,0)))</f>
        <v>0</v>
      </c>
      <c r="DO56" s="173">
        <f>IF(CdTrp3!L84=1,1,IF(CdTrp3!L84=2,2,IF(CdTrp3!L84=3,2,0)))</f>
        <v>0</v>
      </c>
      <c r="DP56" s="173">
        <f>IF(CdTrp3!M84=1,1,IF(CdTrp3!M84=2,2,IF(CdTrp3!M84=3,2,0)))</f>
        <v>0</v>
      </c>
      <c r="DQ56" s="173">
        <f>IF(CdTrp3!N84=1,1,IF(CdTrp3!N84=2,2,IF(CdTrp3!N84=3,2,0)))</f>
        <v>0</v>
      </c>
      <c r="DR56" s="173">
        <f>IF(CdTrp3!O84=1,1,IF(CdTrp3!O84=2,2,IF(CdTrp3!O84=3,2,0)))</f>
        <v>0</v>
      </c>
      <c r="DS56" s="173">
        <f>IF(CdTrp3!P84=1,1,IF(CdTrp3!P84=2,2,IF(CdTrp3!P84=3,2,0)))</f>
        <v>0</v>
      </c>
      <c r="DT56" s="173">
        <f>IF(CdTrp3!Q84=1,1,IF(CdTrp3!Q84=2,2,IF(CdTrp3!Q84=3,2,0)))</f>
        <v>0</v>
      </c>
      <c r="DU56" s="173">
        <f>IF(CdTrp3!R84=1,1,IF(CdTrp3!R84=2,2,IF(CdTrp3!R84=3,2,0)))</f>
        <v>0</v>
      </c>
      <c r="DV56" s="173">
        <f>IF(CdTrp3!S84=1,1,IF(CdTrp3!S84=2,2,IF(CdTrp3!S84=3,2,0)))</f>
        <v>0</v>
      </c>
      <c r="DW56" s="173">
        <f>IF(CdTrp3!T84=1,1,IF(CdTrp3!T84=2,2,IF(CdTrp3!T84=3,2,0)))</f>
        <v>0</v>
      </c>
      <c r="DX56" s="173">
        <f>IF(CdTrp3!U84=1,1,IF(CdTrp3!U84=2,2,IF(CdTrp3!U84=3,2,0)))</f>
        <v>0</v>
      </c>
      <c r="DY56" s="173">
        <f>IF(CdTrp3!V84=1,1,IF(CdTrp3!V84=2,2,IF(CdTrp3!V84=3,2,0)))</f>
        <v>0</v>
      </c>
      <c r="DZ56" s="173">
        <f>IF(CdTrp3!W84=1,1,IF(CdTrp3!W84=2,2,IF(CdTrp3!W84=3,2,0)))</f>
        <v>0</v>
      </c>
      <c r="EA56" s="173">
        <f>IF(CdTrp3!X84=1,1,IF(CdTrp3!X84=2,2,IF(CdTrp3!X84=3,2,0)))</f>
        <v>0</v>
      </c>
      <c r="EB56" s="173">
        <f>IF(CdTrp3!Y84=1,1,IF(CdTrp3!Y84=2,2,IF(CdTrp3!Y84=3,2,0)))</f>
        <v>0</v>
      </c>
    </row>
    <row r="57" spans="1:132" x14ac:dyDescent="0.25">
      <c r="A57" s="5" t="s">
        <v>792</v>
      </c>
      <c r="B57" s="173">
        <f>Scénario!M30</f>
        <v>0</v>
      </c>
      <c r="C57" s="190">
        <f>IF(B57&gt;[1]Trav!E121,[1]Trav!C121,[1]Trav!B121)</f>
        <v>7.2</v>
      </c>
      <c r="D57"/>
      <c r="E57" s="172"/>
      <c r="F57" s="173">
        <f t="shared" si="32"/>
        <v>0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7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8" t="s">
        <v>747</v>
      </c>
      <c r="AT57" s="189" t="str">
        <f t="shared" si="31"/>
        <v>lot10</v>
      </c>
      <c r="AU57" s="32"/>
      <c r="AV57" s="173">
        <f>IF(CdTrp1!B85=1,1,IF(CdTrp1!B85=2,2,IF(CdTrp1!B85=3,2,0)))</f>
        <v>0</v>
      </c>
      <c r="AW57" s="173">
        <f>IF(CdTrp1!C85=1,1,IF(CdTrp1!C85=2,2,IF(CdTrp1!C85=3,2,0)))</f>
        <v>0</v>
      </c>
      <c r="AX57" s="173">
        <f>IF(CdTrp1!D85=1,1,IF(CdTrp1!D85=2,2,IF(CdTrp1!D85=3,2,0)))</f>
        <v>0</v>
      </c>
      <c r="AY57" s="173">
        <f>IF(CdTrp1!E85=1,1,IF(CdTrp1!E85=2,2,IF(CdTrp1!E85=3,2,0)))</f>
        <v>0</v>
      </c>
      <c r="AZ57" s="173">
        <f>IF(CdTrp1!F85=1,1,IF(CdTrp1!F85=2,2,IF(CdTrp1!F85=3,2,0)))</f>
        <v>0</v>
      </c>
      <c r="BA57" s="173">
        <f>IF(CdTrp1!G85=1,1,IF(CdTrp1!G85=2,2,IF(CdTrp1!G85=3,2,0)))</f>
        <v>0</v>
      </c>
      <c r="BB57" s="173">
        <f>IF(CdTrp1!H85=1,1,IF(CdTrp1!H85=2,2,IF(CdTrp1!H85=3,2,0)))</f>
        <v>0</v>
      </c>
      <c r="BC57" s="173">
        <f>IF(CdTrp1!I85=1,1,IF(CdTrp1!I85=2,2,IF(CdTrp1!I85=3,2,0)))</f>
        <v>0</v>
      </c>
      <c r="BD57" s="173">
        <f>IF(CdTrp1!J85=1,1,IF(CdTrp1!J85=2,2,IF(CdTrp1!J85=3,2,0)))</f>
        <v>0</v>
      </c>
      <c r="BE57" s="173">
        <f>IF(CdTrp1!K85=1,1,IF(CdTrp1!K85=2,2,IF(CdTrp1!K85=3,2,0)))</f>
        <v>0</v>
      </c>
      <c r="BF57" s="173">
        <f>IF(CdTrp1!L85=1,1,IF(CdTrp1!L85=2,2,IF(CdTrp1!L85=3,2,0)))</f>
        <v>0</v>
      </c>
      <c r="BG57" s="173">
        <f>IF(CdTrp1!M85=1,1,IF(CdTrp1!M85=2,2,IF(CdTrp1!M85=3,2,0)))</f>
        <v>0</v>
      </c>
      <c r="BH57" s="173">
        <f>IF(CdTrp1!N85=1,1,IF(CdTrp1!N85=2,2,IF(CdTrp1!N85=3,2,0)))</f>
        <v>0</v>
      </c>
      <c r="BI57" s="173">
        <f>IF(CdTrp1!O85=1,1,IF(CdTrp1!O85=2,2,IF(CdTrp1!O85=3,2,0)))</f>
        <v>0</v>
      </c>
      <c r="BJ57" s="173">
        <f>IF(CdTrp1!P85=1,1,IF(CdTrp1!P85=2,2,IF(CdTrp1!P85=3,2,0)))</f>
        <v>0</v>
      </c>
      <c r="BK57" s="173">
        <f>IF(CdTrp1!Q85=1,1,IF(CdTrp1!Q85=2,2,IF(CdTrp1!Q85=3,2,0)))</f>
        <v>0</v>
      </c>
      <c r="BL57" s="173">
        <f>IF(CdTrp1!R85=1,1,IF(CdTrp1!R85=2,2,IF(CdTrp1!R85=3,2,0)))</f>
        <v>0</v>
      </c>
      <c r="BM57" s="173">
        <f>IF(CdTrp1!S85=1,1,IF(CdTrp1!S85=2,2,IF(CdTrp1!S85=3,2,0)))</f>
        <v>0</v>
      </c>
      <c r="BN57" s="173">
        <f>IF(CdTrp1!T85=1,1,IF(CdTrp1!T85=2,2,IF(CdTrp1!T85=3,2,0)))</f>
        <v>0</v>
      </c>
      <c r="BO57" s="173">
        <f>IF(CdTrp1!U85=1,1,IF(CdTrp1!U85=2,2,IF(CdTrp1!U85=3,2,0)))</f>
        <v>0</v>
      </c>
      <c r="BP57" s="173">
        <f>IF(CdTrp1!V85=1,1,IF(CdTrp1!V85=2,2,IF(CdTrp1!V85=3,2,0)))</f>
        <v>0</v>
      </c>
      <c r="BQ57" s="173">
        <f>IF(CdTrp1!W85=1,1,IF(CdTrp1!W85=2,2,IF(CdTrp1!W85=3,2,0)))</f>
        <v>0</v>
      </c>
      <c r="BR57" s="173">
        <f>IF(CdTrp1!X85=1,1,IF(CdTrp1!X85=2,2,IF(CdTrp1!X85=3,2,0)))</f>
        <v>0</v>
      </c>
      <c r="BS57" s="173">
        <f>IF(CdTrp1!Y85=1,1,IF(CdTrp1!Y85=2,2,IF(CdTrp1!Y85=3,2,0)))</f>
        <v>0</v>
      </c>
      <c r="BZ57" s="189" t="str">
        <f t="shared" si="29"/>
        <v>lot10</v>
      </c>
      <c r="CA57" s="32"/>
      <c r="CB57" s="173">
        <f>IF(CdTrp2!B85=1,1,IF(CdTrp2!B85=2,2,IF(CdTrp2!B85=3,2,0)))</f>
        <v>0</v>
      </c>
      <c r="CC57" s="173">
        <f>IF(CdTrp2!C85=1,1,IF(CdTrp2!C85=2,2,IF(CdTrp2!C85=3,2,0)))</f>
        <v>0</v>
      </c>
      <c r="CD57" s="173">
        <f>IF(CdTrp2!D85=1,1,IF(CdTrp2!D85=2,2,IF(CdTrp2!D85=3,2,0)))</f>
        <v>0</v>
      </c>
      <c r="CE57" s="173">
        <f>IF(CdTrp2!E85=1,1,IF(CdTrp2!E85=2,2,IF(CdTrp2!E85=3,2,0)))</f>
        <v>0</v>
      </c>
      <c r="CF57" s="173">
        <f>IF(CdTrp2!F85=1,1,IF(CdTrp2!F85=2,2,IF(CdTrp2!F85=3,2,0)))</f>
        <v>0</v>
      </c>
      <c r="CG57" s="173">
        <f>IF(CdTrp2!G85=1,1,IF(CdTrp2!G85=2,2,IF(CdTrp2!G85=3,2,0)))</f>
        <v>0</v>
      </c>
      <c r="CH57" s="173">
        <f>IF(CdTrp2!H85=1,1,IF(CdTrp2!H85=2,2,IF(CdTrp2!H85=3,2,0)))</f>
        <v>0</v>
      </c>
      <c r="CI57" s="173">
        <f>IF(CdTrp2!I85=1,1,IF(CdTrp2!I85=2,2,IF(CdTrp2!I85=3,2,0)))</f>
        <v>0</v>
      </c>
      <c r="CJ57" s="173">
        <f>IF(CdTrp2!J85=1,1,IF(CdTrp2!J85=2,2,IF(CdTrp2!J85=3,2,0)))</f>
        <v>0</v>
      </c>
      <c r="CK57" s="173">
        <f>IF(CdTrp2!K85=1,1,IF(CdTrp2!K85=2,2,IF(CdTrp2!K85=3,2,0)))</f>
        <v>0</v>
      </c>
      <c r="CL57" s="173">
        <f>IF(CdTrp2!L85=1,1,IF(CdTrp2!L85=2,2,IF(CdTrp2!L85=3,2,0)))</f>
        <v>0</v>
      </c>
      <c r="CM57" s="173">
        <f>IF(CdTrp2!M85=1,1,IF(CdTrp2!M85=2,2,IF(CdTrp2!M85=3,2,0)))</f>
        <v>0</v>
      </c>
      <c r="CN57" s="173">
        <f>IF(CdTrp2!N85=1,1,IF(CdTrp2!N85=2,2,IF(CdTrp2!N85=3,2,0)))</f>
        <v>0</v>
      </c>
      <c r="CO57" s="173">
        <f>IF(CdTrp2!O85=1,1,IF(CdTrp2!O85=2,2,IF(CdTrp2!O85=3,2,0)))</f>
        <v>0</v>
      </c>
      <c r="CP57" s="173">
        <f>IF(CdTrp2!P85=1,1,IF(CdTrp2!P85=2,2,IF(CdTrp2!P85=3,2,0)))</f>
        <v>0</v>
      </c>
      <c r="CQ57" s="173">
        <f>IF(CdTrp2!Q85=1,1,IF(CdTrp2!Q85=2,2,IF(CdTrp2!Q85=3,2,0)))</f>
        <v>0</v>
      </c>
      <c r="CR57" s="173">
        <f>IF(CdTrp2!R85=1,1,IF(CdTrp2!R85=2,2,IF(CdTrp2!R85=3,2,0)))</f>
        <v>0</v>
      </c>
      <c r="CS57" s="173">
        <f>IF(CdTrp2!S85=1,1,IF(CdTrp2!S85=2,2,IF(CdTrp2!S85=3,2,0)))</f>
        <v>0</v>
      </c>
      <c r="CT57" s="173">
        <f>IF(CdTrp2!T85=1,1,IF(CdTrp2!T85=2,2,IF(CdTrp2!T85=3,2,0)))</f>
        <v>0</v>
      </c>
      <c r="CU57" s="173">
        <f>IF(CdTrp2!U85=1,1,IF(CdTrp2!U85=2,2,IF(CdTrp2!U85=3,2,0)))</f>
        <v>0</v>
      </c>
      <c r="CV57" s="173">
        <f>IF(CdTrp2!V85=1,1,IF(CdTrp2!V85=2,2,IF(CdTrp2!V85=3,2,0)))</f>
        <v>0</v>
      </c>
      <c r="CW57" s="173">
        <f>IF(CdTrp2!W85=1,1,IF(CdTrp2!W85=2,2,IF(CdTrp2!W85=3,2,0)))</f>
        <v>0</v>
      </c>
      <c r="CX57" s="173">
        <f>IF(CdTrp2!X85=1,1,IF(CdTrp2!X85=2,2,IF(CdTrp2!X85=3,2,0)))</f>
        <v>0</v>
      </c>
      <c r="CY57" s="173">
        <f>IF(CdTrp2!Y85=1,1,IF(CdTrp2!Y85=2,2,IF(CdTrp2!Y85=3,2,0)))</f>
        <v>0</v>
      </c>
      <c r="DC57" s="189" t="str">
        <f t="shared" si="30"/>
        <v>lot10</v>
      </c>
      <c r="DD57" s="32"/>
      <c r="DE57" s="173">
        <f>IF(CdTrp3!B85=1,1,IF(CdTrp3!B85=2,2,IF(CdTrp3!B85=3,2,0)))</f>
        <v>0</v>
      </c>
      <c r="DF57" s="173">
        <f>IF(CdTrp3!C85=1,1,IF(CdTrp3!C85=2,2,IF(CdTrp3!C85=3,2,0)))</f>
        <v>0</v>
      </c>
      <c r="DG57" s="173">
        <f>IF(CdTrp3!D85=1,1,IF(CdTrp3!D85=2,2,IF(CdTrp3!D85=3,2,0)))</f>
        <v>0</v>
      </c>
      <c r="DH57" s="173">
        <f>IF(CdTrp3!E85=1,1,IF(CdTrp3!E85=2,2,IF(CdTrp3!E85=3,2,0)))</f>
        <v>0</v>
      </c>
      <c r="DI57" s="173">
        <f>IF(CdTrp3!F85=1,1,IF(CdTrp3!F85=2,2,IF(CdTrp3!F85=3,2,0)))</f>
        <v>0</v>
      </c>
      <c r="DJ57" s="173">
        <f>IF(CdTrp3!G85=1,1,IF(CdTrp3!G85=2,2,IF(CdTrp3!G85=3,2,0)))</f>
        <v>0</v>
      </c>
      <c r="DK57" s="173">
        <f>IF(CdTrp3!H85=1,1,IF(CdTrp3!H85=2,2,IF(CdTrp3!H85=3,2,0)))</f>
        <v>0</v>
      </c>
      <c r="DL57" s="173">
        <f>IF(CdTrp3!I85=1,1,IF(CdTrp3!I85=2,2,IF(CdTrp3!I85=3,2,0)))</f>
        <v>0</v>
      </c>
      <c r="DM57" s="173">
        <f>IF(CdTrp3!J85=1,1,IF(CdTrp3!J85=2,2,IF(CdTrp3!J85=3,2,0)))</f>
        <v>0</v>
      </c>
      <c r="DN57" s="173">
        <f>IF(CdTrp3!K85=1,1,IF(CdTrp3!K85=2,2,IF(CdTrp3!K85=3,2,0)))</f>
        <v>0</v>
      </c>
      <c r="DO57" s="173">
        <f>IF(CdTrp3!L85=1,1,IF(CdTrp3!L85=2,2,IF(CdTrp3!L85=3,2,0)))</f>
        <v>0</v>
      </c>
      <c r="DP57" s="173">
        <f>IF(CdTrp3!M85=1,1,IF(CdTrp3!M85=2,2,IF(CdTrp3!M85=3,2,0)))</f>
        <v>0</v>
      </c>
      <c r="DQ57" s="173">
        <f>IF(CdTrp3!N85=1,1,IF(CdTrp3!N85=2,2,IF(CdTrp3!N85=3,2,0)))</f>
        <v>0</v>
      </c>
      <c r="DR57" s="173">
        <f>IF(CdTrp3!O85=1,1,IF(CdTrp3!O85=2,2,IF(CdTrp3!O85=3,2,0)))</f>
        <v>0</v>
      </c>
      <c r="DS57" s="173">
        <f>IF(CdTrp3!P85=1,1,IF(CdTrp3!P85=2,2,IF(CdTrp3!P85=3,2,0)))</f>
        <v>0</v>
      </c>
      <c r="DT57" s="173">
        <f>IF(CdTrp3!Q85=1,1,IF(CdTrp3!Q85=2,2,IF(CdTrp3!Q85=3,2,0)))</f>
        <v>0</v>
      </c>
      <c r="DU57" s="173">
        <f>IF(CdTrp3!R85=1,1,IF(CdTrp3!R85=2,2,IF(CdTrp3!R85=3,2,0)))</f>
        <v>0</v>
      </c>
      <c r="DV57" s="173">
        <f>IF(CdTrp3!S85=1,1,IF(CdTrp3!S85=2,2,IF(CdTrp3!S85=3,2,0)))</f>
        <v>0</v>
      </c>
      <c r="DW57" s="173">
        <f>IF(CdTrp3!T85=1,1,IF(CdTrp3!T85=2,2,IF(CdTrp3!T85=3,2,0)))</f>
        <v>0</v>
      </c>
      <c r="DX57" s="173">
        <f>IF(CdTrp3!U85=1,1,IF(CdTrp3!U85=2,2,IF(CdTrp3!U85=3,2,0)))</f>
        <v>0</v>
      </c>
      <c r="DY57" s="173">
        <f>IF(CdTrp3!V85=1,1,IF(CdTrp3!V85=2,2,IF(CdTrp3!V85=3,2,0)))</f>
        <v>0</v>
      </c>
      <c r="DZ57" s="173">
        <f>IF(CdTrp3!W85=1,1,IF(CdTrp3!W85=2,2,IF(CdTrp3!W85=3,2,0)))</f>
        <v>0</v>
      </c>
      <c r="EA57" s="173">
        <f>IF(CdTrp3!X85=1,1,IF(CdTrp3!X85=2,2,IF(CdTrp3!X85=3,2,0)))</f>
        <v>0</v>
      </c>
      <c r="EB57" s="173">
        <f>IF(CdTrp3!Y85=1,1,IF(CdTrp3!Y85=2,2,IF(CdTrp3!Y85=3,2,0)))</f>
        <v>0</v>
      </c>
    </row>
    <row r="58" spans="1:132" x14ac:dyDescent="0.25">
      <c r="A58" s="5" t="s">
        <v>793</v>
      </c>
      <c r="B58" s="177">
        <f>Scénario!M28-Travail!B55</f>
        <v>1.9299999999999997</v>
      </c>
      <c r="C58" s="190">
        <f>IF(B58&gt;[1]Trav!E122,[1]Trav!C122,[1]Trav!B122)</f>
        <v>4.4000000000000004</v>
      </c>
      <c r="E58" s="172"/>
      <c r="F58" s="173">
        <f t="shared" si="32"/>
        <v>8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8" t="s">
        <v>747</v>
      </c>
      <c r="AT58" s="40" t="s">
        <v>794</v>
      </c>
      <c r="AU58" s="14"/>
      <c r="BZ58" s="40" t="s">
        <v>794</v>
      </c>
      <c r="CA58" s="14"/>
      <c r="CB58" s="171"/>
      <c r="CC58" s="171"/>
      <c r="CD58" s="171"/>
      <c r="CE58" s="171"/>
      <c r="CF58" s="171"/>
      <c r="CG58" s="171"/>
      <c r="CH58" s="171"/>
      <c r="CI58" s="171"/>
      <c r="CJ58" s="171"/>
      <c r="CK58" s="171"/>
      <c r="CL58" s="171"/>
      <c r="CM58" s="171"/>
      <c r="CN58" s="171"/>
      <c r="CO58" s="171"/>
      <c r="CP58" s="171"/>
      <c r="CQ58" s="171"/>
      <c r="CR58" s="171"/>
      <c r="CS58" s="171"/>
      <c r="CT58" s="171"/>
      <c r="CU58" s="171"/>
      <c r="CV58" s="171"/>
      <c r="CW58" s="171"/>
      <c r="CX58" s="171"/>
      <c r="CY58" s="171"/>
      <c r="DC58" s="40" t="s">
        <v>794</v>
      </c>
      <c r="DD58" s="14"/>
      <c r="DE58" s="171"/>
      <c r="DF58" s="171"/>
      <c r="DG58" s="171"/>
      <c r="DH58" s="171"/>
      <c r="DI58" s="171"/>
      <c r="DJ58" s="171"/>
      <c r="DK58" s="171"/>
      <c r="DL58" s="171"/>
      <c r="DM58" s="171"/>
      <c r="DN58" s="171"/>
      <c r="DO58" s="171"/>
      <c r="DP58" s="171"/>
      <c r="DQ58" s="171"/>
      <c r="DR58" s="171"/>
      <c r="DS58" s="171"/>
      <c r="DT58" s="171"/>
      <c r="DU58" s="171"/>
      <c r="DV58" s="171"/>
      <c r="DW58" s="171"/>
      <c r="DX58" s="171"/>
      <c r="DY58" s="171"/>
      <c r="DZ58" s="171"/>
      <c r="EA58" s="171"/>
      <c r="EB58" s="171"/>
    </row>
    <row r="59" spans="1:132" x14ac:dyDescent="0.25">
      <c r="A59" s="5" t="s">
        <v>795</v>
      </c>
      <c r="B59" s="177">
        <f>Scénario!K32</f>
        <v>0</v>
      </c>
      <c r="C59" s="190">
        <f>[1]Trav!$B$123</f>
        <v>7.2</v>
      </c>
      <c r="E59" s="172"/>
      <c r="F59" s="173">
        <f t="shared" si="32"/>
        <v>0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8" t="s">
        <v>747</v>
      </c>
      <c r="AT59" s="14" t="s">
        <v>796</v>
      </c>
      <c r="AU59" s="30">
        <f>VALUE(CONCATENATE(Scénario!K8,Travail!AU2))</f>
        <v>11</v>
      </c>
      <c r="BZ59" s="14" t="s">
        <v>796</v>
      </c>
      <c r="CA59" s="30">
        <f>VALUE(CONCATENATE(Scénario!K8,Travail!CA2))</f>
        <v>12</v>
      </c>
      <c r="CB59" s="171"/>
      <c r="CC59" s="171"/>
      <c r="CD59" s="171"/>
      <c r="CE59" s="171"/>
      <c r="CF59" s="171"/>
      <c r="CG59" s="171"/>
      <c r="CH59" s="171"/>
      <c r="CI59" s="171"/>
      <c r="CJ59" s="171"/>
      <c r="CK59" s="171"/>
      <c r="CL59" s="171"/>
      <c r="CM59" s="171"/>
      <c r="CN59" s="171"/>
      <c r="CO59" s="171"/>
      <c r="CP59" s="171"/>
      <c r="CQ59" s="171"/>
      <c r="CR59" s="171"/>
      <c r="CS59" s="171"/>
      <c r="CT59" s="171"/>
      <c r="CU59" s="171"/>
      <c r="CV59" s="171"/>
      <c r="CW59" s="171"/>
      <c r="CX59" s="171"/>
      <c r="CY59" s="171"/>
      <c r="DC59" s="14" t="s">
        <v>796</v>
      </c>
      <c r="DD59" s="30">
        <f>VALUE(CONCATENATE(Scénario!K8,Travail!DD2))</f>
        <v>10</v>
      </c>
      <c r="DE59" s="171"/>
      <c r="DF59" s="171"/>
      <c r="DG59" s="171"/>
      <c r="DH59" s="171"/>
      <c r="DI59" s="171"/>
      <c r="DJ59" s="171"/>
      <c r="DK59" s="171"/>
      <c r="DL59" s="171"/>
      <c r="DM59" s="171"/>
      <c r="DN59" s="171"/>
      <c r="DO59" s="171"/>
      <c r="DP59" s="171"/>
      <c r="DQ59" s="171"/>
      <c r="DR59" s="171"/>
      <c r="DS59" s="171"/>
      <c r="DT59" s="171"/>
      <c r="DU59" s="171"/>
      <c r="DV59" s="171"/>
      <c r="DW59" s="171"/>
      <c r="DX59" s="171"/>
      <c r="DY59" s="171"/>
      <c r="DZ59" s="171"/>
      <c r="EA59" s="171"/>
      <c r="EB59" s="171"/>
    </row>
    <row r="60" spans="1:132" x14ac:dyDescent="0.25">
      <c r="A60" s="23" t="s">
        <v>797</v>
      </c>
      <c r="B60" s="5"/>
      <c r="C60" s="5"/>
      <c r="F60" s="172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8" t="s">
        <v>747</v>
      </c>
      <c r="AT60" s="189" t="str">
        <f>+AT48</f>
        <v>brebis</v>
      </c>
      <c r="AV60" s="173">
        <f>IF(AV15=0,0,IF(AV37=3,0,VALUE(CONCATENATE(Travail!AV26,Travail!AV37,Travail!AV48))))</f>
        <v>0</v>
      </c>
      <c r="AW60" s="173">
        <f>IF(AW15=0,0,IF(AW37=3,0,VALUE(CONCATENATE(Travail!AW26,Travail!AW37,Travail!AW48))))</f>
        <v>0</v>
      </c>
      <c r="AX60" s="173">
        <f>IF(AX15=0,0,IF(AX37=3,0,VALUE(CONCATENATE(Travail!AX26,Travail!AX37,Travail!AX48))))</f>
        <v>0</v>
      </c>
      <c r="AY60" s="173">
        <f>IF(AY15=0,0,IF(AY37=3,0,VALUE(CONCATENATE(Travail!AY26,Travail!AY37,Travail!AY48))))</f>
        <v>221</v>
      </c>
      <c r="AZ60" s="173">
        <f>IF(AZ15=0,0,IF(AZ37=3,0,VALUE(CONCATENATE(Travail!AZ26,Travail!AZ37,Travail!AZ48))))</f>
        <v>221</v>
      </c>
      <c r="BA60" s="173">
        <f>IF(BA15=0,0,IF(BA37=3,0,VALUE(CONCATENATE(Travail!BA26,Travail!BA37,Travail!BA48))))</f>
        <v>221</v>
      </c>
      <c r="BB60" s="173">
        <f>IF(BB15=0,0,IF(BB37=3,0,VALUE(CONCATENATE(Travail!BB26,Travail!BB37,Travail!BB48))))</f>
        <v>221</v>
      </c>
      <c r="BC60" s="173">
        <f>IF(BC15=0,0,IF(BC37=3,0,VALUE(CONCATENATE(Travail!BC26,Travail!BC37,Travail!BC48))))</f>
        <v>221</v>
      </c>
      <c r="BD60" s="173">
        <f>IF(BD15=0,0,IF(BD37=3,0,VALUE(CONCATENATE(Travail!BD26,Travail!BD37,Travail!BD48))))</f>
        <v>221</v>
      </c>
      <c r="BE60" s="173">
        <f>IF(BE15=0,0,IF(BE37=3,0,VALUE(CONCATENATE(Travail!BE26,Travail!BE37,Travail!BE48))))</f>
        <v>221</v>
      </c>
      <c r="BF60" s="173">
        <f>IF(BF15=0,0,IF(BF37=3,0,VALUE(CONCATENATE(Travail!BF26,Travail!BF37,Travail!BF48))))</f>
        <v>221</v>
      </c>
      <c r="BG60" s="173">
        <f>IF(BG15=0,0,IF(BG37=3,0,VALUE(CONCATENATE(Travail!BG26,Travail!BG37,Travail!BG48))))</f>
        <v>210</v>
      </c>
      <c r="BH60" s="173">
        <f>IF(BH15=0,0,IF(BH37=3,0,VALUE(CONCATENATE(Travail!BH26,Travail!BH37,Travail!BH48))))</f>
        <v>210</v>
      </c>
      <c r="BI60" s="173">
        <f>IF(BI15=0,0,IF(BI37=3,0,VALUE(CONCATENATE(Travail!BI26,Travail!BI37,Travail!BI48))))</f>
        <v>210</v>
      </c>
      <c r="BJ60" s="173">
        <f>IF(BJ15=0,0,IF(BJ37=3,0,VALUE(CONCATENATE(Travail!BJ26,Travail!BJ37,Travail!BJ48))))</f>
        <v>210</v>
      </c>
      <c r="BK60" s="173">
        <f>IF(BK15=0,0,IF(BK37=3,0,VALUE(CONCATENATE(Travail!BK26,Travail!BK37,Travail!BK48))))</f>
        <v>210</v>
      </c>
      <c r="BL60" s="173">
        <f>IF(BL15=0,0,IF(BL37=3,0,VALUE(CONCATENATE(Travail!BL26,Travail!BL37,Travail!BL48))))</f>
        <v>210</v>
      </c>
      <c r="BM60" s="173">
        <f>IF(BM15=0,0,IF(BM37=3,0,VALUE(CONCATENATE(Travail!BM26,Travail!BM37,Travail!BM48))))</f>
        <v>210</v>
      </c>
      <c r="BN60" s="173">
        <f>IF(BN15=0,0,IF(BN37=3,0,VALUE(CONCATENATE(Travail!BN26,Travail!BN37,Travail!BN48))))</f>
        <v>221</v>
      </c>
      <c r="BO60" s="173">
        <f>IF(BO15=0,0,IF(BO37=3,0,VALUE(CONCATENATE(Travail!BO26,Travail!BO37,Travail!BO48))))</f>
        <v>221</v>
      </c>
      <c r="BP60" s="173">
        <f>IF(BP15=0,0,IF(BP37=3,0,VALUE(CONCATENATE(Travail!BP26,Travail!BP37,Travail!BP48))))</f>
        <v>0</v>
      </c>
      <c r="BQ60" s="173">
        <f>IF(BQ15=0,0,IF(BQ37=3,0,VALUE(CONCATENATE(Travail!BQ26,Travail!BQ37,Travail!BQ48))))</f>
        <v>0</v>
      </c>
      <c r="BR60" s="173">
        <f>IF(BR15=0,0,IF(BR37=3,0,VALUE(CONCATENATE(Travail!BR26,Travail!BR37,Travail!BR48))))</f>
        <v>0</v>
      </c>
      <c r="BS60" s="173">
        <f>IF(BS15=0,0,IF(BS37=3,0,VALUE(CONCATENATE(Travail!BS26,Travail!BS37,Travail!BS48))))</f>
        <v>0</v>
      </c>
      <c r="BU60">
        <v>1</v>
      </c>
      <c r="BV60" t="s">
        <v>798</v>
      </c>
      <c r="BZ60" s="189" t="str">
        <f t="shared" ref="BZ60:BZ69" si="33">BZ4</f>
        <v xml:space="preserve">vaches </v>
      </c>
      <c r="CB60" s="173">
        <f>IF(CB15=0,0,IF(CB37=3,0,VALUE(CONCATENATE(Travail!CB26,Travail!CB37,Travail!CB48))))</f>
        <v>0</v>
      </c>
      <c r="CC60" s="173">
        <f>IF(CC15=0,0,IF(CC37=3,0,VALUE(CONCATENATE(Travail!CC26,Travail!CC37,Travail!CC48))))</f>
        <v>0</v>
      </c>
      <c r="CD60" s="173">
        <f>IF(CD15=0,0,IF(CD37=3,0,VALUE(CONCATENATE(Travail!CD26,Travail!CD37,Travail!CD48))))</f>
        <v>0</v>
      </c>
      <c r="CE60" s="173">
        <f>IF(CE15=0,0,IF(CE37=3,0,VALUE(CONCATENATE(Travail!CE26,Travail!CE37,Travail!CE48))))</f>
        <v>0</v>
      </c>
      <c r="CF60" s="173">
        <f>IF(CF15=0,0,IF(CF37=3,0,VALUE(CONCATENATE(Travail!CF26,Travail!CF37,Travail!CF48))))</f>
        <v>0</v>
      </c>
      <c r="CG60" s="173">
        <f>IF(CG15=0,0,IF(CG37=3,0,VALUE(CONCATENATE(Travail!CG26,Travail!CG37,Travail!CG48))))</f>
        <v>0</v>
      </c>
      <c r="CH60" s="173">
        <f>IF(CH15=0,0,IF(CH37=3,0,VALUE(CONCATENATE(Travail!CH26,Travail!CH37,Travail!CH48))))</f>
        <v>221</v>
      </c>
      <c r="CI60" s="173">
        <f>IF(CI15=0,0,IF(CI37=3,0,VALUE(CONCATENATE(Travail!CI26,Travail!CI37,Travail!CI48))))</f>
        <v>221</v>
      </c>
      <c r="CJ60" s="173">
        <f>IF(CJ15=0,0,IF(CJ37=3,0,VALUE(CONCATENATE(Travail!CJ26,Travail!CJ37,Travail!CJ48))))</f>
        <v>222</v>
      </c>
      <c r="CK60" s="173">
        <f>IF(CK15=0,0,IF(CK37=3,0,VALUE(CONCATENATE(Travail!CK26,Travail!CK37,Travail!CK48))))</f>
        <v>222</v>
      </c>
      <c r="CL60" s="173">
        <f>IF(CL15=0,0,IF(CL37=3,0,VALUE(CONCATENATE(Travail!CL26,Travail!CL37,Travail!CL48))))</f>
        <v>212</v>
      </c>
      <c r="CM60" s="173">
        <f>IF(CM15=0,0,IF(CM37=3,0,VALUE(CONCATENATE(Travail!CM26,Travail!CM37,Travail!CM48))))</f>
        <v>212</v>
      </c>
      <c r="CN60" s="173">
        <f>IF(CN15=0,0,IF(CN37=3,0,VALUE(CONCATENATE(Travail!CN26,Travail!CN37,Travail!CN48))))</f>
        <v>212</v>
      </c>
      <c r="CO60" s="173">
        <f>IF(CO15=0,0,IF(CO37=3,0,VALUE(CONCATENATE(Travail!CO26,Travail!CO37,Travail!CO48))))</f>
        <v>211</v>
      </c>
      <c r="CP60" s="173">
        <f>IF(CP15=0,0,IF(CP37=3,0,VALUE(CONCATENATE(Travail!CP26,Travail!CP37,Travail!CP48))))</f>
        <v>211</v>
      </c>
      <c r="CQ60" s="173">
        <f>IF(CQ15=0,0,IF(CQ37=3,0,VALUE(CONCATENATE(Travail!CQ26,Travail!CQ37,Travail!CQ48))))</f>
        <v>211</v>
      </c>
      <c r="CR60" s="173">
        <f>IF(CR15=0,0,IF(CR37=3,0,VALUE(CONCATENATE(Travail!CR26,Travail!CR37,Travail!CR48))))</f>
        <v>212</v>
      </c>
      <c r="CS60" s="173">
        <f>IF(CS15=0,0,IF(CS37=3,0,VALUE(CONCATENATE(Travail!CS26,Travail!CS37,Travail!CS48))))</f>
        <v>212</v>
      </c>
      <c r="CT60" s="173">
        <f>IF(CT15=0,0,IF(CT37=3,0,VALUE(CONCATENATE(Travail!CT26,Travail!CT37,Travail!CT48))))</f>
        <v>222</v>
      </c>
      <c r="CU60" s="173">
        <f>IF(CU15=0,0,IF(CU37=3,0,VALUE(CONCATENATE(Travail!CU26,Travail!CU37,Travail!CU48))))</f>
        <v>222</v>
      </c>
      <c r="CV60" s="173">
        <f>IF(CV15=0,0,IF(CV37=3,0,VALUE(CONCATENATE(Travail!CV26,Travail!CV37,Travail!CV48))))</f>
        <v>222</v>
      </c>
      <c r="CW60" s="173">
        <f>IF(CW15=0,0,IF(CW37=3,0,VALUE(CONCATENATE(Travail!CW26,Travail!CW37,Travail!CW48))))</f>
        <v>222</v>
      </c>
      <c r="CX60" s="173">
        <f>IF(CX15=0,0,IF(CX37=3,0,VALUE(CONCATENATE(Travail!CX26,Travail!CX37,Travail!CX48))))</f>
        <v>0</v>
      </c>
      <c r="CY60" s="173">
        <f>IF(CY15=0,0,IF(CY37=3,0,VALUE(CONCATENATE(Travail!CY26,Travail!CY37,Travail!CY48))))</f>
        <v>0</v>
      </c>
      <c r="DC60" s="189" t="str">
        <f t="shared" ref="DC60:DC69" si="34">DC4</f>
        <v>lot1</v>
      </c>
      <c r="DE60" s="173">
        <f>IF(DE15=0,0,IF(DE37=3,0,VALUE(CONCATENATE(Travail!DE26,Travail!DE37,Travail!DE48))))</f>
        <v>0</v>
      </c>
      <c r="DF60" s="173">
        <f>IF(DF15=0,0,IF(DF37=3,0,VALUE(CONCATENATE(Travail!DF26,Travail!DF37,Travail!DF48))))</f>
        <v>0</v>
      </c>
      <c r="DG60" s="173">
        <f>IF(DG15=0,0,IF(DG37=3,0,VALUE(CONCATENATE(Travail!DG26,Travail!DG37,Travail!DG48))))</f>
        <v>0</v>
      </c>
      <c r="DH60" s="173">
        <f>IF(DH15=0,0,IF(DH37=3,0,VALUE(CONCATENATE(Travail!DH26,Travail!DH37,Travail!DH48))))</f>
        <v>0</v>
      </c>
      <c r="DI60" s="173">
        <f>IF(DI15=0,0,IF(DI37=3,0,VALUE(CONCATENATE(Travail!DI26,Travail!DI37,Travail!DI48))))</f>
        <v>0</v>
      </c>
      <c r="DJ60" s="173">
        <f>IF(DJ15=0,0,IF(DJ37=3,0,VALUE(CONCATENATE(Travail!DJ26,Travail!DJ37,Travail!DJ48))))</f>
        <v>0</v>
      </c>
      <c r="DK60" s="173">
        <f>IF(DK15=0,0,IF(DK37=3,0,VALUE(CONCATENATE(Travail!DK26,Travail!DK37,Travail!DK48))))</f>
        <v>0</v>
      </c>
      <c r="DL60" s="173">
        <f>IF(DL15=0,0,IF(DL37=3,0,VALUE(CONCATENATE(Travail!DL26,Travail!DL37,Travail!DL48))))</f>
        <v>0</v>
      </c>
      <c r="DM60" s="173">
        <f>IF(DM15=0,0,IF(DM37=3,0,VALUE(CONCATENATE(Travail!DM26,Travail!DM37,Travail!DM48))))</f>
        <v>0</v>
      </c>
      <c r="DN60" s="173">
        <f>IF(DN15=0,0,IF(DN37=3,0,VALUE(CONCATENATE(Travail!DN26,Travail!DN37,Travail!DN48))))</f>
        <v>0</v>
      </c>
      <c r="DO60" s="173">
        <f>IF(DO15=0,0,IF(DO37=3,0,VALUE(CONCATENATE(Travail!DO26,Travail!DO37,Travail!DO48))))</f>
        <v>0</v>
      </c>
      <c r="DP60" s="173">
        <f>IF(DP15=0,0,IF(DP37=3,0,VALUE(CONCATENATE(Travail!DP26,Travail!DP37,Travail!DP48))))</f>
        <v>0</v>
      </c>
      <c r="DQ60" s="173">
        <f>IF(DQ15=0,0,IF(DQ37=3,0,VALUE(CONCATENATE(Travail!DQ26,Travail!DQ37,Travail!DQ48))))</f>
        <v>0</v>
      </c>
      <c r="DR60" s="173">
        <f>IF(DR15=0,0,IF(DR37=3,0,VALUE(CONCATENATE(Travail!DR26,Travail!DR37,Travail!DR48))))</f>
        <v>0</v>
      </c>
      <c r="DS60" s="173">
        <f>IF(DS15=0,0,IF(DS37=3,0,VALUE(CONCATENATE(Travail!DS26,Travail!DS37,Travail!DS48))))</f>
        <v>0</v>
      </c>
      <c r="DT60" s="173">
        <f>IF(DT15=0,0,IF(DT37=3,0,VALUE(CONCATENATE(Travail!DT26,Travail!DT37,Travail!DT48))))</f>
        <v>0</v>
      </c>
      <c r="DU60" s="173">
        <f>IF(DU15=0,0,IF(DU37=3,0,VALUE(CONCATENATE(Travail!DU26,Travail!DU37,Travail!DU48))))</f>
        <v>0</v>
      </c>
      <c r="DV60" s="173">
        <f>IF(DV15=0,0,IF(DV37=3,0,VALUE(CONCATENATE(Travail!DV26,Travail!DV37,Travail!DV48))))</f>
        <v>0</v>
      </c>
      <c r="DW60" s="173">
        <f>IF(DW15=0,0,IF(DW37=3,0,VALUE(CONCATENATE(Travail!DW26,Travail!DW37,Travail!DW48))))</f>
        <v>0</v>
      </c>
      <c r="DX60" s="173">
        <f>IF(DX15=0,0,IF(DX37=3,0,VALUE(CONCATENATE(Travail!DX26,Travail!DX37,Travail!DX48))))</f>
        <v>0</v>
      </c>
      <c r="DY60" s="173">
        <f>IF(DY15=0,0,IF(DY37=3,0,VALUE(CONCATENATE(Travail!DY26,Travail!DY37,Travail!DY48))))</f>
        <v>0</v>
      </c>
      <c r="DZ60" s="173">
        <f>IF(DZ15=0,0,IF(DZ37=3,0,VALUE(CONCATENATE(Travail!DZ26,Travail!DZ37,Travail!DZ48))))</f>
        <v>0</v>
      </c>
      <c r="EA60" s="173">
        <f>IF(EA15=0,0,IF(EA37=3,0,VALUE(CONCATENATE(Travail!EA26,Travail!EA37,Travail!EA48))))</f>
        <v>0</v>
      </c>
      <c r="EB60" s="173">
        <f>IF(EB15=0,0,IF(EB37=3,0,VALUE(CONCATENATE(Travail!EB26,Travail!EB37,Travail!EB48))))</f>
        <v>0</v>
      </c>
    </row>
    <row r="61" spans="1:132" x14ac:dyDescent="0.25">
      <c r="A61" s="5" t="s">
        <v>799</v>
      </c>
      <c r="B61" s="5"/>
      <c r="C61" s="5"/>
      <c r="F61" s="173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8" t="s">
        <v>747</v>
      </c>
      <c r="AT61" s="189" t="str">
        <f>+AT49</f>
        <v>vides</v>
      </c>
      <c r="AV61" s="173">
        <f>IF(AV16=0,0,IF(AV38=3,0,VALUE(CONCATENATE(Travail!AV27,Travail!AV38,Travail!AV49))))</f>
        <v>222</v>
      </c>
      <c r="AW61" s="173">
        <f>IF(AW16=0,0,IF(AW38=3,0,VALUE(CONCATENATE(Travail!AW27,Travail!AW38,Travail!AW49))))</f>
        <v>222</v>
      </c>
      <c r="AX61" s="173">
        <f>IF(AX16=0,0,IF(AX38=3,0,VALUE(CONCATENATE(Travail!AX27,Travail!AX38,Travail!AX49))))</f>
        <v>222</v>
      </c>
      <c r="AY61" s="173">
        <f>IF(AY16=0,0,IF(AY38=3,0,VALUE(CONCATENATE(Travail!AY27,Travail!AY38,Travail!AY49))))</f>
        <v>222</v>
      </c>
      <c r="AZ61" s="173">
        <f>IF(AZ16=0,0,IF(AZ38=3,0,VALUE(CONCATENATE(Travail!AZ27,Travail!AZ38,Travail!AZ49))))</f>
        <v>222</v>
      </c>
      <c r="BA61" s="173">
        <f>IF(BA16=0,0,IF(BA38=3,0,VALUE(CONCATENATE(Travail!BA27,Travail!BA38,Travail!BA49))))</f>
        <v>222</v>
      </c>
      <c r="BB61" s="173">
        <f>IF(BB16=0,0,IF(BB38=3,0,VALUE(CONCATENATE(Travail!BB27,Travail!BB38,Travail!BB49))))</f>
        <v>222</v>
      </c>
      <c r="BC61" s="173">
        <f>IF(BC16=0,0,IF(BC38=3,0,VALUE(CONCATENATE(Travail!BC27,Travail!BC38,Travail!BC49))))</f>
        <v>222</v>
      </c>
      <c r="BD61" s="173">
        <f>IF(BD16=0,0,IF(BD38=3,0,VALUE(CONCATENATE(Travail!BD27,Travail!BD38,Travail!BD49))))</f>
        <v>222</v>
      </c>
      <c r="BE61" s="173">
        <f>IF(BE16=0,0,IF(BE38=3,0,VALUE(CONCATENATE(Travail!BE27,Travail!BE38,Travail!BE49))))</f>
        <v>0</v>
      </c>
      <c r="BF61" s="173">
        <f>IF(BF16=0,0,IF(BF38=3,0,VALUE(CONCATENATE(Travail!BF27,Travail!BF38,Travail!BF49))))</f>
        <v>0</v>
      </c>
      <c r="BG61" s="173">
        <f>IF(BG16=0,0,IF(BG38=3,0,VALUE(CONCATENATE(Travail!BG27,Travail!BG38,Travail!BG49))))</f>
        <v>0</v>
      </c>
      <c r="BH61" s="173">
        <f>IF(BH16=0,0,IF(BH38=3,0,VALUE(CONCATENATE(Travail!BH27,Travail!BH38,Travail!BH49))))</f>
        <v>0</v>
      </c>
      <c r="BI61" s="173">
        <f>IF(BI16=0,0,IF(BI38=3,0,VALUE(CONCATENATE(Travail!BI27,Travail!BI38,Travail!BI49))))</f>
        <v>0</v>
      </c>
      <c r="BJ61" s="173">
        <f>IF(BJ16=0,0,IF(BJ38=3,0,VALUE(CONCATENATE(Travail!BJ27,Travail!BJ38,Travail!BJ49))))</f>
        <v>0</v>
      </c>
      <c r="BK61" s="173">
        <f>IF(BK16=0,0,IF(BK38=3,0,VALUE(CONCATENATE(Travail!BK27,Travail!BK38,Travail!BK49))))</f>
        <v>0</v>
      </c>
      <c r="BL61" s="173">
        <f>IF(BL16=0,0,IF(BL38=3,0,VALUE(CONCATENATE(Travail!BL27,Travail!BL38,Travail!BL49))))</f>
        <v>0</v>
      </c>
      <c r="BM61" s="173">
        <f>IF(BM16=0,0,IF(BM38=3,0,VALUE(CONCATENATE(Travail!BM27,Travail!BM38,Travail!BM49))))</f>
        <v>0</v>
      </c>
      <c r="BN61" s="173">
        <f>IF(BN16=0,0,IF(BN38=3,0,VALUE(CONCATENATE(Travail!BN27,Travail!BN38,Travail!BN49))))</f>
        <v>0</v>
      </c>
      <c r="BO61" s="173">
        <f>IF(BO16=0,0,IF(BO38=3,0,VALUE(CONCATENATE(Travail!BO27,Travail!BO38,Travail!BO49))))</f>
        <v>222</v>
      </c>
      <c r="BP61" s="173">
        <f>IF(BP16=0,0,IF(BP38=3,0,VALUE(CONCATENATE(Travail!BP27,Travail!BP38,Travail!BP49))))</f>
        <v>222</v>
      </c>
      <c r="BQ61" s="173">
        <f>IF(BQ16=0,0,IF(BQ38=3,0,VALUE(CONCATENATE(Travail!BQ27,Travail!BQ38,Travail!BQ49))))</f>
        <v>222</v>
      </c>
      <c r="BR61" s="173">
        <f>IF(BR16=0,0,IF(BR38=3,0,VALUE(CONCATENATE(Travail!BR27,Travail!BR38,Travail!BR49))))</f>
        <v>222</v>
      </c>
      <c r="BS61" s="173">
        <f>IF(BS16=0,0,IF(BS38=3,0,VALUE(CONCATENATE(Travail!BS27,Travail!BS38,Travail!BS49))))</f>
        <v>222</v>
      </c>
      <c r="BZ61" s="189" t="str">
        <f t="shared" si="33"/>
        <v>genisses -1an</v>
      </c>
      <c r="CB61" s="173">
        <f>IF(CB16=0,0,IF(CB38=3,0,VALUE(CONCATENATE(Travail!CB27,Travail!CB38,Travail!CB49))))</f>
        <v>0</v>
      </c>
      <c r="CC61" s="173">
        <f>IF(CC16=0,0,IF(CC38=3,0,VALUE(CONCATENATE(Travail!CC27,Travail!CC38,Travail!CC49))))</f>
        <v>0</v>
      </c>
      <c r="CD61" s="173">
        <f>IF(CD16=0,0,IF(CD38=3,0,VALUE(CONCATENATE(Travail!CD27,Travail!CD38,Travail!CD49))))</f>
        <v>0</v>
      </c>
      <c r="CE61" s="173">
        <f>IF(CE16=0,0,IF(CE38=3,0,VALUE(CONCATENATE(Travail!CE27,Travail!CE38,Travail!CE49))))</f>
        <v>0</v>
      </c>
      <c r="CF61" s="173">
        <f>IF(CF16=0,0,IF(CF38=3,0,VALUE(CONCATENATE(Travail!CF27,Travail!CF38,Travail!CF49))))</f>
        <v>0</v>
      </c>
      <c r="CG61" s="173">
        <f>IF(CG16=0,0,IF(CG38=3,0,VALUE(CONCATENATE(Travail!CG27,Travail!CG38,Travail!CG49))))</f>
        <v>211</v>
      </c>
      <c r="CH61" s="173">
        <f>IF(CH16=0,0,IF(CH38=3,0,VALUE(CONCATENATE(Travail!CH27,Travail!CH38,Travail!CH49))))</f>
        <v>211</v>
      </c>
      <c r="CI61" s="173">
        <f>IF(CI16=0,0,IF(CI38=3,0,VALUE(CONCATENATE(Travail!CI27,Travail!CI38,Travail!CI49))))</f>
        <v>211</v>
      </c>
      <c r="CJ61" s="173">
        <f>IF(CJ16=0,0,IF(CJ38=3,0,VALUE(CONCATENATE(Travail!CJ27,Travail!CJ38,Travail!CJ49))))</f>
        <v>211</v>
      </c>
      <c r="CK61" s="173">
        <f>IF(CK16=0,0,IF(CK38=3,0,VALUE(CONCATENATE(Travail!CK27,Travail!CK38,Travail!CK49))))</f>
        <v>211</v>
      </c>
      <c r="CL61" s="173">
        <f>IF(CL16=0,0,IF(CL38=3,0,VALUE(CONCATENATE(Travail!CL27,Travail!CL38,Travail!CL49))))</f>
        <v>211</v>
      </c>
      <c r="CM61" s="173">
        <f>IF(CM16=0,0,IF(CM38=3,0,VALUE(CONCATENATE(Travail!CM27,Travail!CM38,Travail!CM49))))</f>
        <v>211</v>
      </c>
      <c r="CN61" s="173">
        <f>IF(CN16=0,0,IF(CN38=3,0,VALUE(CONCATENATE(Travail!CN27,Travail!CN38,Travail!CN49))))</f>
        <v>211</v>
      </c>
      <c r="CO61" s="173">
        <f>IF(CO16=0,0,IF(CO38=3,0,VALUE(CONCATENATE(Travail!CO27,Travail!CO38,Travail!CO49))))</f>
        <v>211</v>
      </c>
      <c r="CP61" s="173">
        <f>IF(CP16=0,0,IF(CP38=3,0,VALUE(CONCATENATE(Travail!CP27,Travail!CP38,Travail!CP49))))</f>
        <v>211</v>
      </c>
      <c r="CQ61" s="173">
        <f>IF(CQ16=0,0,IF(CQ38=3,0,VALUE(CONCATENATE(Travail!CQ27,Travail!CQ38,Travail!CQ49))))</f>
        <v>211</v>
      </c>
      <c r="CR61" s="173">
        <f>IF(CR16=0,0,IF(CR38=3,0,VALUE(CONCATENATE(Travail!CR27,Travail!CR38,Travail!CR49))))</f>
        <v>211</v>
      </c>
      <c r="CS61" s="173">
        <f>IF(CS16=0,0,IF(CS38=3,0,VALUE(CONCATENATE(Travail!CS27,Travail!CS38,Travail!CS49))))</f>
        <v>211</v>
      </c>
      <c r="CT61" s="173">
        <f>IF(CT16=0,0,IF(CT38=3,0,VALUE(CONCATENATE(Travail!CT27,Travail!CT38,Travail!CT49))))</f>
        <v>211</v>
      </c>
      <c r="CU61" s="173">
        <f>IF(CU16=0,0,IF(CU38=3,0,VALUE(CONCATENATE(Travail!CU27,Travail!CU38,Travail!CU49))))</f>
        <v>211</v>
      </c>
      <c r="CV61" s="173">
        <f>IF(CV16=0,0,IF(CV38=3,0,VALUE(CONCATENATE(Travail!CV27,Travail!CV38,Travail!CV49))))</f>
        <v>221</v>
      </c>
      <c r="CW61" s="173">
        <f>IF(CW16=0,0,IF(CW38=3,0,VALUE(CONCATENATE(Travail!CW27,Travail!CW38,Travail!CW49))))</f>
        <v>221</v>
      </c>
      <c r="CX61" s="173">
        <f>IF(CX16=0,0,IF(CX38=3,0,VALUE(CONCATENATE(Travail!CX27,Travail!CX38,Travail!CX49))))</f>
        <v>0</v>
      </c>
      <c r="CY61" s="173">
        <f>IF(CY16=0,0,IF(CY38=3,0,VALUE(CONCATENATE(Travail!CY27,Travail!CY38,Travail!CY49))))</f>
        <v>0</v>
      </c>
      <c r="DC61" s="189" t="str">
        <f t="shared" si="34"/>
        <v>lot2</v>
      </c>
      <c r="DE61" s="173">
        <f>IF(DE16=0,0,IF(DE38=3,0,VALUE(CONCATENATE(Travail!DE27,Travail!DE38,Travail!DE49))))</f>
        <v>0</v>
      </c>
      <c r="DF61" s="173">
        <f>IF(DF16=0,0,IF(DF38=3,0,VALUE(CONCATENATE(Travail!DF27,Travail!DF38,Travail!DF49))))</f>
        <v>0</v>
      </c>
      <c r="DG61" s="173">
        <f>IF(DG16=0,0,IF(DG38=3,0,VALUE(CONCATENATE(Travail!DG27,Travail!DG38,Travail!DG49))))</f>
        <v>0</v>
      </c>
      <c r="DH61" s="173">
        <f>IF(DH16=0,0,IF(DH38=3,0,VALUE(CONCATENATE(Travail!DH27,Travail!DH38,Travail!DH49))))</f>
        <v>0</v>
      </c>
      <c r="DI61" s="173">
        <f>IF(DI16=0,0,IF(DI38=3,0,VALUE(CONCATENATE(Travail!DI27,Travail!DI38,Travail!DI49))))</f>
        <v>0</v>
      </c>
      <c r="DJ61" s="173">
        <f>IF(DJ16=0,0,IF(DJ38=3,0,VALUE(CONCATENATE(Travail!DJ27,Travail!DJ38,Travail!DJ49))))</f>
        <v>0</v>
      </c>
      <c r="DK61" s="173">
        <f>IF(DK16=0,0,IF(DK38=3,0,VALUE(CONCATENATE(Travail!DK27,Travail!DK38,Travail!DK49))))</f>
        <v>0</v>
      </c>
      <c r="DL61" s="173">
        <f>IF(DL16=0,0,IF(DL38=3,0,VALUE(CONCATENATE(Travail!DL27,Travail!DL38,Travail!DL49))))</f>
        <v>0</v>
      </c>
      <c r="DM61" s="173">
        <f>IF(DM16=0,0,IF(DM38=3,0,VALUE(CONCATENATE(Travail!DM27,Travail!DM38,Travail!DM49))))</f>
        <v>0</v>
      </c>
      <c r="DN61" s="173">
        <f>IF(DN16=0,0,IF(DN38=3,0,VALUE(CONCATENATE(Travail!DN27,Travail!DN38,Travail!DN49))))</f>
        <v>0</v>
      </c>
      <c r="DO61" s="173">
        <f>IF(DO16=0,0,IF(DO38=3,0,VALUE(CONCATENATE(Travail!DO27,Travail!DO38,Travail!DO49))))</f>
        <v>0</v>
      </c>
      <c r="DP61" s="173">
        <f>IF(DP16=0,0,IF(DP38=3,0,VALUE(CONCATENATE(Travail!DP27,Travail!DP38,Travail!DP49))))</f>
        <v>0</v>
      </c>
      <c r="DQ61" s="173">
        <f>IF(DQ16=0,0,IF(DQ38=3,0,VALUE(CONCATENATE(Travail!DQ27,Travail!DQ38,Travail!DQ49))))</f>
        <v>0</v>
      </c>
      <c r="DR61" s="173">
        <f>IF(DR16=0,0,IF(DR38=3,0,VALUE(CONCATENATE(Travail!DR27,Travail!DR38,Travail!DR49))))</f>
        <v>0</v>
      </c>
      <c r="DS61" s="173">
        <f>IF(DS16=0,0,IF(DS38=3,0,VALUE(CONCATENATE(Travail!DS27,Travail!DS38,Travail!DS49))))</f>
        <v>0</v>
      </c>
      <c r="DT61" s="173">
        <f>IF(DT16=0,0,IF(DT38=3,0,VALUE(CONCATENATE(Travail!DT27,Travail!DT38,Travail!DT49))))</f>
        <v>0</v>
      </c>
      <c r="DU61" s="173">
        <f>IF(DU16=0,0,IF(DU38=3,0,VALUE(CONCATENATE(Travail!DU27,Travail!DU38,Travail!DU49))))</f>
        <v>0</v>
      </c>
      <c r="DV61" s="173">
        <f>IF(DV16=0,0,IF(DV38=3,0,VALUE(CONCATENATE(Travail!DV27,Travail!DV38,Travail!DV49))))</f>
        <v>0</v>
      </c>
      <c r="DW61" s="173">
        <f>IF(DW16=0,0,IF(DW38=3,0,VALUE(CONCATENATE(Travail!DW27,Travail!DW38,Travail!DW49))))</f>
        <v>0</v>
      </c>
      <c r="DX61" s="173">
        <f>IF(DX16=0,0,IF(DX38=3,0,VALUE(CONCATENATE(Travail!DX27,Travail!DX38,Travail!DX49))))</f>
        <v>0</v>
      </c>
      <c r="DY61" s="173">
        <f>IF(DY16=0,0,IF(DY38=3,0,VALUE(CONCATENATE(Travail!DY27,Travail!DY38,Travail!DY49))))</f>
        <v>0</v>
      </c>
      <c r="DZ61" s="173">
        <f>IF(DZ16=0,0,IF(DZ38=3,0,VALUE(CONCATENATE(Travail!DZ27,Travail!DZ38,Travail!DZ49))))</f>
        <v>0</v>
      </c>
      <c r="EA61" s="173">
        <f>IF(EA16=0,0,IF(EA38=3,0,VALUE(CONCATENATE(Travail!EA27,Travail!EA38,Travail!EA49))))</f>
        <v>0</v>
      </c>
      <c r="EB61" s="173">
        <f>IF(EB16=0,0,IF(EB38=3,0,VALUE(CONCATENATE(Travail!EB27,Travail!EB38,Travail!EB49))))</f>
        <v>0</v>
      </c>
    </row>
    <row r="62" spans="1:132" x14ac:dyDescent="0.25">
      <c r="A62" s="5" t="s">
        <v>800</v>
      </c>
      <c r="B62" s="23"/>
      <c r="C62" s="23"/>
      <c r="D62" s="23"/>
      <c r="E62" s="23"/>
      <c r="F62" s="173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8" t="s">
        <v>747</v>
      </c>
      <c r="AS62" s="17"/>
      <c r="AT62" s="189" t="str">
        <f>+AT50</f>
        <v>agnelles</v>
      </c>
      <c r="AV62" s="173">
        <f>IF(AV17=0,0,IF(AV39=3,0,VALUE(CONCATENATE(Travail!AV28,Travail!AV39,Travail!AV50))))</f>
        <v>0</v>
      </c>
      <c r="AW62" s="173">
        <f>IF(AW17=0,0,IF(AW39=3,0,VALUE(CONCATENATE(Travail!AW28,Travail!AW39,Travail!AW50))))</f>
        <v>0</v>
      </c>
      <c r="AX62" s="173">
        <f>IF(AX17=0,0,IF(AX39=3,0,VALUE(CONCATENATE(Travail!AX28,Travail!AX39,Travail!AX50))))</f>
        <v>0</v>
      </c>
      <c r="AY62" s="173">
        <f>IF(AY17=0,0,IF(AY39=3,0,VALUE(CONCATENATE(Travail!AY28,Travail!AY39,Travail!AY50))))</f>
        <v>0</v>
      </c>
      <c r="AZ62" s="173">
        <f>IF(AZ17=0,0,IF(AZ39=3,0,VALUE(CONCATENATE(Travail!AZ28,Travail!AZ39,Travail!AZ50))))</f>
        <v>0</v>
      </c>
      <c r="BA62" s="173">
        <f>IF(BA17=0,0,IF(BA39=3,0,VALUE(CONCATENATE(Travail!BA28,Travail!BA39,Travail!BA50))))</f>
        <v>221</v>
      </c>
      <c r="BB62" s="173">
        <f>IF(BB17=0,0,IF(BB39=3,0,VALUE(CONCATENATE(Travail!BB28,Travail!BB39,Travail!BB50))))</f>
        <v>221</v>
      </c>
      <c r="BC62" s="173">
        <f>IF(BC17=0,0,IF(BC39=3,0,VALUE(CONCATENATE(Travail!BC28,Travail!BC39,Travail!BC50))))</f>
        <v>221</v>
      </c>
      <c r="BD62" s="173">
        <f>IF(BD17=0,0,IF(BD39=3,0,VALUE(CONCATENATE(Travail!BD28,Travail!BD39,Travail!BD50))))</f>
        <v>221</v>
      </c>
      <c r="BE62" s="173">
        <f>IF(BE17=0,0,IF(BE39=3,0,VALUE(CONCATENATE(Travail!BE28,Travail!BE39,Travail!BE50))))</f>
        <v>221</v>
      </c>
      <c r="BF62" s="173">
        <f>IF(BF17=0,0,IF(BF39=3,0,VALUE(CONCATENATE(Travail!BF28,Travail!BF39,Travail!BF50))))</f>
        <v>221</v>
      </c>
      <c r="BG62" s="173">
        <f>IF(BG17=0,0,IF(BG39=3,0,VALUE(CONCATENATE(Travail!BG28,Travail!BG39,Travail!BG50))))</f>
        <v>221</v>
      </c>
      <c r="BH62" s="173">
        <f>IF(BH17=0,0,IF(BH39=3,0,VALUE(CONCATENATE(Travail!BH28,Travail!BH39,Travail!BH50))))</f>
        <v>221</v>
      </c>
      <c r="BI62" s="173">
        <f>IF(BI17=0,0,IF(BI39=3,0,VALUE(CONCATENATE(Travail!BI28,Travail!BI39,Travail!BI50))))</f>
        <v>221</v>
      </c>
      <c r="BJ62" s="173">
        <f>IF(BJ17=0,0,IF(BJ39=3,0,VALUE(CONCATENATE(Travail!BJ28,Travail!BJ39,Travail!BJ50))))</f>
        <v>221</v>
      </c>
      <c r="BK62" s="173">
        <f>IF(BK17=0,0,IF(BK39=3,0,VALUE(CONCATENATE(Travail!BK28,Travail!BK39,Travail!BK50))))</f>
        <v>221</v>
      </c>
      <c r="BL62" s="173">
        <f>IF(BL17=0,0,IF(BL39=3,0,VALUE(CONCATENATE(Travail!BL28,Travail!BL39,Travail!BL50))))</f>
        <v>221</v>
      </c>
      <c r="BM62" s="173">
        <f>IF(BM17=0,0,IF(BM39=3,0,VALUE(CONCATENATE(Travail!BM28,Travail!BM39,Travail!BM50))))</f>
        <v>221</v>
      </c>
      <c r="BN62" s="173">
        <f>IF(BN17=0,0,IF(BN39=3,0,VALUE(CONCATENATE(Travail!BN28,Travail!BN39,Travail!BN50))))</f>
        <v>221</v>
      </c>
      <c r="BO62" s="173">
        <f>IF(BO17=0,0,IF(BO39=3,0,VALUE(CONCATENATE(Travail!BO28,Travail!BO39,Travail!BO50))))</f>
        <v>0</v>
      </c>
      <c r="BP62" s="173">
        <f>IF(BP17=0,0,IF(BP39=3,0,VALUE(CONCATENATE(Travail!BP28,Travail!BP39,Travail!BP50))))</f>
        <v>0</v>
      </c>
      <c r="BQ62" s="173">
        <f>IF(BQ17=0,0,IF(BQ39=3,0,VALUE(CONCATENATE(Travail!BQ28,Travail!BQ39,Travail!BQ50))))</f>
        <v>0</v>
      </c>
      <c r="BR62" s="173">
        <f>IF(BR17=0,0,IF(BR39=3,0,VALUE(CONCATENATE(Travail!BR28,Travail!BR39,Travail!BR50))))</f>
        <v>0</v>
      </c>
      <c r="BS62" s="173">
        <f>IF(BS17=0,0,IF(BS39=3,0,VALUE(CONCATENATE(Travail!BS28,Travail!BS39,Travail!BS50))))</f>
        <v>0</v>
      </c>
      <c r="BZ62" s="189" t="str">
        <f t="shared" si="33"/>
        <v>genisses +1an</v>
      </c>
      <c r="CB62" s="173">
        <f>IF(CB17=0,0,IF(CB39=3,0,VALUE(CONCATENATE(Travail!CB28,Travail!CB39,Travail!CB50))))</f>
        <v>0</v>
      </c>
      <c r="CC62" s="173">
        <f>IF(CC17=0,0,IF(CC39=3,0,VALUE(CONCATENATE(Travail!CC28,Travail!CC39,Travail!CC50))))</f>
        <v>0</v>
      </c>
      <c r="CD62" s="173">
        <f>IF(CD17=0,0,IF(CD39=3,0,VALUE(CONCATENATE(Travail!CD28,Travail!CD39,Travail!CD50))))</f>
        <v>112</v>
      </c>
      <c r="CE62" s="173">
        <f>IF(CE17=0,0,IF(CE39=3,0,VALUE(CONCATENATE(Travail!CE28,Travail!CE39,Travail!CE50))))</f>
        <v>112</v>
      </c>
      <c r="CF62" s="173">
        <f>IF(CF17=0,0,IF(CF39=3,0,VALUE(CONCATENATE(Travail!CF28,Travail!CF39,Travail!CF50))))</f>
        <v>112</v>
      </c>
      <c r="CG62" s="173">
        <f>IF(CG17=0,0,IF(CG39=3,0,VALUE(CONCATENATE(Travail!CG28,Travail!CG39,Travail!CG50))))</f>
        <v>112</v>
      </c>
      <c r="CH62" s="173">
        <f>IF(CH17=0,0,IF(CH39=3,0,VALUE(CONCATENATE(Travail!CH28,Travail!CH39,Travail!CH50))))</f>
        <v>112</v>
      </c>
      <c r="CI62" s="173">
        <f>IF(CI17=0,0,IF(CI39=3,0,VALUE(CONCATENATE(Travail!CI28,Travail!CI39,Travail!CI50))))</f>
        <v>112</v>
      </c>
      <c r="CJ62" s="173">
        <f>IF(CJ17=0,0,IF(CJ39=3,0,VALUE(CONCATENATE(Travail!CJ28,Travail!CJ39,Travail!CJ50))))</f>
        <v>112</v>
      </c>
      <c r="CK62" s="173">
        <f>IF(CK17=0,0,IF(CK39=3,0,VALUE(CONCATENATE(Travail!CK28,Travail!CK39,Travail!CK50))))</f>
        <v>112</v>
      </c>
      <c r="CL62" s="173">
        <f>IF(CL17=0,0,IF(CL39=3,0,VALUE(CONCATENATE(Travail!CL28,Travail!CL39,Travail!CL50))))</f>
        <v>112</v>
      </c>
      <c r="CM62" s="173">
        <f>IF(CM17=0,0,IF(CM39=3,0,VALUE(CONCATENATE(Travail!CM28,Travail!CM39,Travail!CM50))))</f>
        <v>112</v>
      </c>
      <c r="CN62" s="173">
        <f>IF(CN17=0,0,IF(CN39=3,0,VALUE(CONCATENATE(Travail!CN28,Travail!CN39,Travail!CN50))))</f>
        <v>112</v>
      </c>
      <c r="CO62" s="173">
        <f>IF(CO17=0,0,IF(CO39=3,0,VALUE(CONCATENATE(Travail!CO28,Travail!CO39,Travail!CO50))))</f>
        <v>112</v>
      </c>
      <c r="CP62" s="173">
        <f>IF(CP17=0,0,IF(CP39=3,0,VALUE(CONCATENATE(Travail!CP28,Travail!CP39,Travail!CP50))))</f>
        <v>112</v>
      </c>
      <c r="CQ62" s="173">
        <f>IF(CQ17=0,0,IF(CQ39=3,0,VALUE(CONCATENATE(Travail!CQ28,Travail!CQ39,Travail!CQ50))))</f>
        <v>112</v>
      </c>
      <c r="CR62" s="173">
        <f>IF(CR17=0,0,IF(CR39=3,0,VALUE(CONCATENATE(Travail!CR28,Travail!CR39,Travail!CR50))))</f>
        <v>112</v>
      </c>
      <c r="CS62" s="173">
        <f>IF(CS17=0,0,IF(CS39=3,0,VALUE(CONCATENATE(Travail!CS28,Travail!CS39,Travail!CS50))))</f>
        <v>112</v>
      </c>
      <c r="CT62" s="173">
        <f>IF(CT17=0,0,IF(CT39=3,0,VALUE(CONCATENATE(Travail!CT28,Travail!CT39,Travail!CT50))))</f>
        <v>112</v>
      </c>
      <c r="CU62" s="173">
        <f>IF(CU17=0,0,IF(CU39=3,0,VALUE(CONCATENATE(Travail!CU28,Travail!CU39,Travail!CU50))))</f>
        <v>111</v>
      </c>
      <c r="CV62" s="173">
        <f>IF(CV17=0,0,IF(CV39=3,0,VALUE(CONCATENATE(Travail!CV28,Travail!CV39,Travail!CV50))))</f>
        <v>111</v>
      </c>
      <c r="CW62" s="173">
        <f>IF(CW17=0,0,IF(CW39=3,0,VALUE(CONCATENATE(Travail!CW28,Travail!CW39,Travail!CW50))))</f>
        <v>111</v>
      </c>
      <c r="CX62" s="173">
        <f>IF(CX17=0,0,IF(CX39=3,0,VALUE(CONCATENATE(Travail!CX28,Travail!CX39,Travail!CX50))))</f>
        <v>0</v>
      </c>
      <c r="CY62" s="173">
        <f>IF(CY17=0,0,IF(CY39=3,0,VALUE(CONCATENATE(Travail!CY28,Travail!CY39,Travail!CY50))))</f>
        <v>0</v>
      </c>
      <c r="DC62" s="189" t="str">
        <f t="shared" si="34"/>
        <v>lot3</v>
      </c>
      <c r="DE62" s="173">
        <f>IF(DE17=0,0,IF(DE39=3,0,VALUE(CONCATENATE(Travail!DE28,Travail!DE39,Travail!DE50))))</f>
        <v>0</v>
      </c>
      <c r="DF62" s="173">
        <f>IF(DF17=0,0,IF(DF39=3,0,VALUE(CONCATENATE(Travail!DF28,Travail!DF39,Travail!DF50))))</f>
        <v>0</v>
      </c>
      <c r="DG62" s="173">
        <f>IF(DG17=0,0,IF(DG39=3,0,VALUE(CONCATENATE(Travail!DG28,Travail!DG39,Travail!DG50))))</f>
        <v>0</v>
      </c>
      <c r="DH62" s="173">
        <f>IF(DH17=0,0,IF(DH39=3,0,VALUE(CONCATENATE(Travail!DH28,Travail!DH39,Travail!DH50))))</f>
        <v>0</v>
      </c>
      <c r="DI62" s="173">
        <f>IF(DI17=0,0,IF(DI39=3,0,VALUE(CONCATENATE(Travail!DI28,Travail!DI39,Travail!DI50))))</f>
        <v>0</v>
      </c>
      <c r="DJ62" s="173">
        <f>IF(DJ17=0,0,IF(DJ39=3,0,VALUE(CONCATENATE(Travail!DJ28,Travail!DJ39,Travail!DJ50))))</f>
        <v>0</v>
      </c>
      <c r="DK62" s="173">
        <f>IF(DK17=0,0,IF(DK39=3,0,VALUE(CONCATENATE(Travail!DK28,Travail!DK39,Travail!DK50))))</f>
        <v>0</v>
      </c>
      <c r="DL62" s="173">
        <f>IF(DL17=0,0,IF(DL39=3,0,VALUE(CONCATENATE(Travail!DL28,Travail!DL39,Travail!DL50))))</f>
        <v>0</v>
      </c>
      <c r="DM62" s="173">
        <f>IF(DM17=0,0,IF(DM39=3,0,VALUE(CONCATENATE(Travail!DM28,Travail!DM39,Travail!DM50))))</f>
        <v>0</v>
      </c>
      <c r="DN62" s="173">
        <f>IF(DN17=0,0,IF(DN39=3,0,VALUE(CONCATENATE(Travail!DN28,Travail!DN39,Travail!DN50))))</f>
        <v>0</v>
      </c>
      <c r="DO62" s="173">
        <f>IF(DO17=0,0,IF(DO39=3,0,VALUE(CONCATENATE(Travail!DO28,Travail!DO39,Travail!DO50))))</f>
        <v>0</v>
      </c>
      <c r="DP62" s="173">
        <f>IF(DP17=0,0,IF(DP39=3,0,VALUE(CONCATENATE(Travail!DP28,Travail!DP39,Travail!DP50))))</f>
        <v>0</v>
      </c>
      <c r="DQ62" s="173">
        <f>IF(DQ17=0,0,IF(DQ39=3,0,VALUE(CONCATENATE(Travail!DQ28,Travail!DQ39,Travail!DQ50))))</f>
        <v>0</v>
      </c>
      <c r="DR62" s="173">
        <f>IF(DR17=0,0,IF(DR39=3,0,VALUE(CONCATENATE(Travail!DR28,Travail!DR39,Travail!DR50))))</f>
        <v>0</v>
      </c>
      <c r="DS62" s="173">
        <f>IF(DS17=0,0,IF(DS39=3,0,VALUE(CONCATENATE(Travail!DS28,Travail!DS39,Travail!DS50))))</f>
        <v>0</v>
      </c>
      <c r="DT62" s="173">
        <f>IF(DT17=0,0,IF(DT39=3,0,VALUE(CONCATENATE(Travail!DT28,Travail!DT39,Travail!DT50))))</f>
        <v>0</v>
      </c>
      <c r="DU62" s="173">
        <f>IF(DU17=0,0,IF(DU39=3,0,VALUE(CONCATENATE(Travail!DU28,Travail!DU39,Travail!DU50))))</f>
        <v>0</v>
      </c>
      <c r="DV62" s="173">
        <f>IF(DV17=0,0,IF(DV39=3,0,VALUE(CONCATENATE(Travail!DV28,Travail!DV39,Travail!DV50))))</f>
        <v>0</v>
      </c>
      <c r="DW62" s="173">
        <f>IF(DW17=0,0,IF(DW39=3,0,VALUE(CONCATENATE(Travail!DW28,Travail!DW39,Travail!DW50))))</f>
        <v>0</v>
      </c>
      <c r="DX62" s="173">
        <f>IF(DX17=0,0,IF(DX39=3,0,VALUE(CONCATENATE(Travail!DX28,Travail!DX39,Travail!DX50))))</f>
        <v>0</v>
      </c>
      <c r="DY62" s="173">
        <f>IF(DY17=0,0,IF(DY39=3,0,VALUE(CONCATENATE(Travail!DY28,Travail!DY39,Travail!DY50))))</f>
        <v>0</v>
      </c>
      <c r="DZ62" s="173">
        <f>IF(DZ17=0,0,IF(DZ39=3,0,VALUE(CONCATENATE(Travail!DZ28,Travail!DZ39,Travail!DZ50))))</f>
        <v>0</v>
      </c>
      <c r="EA62" s="173">
        <f>IF(EA17=0,0,IF(EA39=3,0,VALUE(CONCATENATE(Travail!EA28,Travail!EA39,Travail!EA50))))</f>
        <v>0</v>
      </c>
      <c r="EB62" s="173">
        <f>IF(EB17=0,0,IF(EB39=3,0,VALUE(CONCATENATE(Travail!EB28,Travail!EB39,Travail!EB50))))</f>
        <v>0</v>
      </c>
    </row>
    <row r="63" spans="1:132" x14ac:dyDescent="0.25">
      <c r="A63" s="5" t="s">
        <v>801</v>
      </c>
      <c r="B63" s="23"/>
      <c r="C63" s="23"/>
      <c r="D63" s="23"/>
      <c r="E63" s="23"/>
      <c r="F63" s="173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8" t="s">
        <v>747</v>
      </c>
      <c r="AT63" s="189" t="str">
        <f t="shared" ref="AT63:AT69" si="35">+AT51</f>
        <v>beliers</v>
      </c>
      <c r="AV63" s="173">
        <f>IF(AV18=0,0,IF(AV40=3,0,VALUE(CONCATENATE(Travail!AV29,Travail!AV40,Travail!AV51))))</f>
        <v>222</v>
      </c>
      <c r="AW63" s="173">
        <f>IF(AW18=0,0,IF(AW40=3,0,VALUE(CONCATENATE(Travail!AW29,Travail!AW40,Travail!AW51))))</f>
        <v>222</v>
      </c>
      <c r="AX63" s="173">
        <f>IF(AX18=0,0,IF(AX40=3,0,VALUE(CONCATENATE(Travail!AX29,Travail!AX40,Travail!AX51))))</f>
        <v>222</v>
      </c>
      <c r="AY63" s="173">
        <f>IF(AY18=0,0,IF(AY40=3,0,VALUE(CONCATENATE(Travail!AY29,Travail!AY40,Travail!AY51))))</f>
        <v>222</v>
      </c>
      <c r="AZ63" s="173">
        <f>IF(AZ18=0,0,IF(AZ40=3,0,VALUE(CONCATENATE(Travail!AZ29,Travail!AZ40,Travail!AZ51))))</f>
        <v>222</v>
      </c>
      <c r="BA63" s="173">
        <f>IF(BA18=0,0,IF(BA40=3,0,VALUE(CONCATENATE(Travail!BA29,Travail!BA40,Travail!BA51))))</f>
        <v>222</v>
      </c>
      <c r="BB63" s="173">
        <f>IF(BB18=0,0,IF(BB40=3,0,VALUE(CONCATENATE(Travail!BB29,Travail!BB40,Travail!BB51))))</f>
        <v>222</v>
      </c>
      <c r="BC63" s="173">
        <f>IF(BC18=0,0,IF(BC40=3,0,VALUE(CONCATENATE(Travail!BC29,Travail!BC40,Travail!BC51))))</f>
        <v>222</v>
      </c>
      <c r="BD63" s="173">
        <f>IF(BD18=0,0,IF(BD40=3,0,VALUE(CONCATENATE(Travail!BD29,Travail!BD40,Travail!BD51))))</f>
        <v>221</v>
      </c>
      <c r="BE63" s="173">
        <f>IF(BE18=0,0,IF(BE40=3,0,VALUE(CONCATENATE(Travail!BE29,Travail!BE40,Travail!BE51))))</f>
        <v>0</v>
      </c>
      <c r="BF63" s="173">
        <f>IF(BF18=0,0,IF(BF40=3,0,VALUE(CONCATENATE(Travail!BF29,Travail!BF40,Travail!BF51))))</f>
        <v>0</v>
      </c>
      <c r="BG63" s="173">
        <f>IF(BG18=0,0,IF(BG40=3,0,VALUE(CONCATENATE(Travail!BG29,Travail!BG40,Travail!BG51))))</f>
        <v>0</v>
      </c>
      <c r="BH63" s="173">
        <f>IF(BH18=0,0,IF(BH40=3,0,VALUE(CONCATENATE(Travail!BH29,Travail!BH40,Travail!BH51))))</f>
        <v>0</v>
      </c>
      <c r="BI63" s="173">
        <f>IF(BI18=0,0,IF(BI40=3,0,VALUE(CONCATENATE(Travail!BI29,Travail!BI40,Travail!BI51))))</f>
        <v>0</v>
      </c>
      <c r="BJ63" s="173">
        <f>IF(BJ18=0,0,IF(BJ40=3,0,VALUE(CONCATENATE(Travail!BJ29,Travail!BJ40,Travail!BJ51))))</f>
        <v>0</v>
      </c>
      <c r="BK63" s="173">
        <f>IF(BK18=0,0,IF(BK40=3,0,VALUE(CONCATENATE(Travail!BK29,Travail!BK40,Travail!BK51))))</f>
        <v>0</v>
      </c>
      <c r="BL63" s="173">
        <f>IF(BL18=0,0,IF(BL40=3,0,VALUE(CONCATENATE(Travail!BL29,Travail!BL40,Travail!BL51))))</f>
        <v>0</v>
      </c>
      <c r="BM63" s="173">
        <f>IF(BM18=0,0,IF(BM40=3,0,VALUE(CONCATENATE(Travail!BM29,Travail!BM40,Travail!BM51))))</f>
        <v>0</v>
      </c>
      <c r="BN63" s="173">
        <f>IF(BN18=0,0,IF(BN40=3,0,VALUE(CONCATENATE(Travail!BN29,Travail!BN40,Travail!BN51))))</f>
        <v>0</v>
      </c>
      <c r="BO63" s="173">
        <f>IF(BO18=0,0,IF(BO40=3,0,VALUE(CONCATENATE(Travail!BO29,Travail!BO40,Travail!BO51))))</f>
        <v>222</v>
      </c>
      <c r="BP63" s="173">
        <f>IF(BP18=0,0,IF(BP40=3,0,VALUE(CONCATENATE(Travail!BP29,Travail!BP40,Travail!BP51))))</f>
        <v>222</v>
      </c>
      <c r="BQ63" s="173">
        <f>IF(BQ18=0,0,IF(BQ40=3,0,VALUE(CONCATENATE(Travail!BQ29,Travail!BQ40,Travail!BQ51))))</f>
        <v>222</v>
      </c>
      <c r="BR63" s="173">
        <f>IF(BR18=0,0,IF(BR40=3,0,VALUE(CONCATENATE(Travail!BR29,Travail!BR40,Travail!BR51))))</f>
        <v>222</v>
      </c>
      <c r="BS63" s="173">
        <f>IF(BS18=0,0,IF(BS40=3,0,VALUE(CONCATENATE(Travail!BS29,Travail!BS40,Travail!BS51))))</f>
        <v>222</v>
      </c>
      <c r="BZ63" s="189" t="str">
        <f t="shared" si="33"/>
        <v>lot4</v>
      </c>
      <c r="CB63" s="173">
        <f>IF(CB18=0,0,IF(CB40=3,0,VALUE(CONCATENATE(Travail!CB29,Travail!CB40,Travail!CB51))))</f>
        <v>0</v>
      </c>
      <c r="CC63" s="173">
        <f>IF(CC18=0,0,IF(CC40=3,0,VALUE(CONCATENATE(Travail!CC29,Travail!CC40,Travail!CC51))))</f>
        <v>0</v>
      </c>
      <c r="CD63" s="173">
        <f>IF(CD18=0,0,IF(CD40=3,0,VALUE(CONCATENATE(Travail!CD29,Travail!CD40,Travail!CD51))))</f>
        <v>0</v>
      </c>
      <c r="CE63" s="173">
        <f>IF(CE18=0,0,IF(CE40=3,0,VALUE(CONCATENATE(Travail!CE29,Travail!CE40,Travail!CE51))))</f>
        <v>0</v>
      </c>
      <c r="CF63" s="173">
        <f>IF(CF18=0,0,IF(CF40=3,0,VALUE(CONCATENATE(Travail!CF29,Travail!CF40,Travail!CF51))))</f>
        <v>0</v>
      </c>
      <c r="CG63" s="173">
        <f>IF(CG18=0,0,IF(CG40=3,0,VALUE(CONCATENATE(Travail!CG29,Travail!CG40,Travail!CG51))))</f>
        <v>0</v>
      </c>
      <c r="CH63" s="173">
        <f>IF(CH18=0,0,IF(CH40=3,0,VALUE(CONCATENATE(Travail!CH29,Travail!CH40,Travail!CH51))))</f>
        <v>0</v>
      </c>
      <c r="CI63" s="173">
        <f>IF(CI18=0,0,IF(CI40=3,0,VALUE(CONCATENATE(Travail!CI29,Travail!CI40,Travail!CI51))))</f>
        <v>0</v>
      </c>
      <c r="CJ63" s="173">
        <f>IF(CJ18=0,0,IF(CJ40=3,0,VALUE(CONCATENATE(Travail!CJ29,Travail!CJ40,Travail!CJ51))))</f>
        <v>0</v>
      </c>
      <c r="CK63" s="173">
        <f>IF(CK18=0,0,IF(CK40=3,0,VALUE(CONCATENATE(Travail!CK29,Travail!CK40,Travail!CK51))))</f>
        <v>0</v>
      </c>
      <c r="CL63" s="173">
        <f>IF(CL18=0,0,IF(CL40=3,0,VALUE(CONCATENATE(Travail!CL29,Travail!CL40,Travail!CL51))))</f>
        <v>0</v>
      </c>
      <c r="CM63" s="173">
        <f>IF(CM18=0,0,IF(CM40=3,0,VALUE(CONCATENATE(Travail!CM29,Travail!CM40,Travail!CM51))))</f>
        <v>0</v>
      </c>
      <c r="CN63" s="173">
        <f>IF(CN18=0,0,IF(CN40=3,0,VALUE(CONCATENATE(Travail!CN29,Travail!CN40,Travail!CN51))))</f>
        <v>0</v>
      </c>
      <c r="CO63" s="173">
        <f>IF(CO18=0,0,IF(CO40=3,0,VALUE(CONCATENATE(Travail!CO29,Travail!CO40,Travail!CO51))))</f>
        <v>0</v>
      </c>
      <c r="CP63" s="173">
        <f>IF(CP18=0,0,IF(CP40=3,0,VALUE(CONCATENATE(Travail!CP29,Travail!CP40,Travail!CP51))))</f>
        <v>0</v>
      </c>
      <c r="CQ63" s="173">
        <f>IF(CQ18=0,0,IF(CQ40=3,0,VALUE(CONCATENATE(Travail!CQ29,Travail!CQ40,Travail!CQ51))))</f>
        <v>0</v>
      </c>
      <c r="CR63" s="173">
        <f>IF(CR18=0,0,IF(CR40=3,0,VALUE(CONCATENATE(Travail!CR29,Travail!CR40,Travail!CR51))))</f>
        <v>0</v>
      </c>
      <c r="CS63" s="173">
        <f>IF(CS18=0,0,IF(CS40=3,0,VALUE(CONCATENATE(Travail!CS29,Travail!CS40,Travail!CS51))))</f>
        <v>0</v>
      </c>
      <c r="CT63" s="173">
        <f>IF(CT18=0,0,IF(CT40=3,0,VALUE(CONCATENATE(Travail!CT29,Travail!CT40,Travail!CT51))))</f>
        <v>0</v>
      </c>
      <c r="CU63" s="173">
        <f>IF(CU18=0,0,IF(CU40=3,0,VALUE(CONCATENATE(Travail!CU29,Travail!CU40,Travail!CU51))))</f>
        <v>0</v>
      </c>
      <c r="CV63" s="173">
        <f>IF(CV18=0,0,IF(CV40=3,0,VALUE(CONCATENATE(Travail!CV29,Travail!CV40,Travail!CV51))))</f>
        <v>0</v>
      </c>
      <c r="CW63" s="173">
        <f>IF(CW18=0,0,IF(CW40=3,0,VALUE(CONCATENATE(Travail!CW29,Travail!CW40,Travail!CW51))))</f>
        <v>0</v>
      </c>
      <c r="CX63" s="173">
        <f>IF(CX18=0,0,IF(CX40=3,0,VALUE(CONCATENATE(Travail!CX29,Travail!CX40,Travail!CX51))))</f>
        <v>0</v>
      </c>
      <c r="CY63" s="173">
        <f>IF(CY18=0,0,IF(CY40=3,0,VALUE(CONCATENATE(Travail!CY29,Travail!CY40,Travail!CY51))))</f>
        <v>0</v>
      </c>
      <c r="DC63" s="189" t="str">
        <f t="shared" si="34"/>
        <v>lot4</v>
      </c>
      <c r="DE63" s="173">
        <f>IF(DE18=0,0,IF(DE40=3,0,VALUE(CONCATENATE(Travail!DE29,Travail!DE40,Travail!DE51))))</f>
        <v>0</v>
      </c>
      <c r="DF63" s="173">
        <f>IF(DF18=0,0,IF(DF40=3,0,VALUE(CONCATENATE(Travail!DF29,Travail!DF40,Travail!DF51))))</f>
        <v>0</v>
      </c>
      <c r="DG63" s="173">
        <f>IF(DG18=0,0,IF(DG40=3,0,VALUE(CONCATENATE(Travail!DG29,Travail!DG40,Travail!DG51))))</f>
        <v>0</v>
      </c>
      <c r="DH63" s="173">
        <f>IF(DH18=0,0,IF(DH40=3,0,VALUE(CONCATENATE(Travail!DH29,Travail!DH40,Travail!DH51))))</f>
        <v>0</v>
      </c>
      <c r="DI63" s="173">
        <f>IF(DI18=0,0,IF(DI40=3,0,VALUE(CONCATENATE(Travail!DI29,Travail!DI40,Travail!DI51))))</f>
        <v>0</v>
      </c>
      <c r="DJ63" s="173">
        <f>IF(DJ18=0,0,IF(DJ40=3,0,VALUE(CONCATENATE(Travail!DJ29,Travail!DJ40,Travail!DJ51))))</f>
        <v>0</v>
      </c>
      <c r="DK63" s="173">
        <f>IF(DK18=0,0,IF(DK40=3,0,VALUE(CONCATENATE(Travail!DK29,Travail!DK40,Travail!DK51))))</f>
        <v>0</v>
      </c>
      <c r="DL63" s="173">
        <f>IF(DL18=0,0,IF(DL40=3,0,VALUE(CONCATENATE(Travail!DL29,Travail!DL40,Travail!DL51))))</f>
        <v>0</v>
      </c>
      <c r="DM63" s="173">
        <f>IF(DM18=0,0,IF(DM40=3,0,VALUE(CONCATENATE(Travail!DM29,Travail!DM40,Travail!DM51))))</f>
        <v>0</v>
      </c>
      <c r="DN63" s="173">
        <f>IF(DN18=0,0,IF(DN40=3,0,VALUE(CONCATENATE(Travail!DN29,Travail!DN40,Travail!DN51))))</f>
        <v>0</v>
      </c>
      <c r="DO63" s="173">
        <f>IF(DO18=0,0,IF(DO40=3,0,VALUE(CONCATENATE(Travail!DO29,Travail!DO40,Travail!DO51))))</f>
        <v>0</v>
      </c>
      <c r="DP63" s="173">
        <f>IF(DP18=0,0,IF(DP40=3,0,VALUE(CONCATENATE(Travail!DP29,Travail!DP40,Travail!DP51))))</f>
        <v>0</v>
      </c>
      <c r="DQ63" s="173">
        <f>IF(DQ18=0,0,IF(DQ40=3,0,VALUE(CONCATENATE(Travail!DQ29,Travail!DQ40,Travail!DQ51))))</f>
        <v>0</v>
      </c>
      <c r="DR63" s="173">
        <f>IF(DR18=0,0,IF(DR40=3,0,VALUE(CONCATENATE(Travail!DR29,Travail!DR40,Travail!DR51))))</f>
        <v>0</v>
      </c>
      <c r="DS63" s="173">
        <f>IF(DS18=0,0,IF(DS40=3,0,VALUE(CONCATENATE(Travail!DS29,Travail!DS40,Travail!DS51))))</f>
        <v>0</v>
      </c>
      <c r="DT63" s="173">
        <f>IF(DT18=0,0,IF(DT40=3,0,VALUE(CONCATENATE(Travail!DT29,Travail!DT40,Travail!DT51))))</f>
        <v>0</v>
      </c>
      <c r="DU63" s="173">
        <f>IF(DU18=0,0,IF(DU40=3,0,VALUE(CONCATENATE(Travail!DU29,Travail!DU40,Travail!DU51))))</f>
        <v>0</v>
      </c>
      <c r="DV63" s="173">
        <f>IF(DV18=0,0,IF(DV40=3,0,VALUE(CONCATENATE(Travail!DV29,Travail!DV40,Travail!DV51))))</f>
        <v>0</v>
      </c>
      <c r="DW63" s="173">
        <f>IF(DW18=0,0,IF(DW40=3,0,VALUE(CONCATENATE(Travail!DW29,Travail!DW40,Travail!DW51))))</f>
        <v>0</v>
      </c>
      <c r="DX63" s="173">
        <f>IF(DX18=0,0,IF(DX40=3,0,VALUE(CONCATENATE(Travail!DX29,Travail!DX40,Travail!DX51))))</f>
        <v>0</v>
      </c>
      <c r="DY63" s="173">
        <f>IF(DY18=0,0,IF(DY40=3,0,VALUE(CONCATENATE(Travail!DY29,Travail!DY40,Travail!DY51))))</f>
        <v>0</v>
      </c>
      <c r="DZ63" s="173">
        <f>IF(DZ18=0,0,IF(DZ40=3,0,VALUE(CONCATENATE(Travail!DZ29,Travail!DZ40,Travail!DZ51))))</f>
        <v>0</v>
      </c>
      <c r="EA63" s="173">
        <f>IF(EA18=0,0,IF(EA40=3,0,VALUE(CONCATENATE(Travail!EA29,Travail!EA40,Travail!EA51))))</f>
        <v>0</v>
      </c>
      <c r="EB63" s="173">
        <f>IF(EB18=0,0,IF(EB40=3,0,VALUE(CONCATENATE(Travail!EB29,Travail!EB40,Travail!EB51))))</f>
        <v>0</v>
      </c>
    </row>
    <row r="64" spans="1:132" x14ac:dyDescent="0.25">
      <c r="A64" s="5" t="s">
        <v>802</v>
      </c>
      <c r="B64" s="23"/>
      <c r="C64" s="23"/>
      <c r="D64" s="23"/>
      <c r="E64" s="23"/>
      <c r="F64" s="173">
        <f>IF(Troupeau!C3="",0,VLOOKUP(Troupeau!C3,[1]Trav!$A$129:$B$132,2)*8)</f>
        <v>160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8"/>
      <c r="AT64" s="189" t="str">
        <f t="shared" si="35"/>
        <v>lot5</v>
      </c>
      <c r="AV64" s="173">
        <f>IF(AV19=0,0,IF(AV41=3,0,VALUE(CONCATENATE(Travail!AV30,Travail!AV41,Travail!AV52))))</f>
        <v>0</v>
      </c>
      <c r="AW64" s="173">
        <f>IF(AW19=0,0,IF(AW41=3,0,VALUE(CONCATENATE(Travail!AW30,Travail!AW41,Travail!AW52))))</f>
        <v>0</v>
      </c>
      <c r="AX64" s="173">
        <f>IF(AX19=0,0,IF(AX41=3,0,VALUE(CONCATENATE(Travail!AX30,Travail!AX41,Travail!AX52))))</f>
        <v>0</v>
      </c>
      <c r="AY64" s="173">
        <f>IF(AY19=0,0,IF(AY41=3,0,VALUE(CONCATENATE(Travail!AY30,Travail!AY41,Travail!AY52))))</f>
        <v>0</v>
      </c>
      <c r="AZ64" s="173">
        <f>IF(AZ19=0,0,IF(AZ41=3,0,VALUE(CONCATENATE(Travail!AZ30,Travail!AZ41,Travail!AZ52))))</f>
        <v>0</v>
      </c>
      <c r="BA64" s="173">
        <f>IF(BA19=0,0,IF(BA41=3,0,VALUE(CONCATENATE(Travail!BA30,Travail!BA41,Travail!BA52))))</f>
        <v>0</v>
      </c>
      <c r="BB64" s="173">
        <f>IF(BB19=0,0,IF(BB41=3,0,VALUE(CONCATENATE(Travail!BB30,Travail!BB41,Travail!BB52))))</f>
        <v>0</v>
      </c>
      <c r="BC64" s="173">
        <f>IF(BC19=0,0,IF(BC41=3,0,VALUE(CONCATENATE(Travail!BC30,Travail!BC41,Travail!BC52))))</f>
        <v>0</v>
      </c>
      <c r="BD64" s="173">
        <f>IF(BD19=0,0,IF(BD41=3,0,VALUE(CONCATENATE(Travail!BD30,Travail!BD41,Travail!BD52))))</f>
        <v>0</v>
      </c>
      <c r="BE64" s="173">
        <f>IF(BE19=0,0,IF(BE41=3,0,VALUE(CONCATENATE(Travail!BE30,Travail!BE41,Travail!BE52))))</f>
        <v>0</v>
      </c>
      <c r="BF64" s="173">
        <f>IF(BF19=0,0,IF(BF41=3,0,VALUE(CONCATENATE(Travail!BF30,Travail!BF41,Travail!BF52))))</f>
        <v>0</v>
      </c>
      <c r="BG64" s="173">
        <f>IF(BG19=0,0,IF(BG41=3,0,VALUE(CONCATENATE(Travail!BG30,Travail!BG41,Travail!BG52))))</f>
        <v>0</v>
      </c>
      <c r="BH64" s="173">
        <f>IF(BH19=0,0,IF(BH41=3,0,VALUE(CONCATENATE(Travail!BH30,Travail!BH41,Travail!BH52))))</f>
        <v>0</v>
      </c>
      <c r="BI64" s="173">
        <f>IF(BI19=0,0,IF(BI41=3,0,VALUE(CONCATENATE(Travail!BI30,Travail!BI41,Travail!BI52))))</f>
        <v>0</v>
      </c>
      <c r="BJ64" s="173">
        <f>IF(BJ19=0,0,IF(BJ41=3,0,VALUE(CONCATENATE(Travail!BJ30,Travail!BJ41,Travail!BJ52))))</f>
        <v>0</v>
      </c>
      <c r="BK64" s="173">
        <f>IF(BK19=0,0,IF(BK41=3,0,VALUE(CONCATENATE(Travail!BK30,Travail!BK41,Travail!BK52))))</f>
        <v>0</v>
      </c>
      <c r="BL64" s="173">
        <f>IF(BL19=0,0,IF(BL41=3,0,VALUE(CONCATENATE(Travail!BL30,Travail!BL41,Travail!BL52))))</f>
        <v>0</v>
      </c>
      <c r="BM64" s="173">
        <f>IF(BM19=0,0,IF(BM41=3,0,VALUE(CONCATENATE(Travail!BM30,Travail!BM41,Travail!BM52))))</f>
        <v>0</v>
      </c>
      <c r="BN64" s="173">
        <f>IF(BN19=0,0,IF(BN41=3,0,VALUE(CONCATENATE(Travail!BN30,Travail!BN41,Travail!BN52))))</f>
        <v>0</v>
      </c>
      <c r="BO64" s="173">
        <f>IF(BO19=0,0,IF(BO41=3,0,VALUE(CONCATENATE(Travail!BO30,Travail!BO41,Travail!BO52))))</f>
        <v>0</v>
      </c>
      <c r="BP64" s="173">
        <f>IF(BP19=0,0,IF(BP41=3,0,VALUE(CONCATENATE(Travail!BP30,Travail!BP41,Travail!BP52))))</f>
        <v>0</v>
      </c>
      <c r="BQ64" s="173">
        <f>IF(BQ19=0,0,IF(BQ41=3,0,VALUE(CONCATENATE(Travail!BQ30,Travail!BQ41,Travail!BQ52))))</f>
        <v>0</v>
      </c>
      <c r="BR64" s="173">
        <f>IF(BR19=0,0,IF(BR41=3,0,VALUE(CONCATENATE(Travail!BR30,Travail!BR41,Travail!BR52))))</f>
        <v>0</v>
      </c>
      <c r="BS64" s="173">
        <f>IF(BS19=0,0,IF(BS41=3,0,VALUE(CONCATENATE(Travail!BS30,Travail!BS41,Travail!BS52))))</f>
        <v>0</v>
      </c>
      <c r="BZ64" s="189" t="str">
        <f t="shared" si="33"/>
        <v>lot5</v>
      </c>
      <c r="CB64" s="173">
        <f>IF(CB19=0,0,IF(CB41=3,0,VALUE(CONCATENATE(Travail!CB30,Travail!CB41,Travail!CB52))))</f>
        <v>0</v>
      </c>
      <c r="CC64" s="173">
        <f>IF(CC19=0,0,IF(CC41=3,0,VALUE(CONCATENATE(Travail!CC30,Travail!CC41,Travail!CC52))))</f>
        <v>0</v>
      </c>
      <c r="CD64" s="173">
        <f>IF(CD19=0,0,IF(CD41=3,0,VALUE(CONCATENATE(Travail!CD30,Travail!CD41,Travail!CD52))))</f>
        <v>0</v>
      </c>
      <c r="CE64" s="173">
        <f>IF(CE19=0,0,IF(CE41=3,0,VALUE(CONCATENATE(Travail!CE30,Travail!CE41,Travail!CE52))))</f>
        <v>0</v>
      </c>
      <c r="CF64" s="173">
        <f>IF(CF19=0,0,IF(CF41=3,0,VALUE(CONCATENATE(Travail!CF30,Travail!CF41,Travail!CF52))))</f>
        <v>0</v>
      </c>
      <c r="CG64" s="173">
        <f>IF(CG19=0,0,IF(CG41=3,0,VALUE(CONCATENATE(Travail!CG30,Travail!CG41,Travail!CG52))))</f>
        <v>0</v>
      </c>
      <c r="CH64" s="173">
        <f>IF(CH19=0,0,IF(CH41=3,0,VALUE(CONCATENATE(Travail!CH30,Travail!CH41,Travail!CH52))))</f>
        <v>0</v>
      </c>
      <c r="CI64" s="173">
        <f>IF(CI19=0,0,IF(CI41=3,0,VALUE(CONCATENATE(Travail!CI30,Travail!CI41,Travail!CI52))))</f>
        <v>0</v>
      </c>
      <c r="CJ64" s="173">
        <f>IF(CJ19=0,0,IF(CJ41=3,0,VALUE(CONCATENATE(Travail!CJ30,Travail!CJ41,Travail!CJ52))))</f>
        <v>0</v>
      </c>
      <c r="CK64" s="173">
        <f>IF(CK19=0,0,IF(CK41=3,0,VALUE(CONCATENATE(Travail!CK30,Travail!CK41,Travail!CK52))))</f>
        <v>0</v>
      </c>
      <c r="CL64" s="173">
        <f>IF(CL19=0,0,IF(CL41=3,0,VALUE(CONCATENATE(Travail!CL30,Travail!CL41,Travail!CL52))))</f>
        <v>0</v>
      </c>
      <c r="CM64" s="173">
        <f>IF(CM19=0,0,IF(CM41=3,0,VALUE(CONCATENATE(Travail!CM30,Travail!CM41,Travail!CM52))))</f>
        <v>0</v>
      </c>
      <c r="CN64" s="173">
        <f>IF(CN19=0,0,IF(CN41=3,0,VALUE(CONCATENATE(Travail!CN30,Travail!CN41,Travail!CN52))))</f>
        <v>0</v>
      </c>
      <c r="CO64" s="173">
        <f>IF(CO19=0,0,IF(CO41=3,0,VALUE(CONCATENATE(Travail!CO30,Travail!CO41,Travail!CO52))))</f>
        <v>0</v>
      </c>
      <c r="CP64" s="173">
        <f>IF(CP19=0,0,IF(CP41=3,0,VALUE(CONCATENATE(Travail!CP30,Travail!CP41,Travail!CP52))))</f>
        <v>0</v>
      </c>
      <c r="CQ64" s="173">
        <f>IF(CQ19=0,0,IF(CQ41=3,0,VALUE(CONCATENATE(Travail!CQ30,Travail!CQ41,Travail!CQ52))))</f>
        <v>0</v>
      </c>
      <c r="CR64" s="173">
        <f>IF(CR19=0,0,IF(CR41=3,0,VALUE(CONCATENATE(Travail!CR30,Travail!CR41,Travail!CR52))))</f>
        <v>0</v>
      </c>
      <c r="CS64" s="173">
        <f>IF(CS19=0,0,IF(CS41=3,0,VALUE(CONCATENATE(Travail!CS30,Travail!CS41,Travail!CS52))))</f>
        <v>0</v>
      </c>
      <c r="CT64" s="173">
        <f>IF(CT19=0,0,IF(CT41=3,0,VALUE(CONCATENATE(Travail!CT30,Travail!CT41,Travail!CT52))))</f>
        <v>0</v>
      </c>
      <c r="CU64" s="173">
        <f>IF(CU19=0,0,IF(CU41=3,0,VALUE(CONCATENATE(Travail!CU30,Travail!CU41,Travail!CU52))))</f>
        <v>0</v>
      </c>
      <c r="CV64" s="173">
        <f>IF(CV19=0,0,IF(CV41=3,0,VALUE(CONCATENATE(Travail!CV30,Travail!CV41,Travail!CV52))))</f>
        <v>0</v>
      </c>
      <c r="CW64" s="173">
        <f>IF(CW19=0,0,IF(CW41=3,0,VALUE(CONCATENATE(Travail!CW30,Travail!CW41,Travail!CW52))))</f>
        <v>0</v>
      </c>
      <c r="CX64" s="173">
        <f>IF(CX19=0,0,IF(CX41=3,0,VALUE(CONCATENATE(Travail!CX30,Travail!CX41,Travail!CX52))))</f>
        <v>0</v>
      </c>
      <c r="CY64" s="173">
        <f>IF(CY19=0,0,IF(CY41=3,0,VALUE(CONCATENATE(Travail!CY30,Travail!CY41,Travail!CY52))))</f>
        <v>0</v>
      </c>
      <c r="DC64" s="189" t="str">
        <f t="shared" si="34"/>
        <v>lot5</v>
      </c>
      <c r="DE64" s="173">
        <f>IF(DE19=0,0,IF(DE41=3,0,VALUE(CONCATENATE(Travail!DE30,Travail!DE41,Travail!DE52))))</f>
        <v>0</v>
      </c>
      <c r="DF64" s="173">
        <f>IF(DF19=0,0,IF(DF41=3,0,VALUE(CONCATENATE(Travail!DF30,Travail!DF41,Travail!DF52))))</f>
        <v>0</v>
      </c>
      <c r="DG64" s="173">
        <f>IF(DG19=0,0,IF(DG41=3,0,VALUE(CONCATENATE(Travail!DG30,Travail!DG41,Travail!DG52))))</f>
        <v>0</v>
      </c>
      <c r="DH64" s="173">
        <f>IF(DH19=0,0,IF(DH41=3,0,VALUE(CONCATENATE(Travail!DH30,Travail!DH41,Travail!DH52))))</f>
        <v>0</v>
      </c>
      <c r="DI64" s="173">
        <f>IF(DI19=0,0,IF(DI41=3,0,VALUE(CONCATENATE(Travail!DI30,Travail!DI41,Travail!DI52))))</f>
        <v>0</v>
      </c>
      <c r="DJ64" s="173">
        <f>IF(DJ19=0,0,IF(DJ41=3,0,VALUE(CONCATENATE(Travail!DJ30,Travail!DJ41,Travail!DJ52))))</f>
        <v>0</v>
      </c>
      <c r="DK64" s="173">
        <f>IF(DK19=0,0,IF(DK41=3,0,VALUE(CONCATENATE(Travail!DK30,Travail!DK41,Travail!DK52))))</f>
        <v>0</v>
      </c>
      <c r="DL64" s="173">
        <f>IF(DL19=0,0,IF(DL41=3,0,VALUE(CONCATENATE(Travail!DL30,Travail!DL41,Travail!DL52))))</f>
        <v>0</v>
      </c>
      <c r="DM64" s="173">
        <f>IF(DM19=0,0,IF(DM41=3,0,VALUE(CONCATENATE(Travail!DM30,Travail!DM41,Travail!DM52))))</f>
        <v>0</v>
      </c>
      <c r="DN64" s="173">
        <f>IF(DN19=0,0,IF(DN41=3,0,VALUE(CONCATENATE(Travail!DN30,Travail!DN41,Travail!DN52))))</f>
        <v>0</v>
      </c>
      <c r="DO64" s="173">
        <f>IF(DO19=0,0,IF(DO41=3,0,VALUE(CONCATENATE(Travail!DO30,Travail!DO41,Travail!DO52))))</f>
        <v>0</v>
      </c>
      <c r="DP64" s="173">
        <f>IF(DP19=0,0,IF(DP41=3,0,VALUE(CONCATENATE(Travail!DP30,Travail!DP41,Travail!DP52))))</f>
        <v>0</v>
      </c>
      <c r="DQ64" s="173">
        <f>IF(DQ19=0,0,IF(DQ41=3,0,VALUE(CONCATENATE(Travail!DQ30,Travail!DQ41,Travail!DQ52))))</f>
        <v>0</v>
      </c>
      <c r="DR64" s="173">
        <f>IF(DR19=0,0,IF(DR41=3,0,VALUE(CONCATENATE(Travail!DR30,Travail!DR41,Travail!DR52))))</f>
        <v>0</v>
      </c>
      <c r="DS64" s="173">
        <f>IF(DS19=0,0,IF(DS41=3,0,VALUE(CONCATENATE(Travail!DS30,Travail!DS41,Travail!DS52))))</f>
        <v>0</v>
      </c>
      <c r="DT64" s="173">
        <f>IF(DT19=0,0,IF(DT41=3,0,VALUE(CONCATENATE(Travail!DT30,Travail!DT41,Travail!DT52))))</f>
        <v>0</v>
      </c>
      <c r="DU64" s="173">
        <f>IF(DU19=0,0,IF(DU41=3,0,VALUE(CONCATENATE(Travail!DU30,Travail!DU41,Travail!DU52))))</f>
        <v>0</v>
      </c>
      <c r="DV64" s="173">
        <f>IF(DV19=0,0,IF(DV41=3,0,VALUE(CONCATENATE(Travail!DV30,Travail!DV41,Travail!DV52))))</f>
        <v>0</v>
      </c>
      <c r="DW64" s="173">
        <f>IF(DW19=0,0,IF(DW41=3,0,VALUE(CONCATENATE(Travail!DW30,Travail!DW41,Travail!DW52))))</f>
        <v>0</v>
      </c>
      <c r="DX64" s="173">
        <f>IF(DX19=0,0,IF(DX41=3,0,VALUE(CONCATENATE(Travail!DX30,Travail!DX41,Travail!DX52))))</f>
        <v>0</v>
      </c>
      <c r="DY64" s="173">
        <f>IF(DY19=0,0,IF(DY41=3,0,VALUE(CONCATENATE(Travail!DY30,Travail!DY41,Travail!DY52))))</f>
        <v>0</v>
      </c>
      <c r="DZ64" s="173">
        <f>IF(DZ19=0,0,IF(DZ41=3,0,VALUE(CONCATENATE(Travail!DZ30,Travail!DZ41,Travail!DZ52))))</f>
        <v>0</v>
      </c>
      <c r="EA64" s="173">
        <f>IF(EA19=0,0,IF(EA41=3,0,VALUE(CONCATENATE(Travail!EA30,Travail!EA41,Travail!EA52))))</f>
        <v>0</v>
      </c>
      <c r="EB64" s="173">
        <f>IF(EB19=0,0,IF(EB41=3,0,VALUE(CONCATENATE(Travail!EB30,Travail!EB41,Travail!EB52))))</f>
        <v>0</v>
      </c>
    </row>
    <row r="65" spans="1:132" x14ac:dyDescent="0.25">
      <c r="A65" s="5" t="s">
        <v>803</v>
      </c>
      <c r="B65" s="23"/>
      <c r="C65" s="23"/>
      <c r="D65" s="23"/>
      <c r="E65" s="23"/>
      <c r="F65" s="173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8"/>
      <c r="AT65" s="189" t="str">
        <f t="shared" si="35"/>
        <v>lot6</v>
      </c>
      <c r="AV65" s="173">
        <f>IF(AV20=0,0,IF(AV42=3,0,VALUE(CONCATENATE(Travail!AV31,Travail!AV42,Travail!AV53))))</f>
        <v>0</v>
      </c>
      <c r="AW65" s="173">
        <f>IF(AW20=0,0,IF(AW42=3,0,VALUE(CONCATENATE(Travail!AW31,Travail!AW42,Travail!AW53))))</f>
        <v>0</v>
      </c>
      <c r="AX65" s="173">
        <f>IF(AX20=0,0,IF(AX42=3,0,VALUE(CONCATENATE(Travail!AX31,Travail!AX42,Travail!AX53))))</f>
        <v>0</v>
      </c>
      <c r="AY65" s="173">
        <f>IF(AY20=0,0,IF(AY42=3,0,VALUE(CONCATENATE(Travail!AY31,Travail!AY42,Travail!AY53))))</f>
        <v>0</v>
      </c>
      <c r="AZ65" s="173">
        <f>IF(AZ20=0,0,IF(AZ42=3,0,VALUE(CONCATENATE(Travail!AZ31,Travail!AZ42,Travail!AZ53))))</f>
        <v>0</v>
      </c>
      <c r="BA65" s="173">
        <f>IF(BA20=0,0,IF(BA42=3,0,VALUE(CONCATENATE(Travail!BA31,Travail!BA42,Travail!BA53))))</f>
        <v>0</v>
      </c>
      <c r="BB65" s="173">
        <f>IF(BB20=0,0,IF(BB42=3,0,VALUE(CONCATENATE(Travail!BB31,Travail!BB42,Travail!BB53))))</f>
        <v>0</v>
      </c>
      <c r="BC65" s="173">
        <f>IF(BC20=0,0,IF(BC42=3,0,VALUE(CONCATENATE(Travail!BC31,Travail!BC42,Travail!BC53))))</f>
        <v>0</v>
      </c>
      <c r="BD65" s="173">
        <f>IF(BD20=0,0,IF(BD42=3,0,VALUE(CONCATENATE(Travail!BD31,Travail!BD42,Travail!BD53))))</f>
        <v>0</v>
      </c>
      <c r="BE65" s="173">
        <f>IF(BE20=0,0,IF(BE42=3,0,VALUE(CONCATENATE(Travail!BE31,Travail!BE42,Travail!BE53))))</f>
        <v>0</v>
      </c>
      <c r="BF65" s="173">
        <f>IF(BF20=0,0,IF(BF42=3,0,VALUE(CONCATENATE(Travail!BF31,Travail!BF42,Travail!BF53))))</f>
        <v>0</v>
      </c>
      <c r="BG65" s="173">
        <f>IF(BG20=0,0,IF(BG42=3,0,VALUE(CONCATENATE(Travail!BG31,Travail!BG42,Travail!BG53))))</f>
        <v>0</v>
      </c>
      <c r="BH65" s="173">
        <f>IF(BH20=0,0,IF(BH42=3,0,VALUE(CONCATENATE(Travail!BH31,Travail!BH42,Travail!BH53))))</f>
        <v>0</v>
      </c>
      <c r="BI65" s="173">
        <f>IF(BI20=0,0,IF(BI42=3,0,VALUE(CONCATENATE(Travail!BI31,Travail!BI42,Travail!BI53))))</f>
        <v>0</v>
      </c>
      <c r="BJ65" s="173">
        <f>IF(BJ20=0,0,IF(BJ42=3,0,VALUE(CONCATENATE(Travail!BJ31,Travail!BJ42,Travail!BJ53))))</f>
        <v>0</v>
      </c>
      <c r="BK65" s="173">
        <f>IF(BK20=0,0,IF(BK42=3,0,VALUE(CONCATENATE(Travail!BK31,Travail!BK42,Travail!BK53))))</f>
        <v>0</v>
      </c>
      <c r="BL65" s="173">
        <f>IF(BL20=0,0,IF(BL42=3,0,VALUE(CONCATENATE(Travail!BL31,Travail!BL42,Travail!BL53))))</f>
        <v>0</v>
      </c>
      <c r="BM65" s="173">
        <f>IF(BM20=0,0,IF(BM42=3,0,VALUE(CONCATENATE(Travail!BM31,Travail!BM42,Travail!BM53))))</f>
        <v>0</v>
      </c>
      <c r="BN65" s="173">
        <f>IF(BN20=0,0,IF(BN42=3,0,VALUE(CONCATENATE(Travail!BN31,Travail!BN42,Travail!BN53))))</f>
        <v>0</v>
      </c>
      <c r="BO65" s="173">
        <f>IF(BO20=0,0,IF(BO42=3,0,VALUE(CONCATENATE(Travail!BO31,Travail!BO42,Travail!BO53))))</f>
        <v>0</v>
      </c>
      <c r="BP65" s="173">
        <f>IF(BP20=0,0,IF(BP42=3,0,VALUE(CONCATENATE(Travail!BP31,Travail!BP42,Travail!BP53))))</f>
        <v>0</v>
      </c>
      <c r="BQ65" s="173">
        <f>IF(BQ20=0,0,IF(BQ42=3,0,VALUE(CONCATENATE(Travail!BQ31,Travail!BQ42,Travail!BQ53))))</f>
        <v>0</v>
      </c>
      <c r="BR65" s="173">
        <f>IF(BR20=0,0,IF(BR42=3,0,VALUE(CONCATENATE(Travail!BR31,Travail!BR42,Travail!BR53))))</f>
        <v>0</v>
      </c>
      <c r="BS65" s="173">
        <f>IF(BS20=0,0,IF(BS42=3,0,VALUE(CONCATENATE(Travail!BS31,Travail!BS42,Travail!BS53))))</f>
        <v>0</v>
      </c>
      <c r="BZ65" s="189" t="str">
        <f t="shared" si="33"/>
        <v>lot6</v>
      </c>
      <c r="CB65" s="173">
        <f>IF(CB20=0,0,IF(CB42=3,0,VALUE(CONCATENATE(Travail!CB31,Travail!CB42,Travail!CB53))))</f>
        <v>0</v>
      </c>
      <c r="CC65" s="173">
        <f>IF(CC20=0,0,IF(CC42=3,0,VALUE(CONCATENATE(Travail!CC31,Travail!CC42,Travail!CC53))))</f>
        <v>0</v>
      </c>
      <c r="CD65" s="173">
        <f>IF(CD20=0,0,IF(CD42=3,0,VALUE(CONCATENATE(Travail!CD31,Travail!CD42,Travail!CD53))))</f>
        <v>0</v>
      </c>
      <c r="CE65" s="173">
        <f>IF(CE20=0,0,IF(CE42=3,0,VALUE(CONCATENATE(Travail!CE31,Travail!CE42,Travail!CE53))))</f>
        <v>0</v>
      </c>
      <c r="CF65" s="173">
        <f>IF(CF20=0,0,IF(CF42=3,0,VALUE(CONCATENATE(Travail!CF31,Travail!CF42,Travail!CF53))))</f>
        <v>0</v>
      </c>
      <c r="CG65" s="173">
        <f>IF(CG20=0,0,IF(CG42=3,0,VALUE(CONCATENATE(Travail!CG31,Travail!CG42,Travail!CG53))))</f>
        <v>0</v>
      </c>
      <c r="CH65" s="173">
        <f>IF(CH20=0,0,IF(CH42=3,0,VALUE(CONCATENATE(Travail!CH31,Travail!CH42,Travail!CH53))))</f>
        <v>0</v>
      </c>
      <c r="CI65" s="173">
        <f>IF(CI20=0,0,IF(CI42=3,0,VALUE(CONCATENATE(Travail!CI31,Travail!CI42,Travail!CI53))))</f>
        <v>0</v>
      </c>
      <c r="CJ65" s="173">
        <f>IF(CJ20=0,0,IF(CJ42=3,0,VALUE(CONCATENATE(Travail!CJ31,Travail!CJ42,Travail!CJ53))))</f>
        <v>0</v>
      </c>
      <c r="CK65" s="173">
        <f>IF(CK20=0,0,IF(CK42=3,0,VALUE(CONCATENATE(Travail!CK31,Travail!CK42,Travail!CK53))))</f>
        <v>0</v>
      </c>
      <c r="CL65" s="173">
        <f>IF(CL20=0,0,IF(CL42=3,0,VALUE(CONCATENATE(Travail!CL31,Travail!CL42,Travail!CL53))))</f>
        <v>0</v>
      </c>
      <c r="CM65" s="173">
        <f>IF(CM20=0,0,IF(CM42=3,0,VALUE(CONCATENATE(Travail!CM31,Travail!CM42,Travail!CM53))))</f>
        <v>0</v>
      </c>
      <c r="CN65" s="173">
        <f>IF(CN20=0,0,IF(CN42=3,0,VALUE(CONCATENATE(Travail!CN31,Travail!CN42,Travail!CN53))))</f>
        <v>0</v>
      </c>
      <c r="CO65" s="173">
        <f>IF(CO20=0,0,IF(CO42=3,0,VALUE(CONCATENATE(Travail!CO31,Travail!CO42,Travail!CO53))))</f>
        <v>0</v>
      </c>
      <c r="CP65" s="173">
        <f>IF(CP20=0,0,IF(CP42=3,0,VALUE(CONCATENATE(Travail!CP31,Travail!CP42,Travail!CP53))))</f>
        <v>0</v>
      </c>
      <c r="CQ65" s="173">
        <f>IF(CQ20=0,0,IF(CQ42=3,0,VALUE(CONCATENATE(Travail!CQ31,Travail!CQ42,Travail!CQ53))))</f>
        <v>0</v>
      </c>
      <c r="CR65" s="173">
        <f>IF(CR20=0,0,IF(CR42=3,0,VALUE(CONCATENATE(Travail!CR31,Travail!CR42,Travail!CR53))))</f>
        <v>0</v>
      </c>
      <c r="CS65" s="173">
        <f>IF(CS20=0,0,IF(CS42=3,0,VALUE(CONCATENATE(Travail!CS31,Travail!CS42,Travail!CS53))))</f>
        <v>0</v>
      </c>
      <c r="CT65" s="173">
        <f>IF(CT20=0,0,IF(CT42=3,0,VALUE(CONCATENATE(Travail!CT31,Travail!CT42,Travail!CT53))))</f>
        <v>0</v>
      </c>
      <c r="CU65" s="173">
        <f>IF(CU20=0,0,IF(CU42=3,0,VALUE(CONCATENATE(Travail!CU31,Travail!CU42,Travail!CU53))))</f>
        <v>0</v>
      </c>
      <c r="CV65" s="173">
        <f>IF(CV20=0,0,IF(CV42=3,0,VALUE(CONCATENATE(Travail!CV31,Travail!CV42,Travail!CV53))))</f>
        <v>0</v>
      </c>
      <c r="CW65" s="173">
        <f>IF(CW20=0,0,IF(CW42=3,0,VALUE(CONCATENATE(Travail!CW31,Travail!CW42,Travail!CW53))))</f>
        <v>0</v>
      </c>
      <c r="CX65" s="173">
        <f>IF(CX20=0,0,IF(CX42=3,0,VALUE(CONCATENATE(Travail!CX31,Travail!CX42,Travail!CX53))))</f>
        <v>0</v>
      </c>
      <c r="CY65" s="173">
        <f>IF(CY20=0,0,IF(CY42=3,0,VALUE(CONCATENATE(Travail!CY31,Travail!CY42,Travail!CY53))))</f>
        <v>0</v>
      </c>
      <c r="DC65" s="189" t="str">
        <f t="shared" si="34"/>
        <v>lot6</v>
      </c>
      <c r="DE65" s="173">
        <f>IF(DE20=0,0,IF(DE42=3,0,VALUE(CONCATENATE(Travail!DE31,Travail!DE42,Travail!DE53))))</f>
        <v>0</v>
      </c>
      <c r="DF65" s="173">
        <f>IF(DF20=0,0,IF(DF42=3,0,VALUE(CONCATENATE(Travail!DF31,Travail!DF42,Travail!DF53))))</f>
        <v>0</v>
      </c>
      <c r="DG65" s="173">
        <f>IF(DG20=0,0,IF(DG42=3,0,VALUE(CONCATENATE(Travail!DG31,Travail!DG42,Travail!DG53))))</f>
        <v>0</v>
      </c>
      <c r="DH65" s="173">
        <f>IF(DH20=0,0,IF(DH42=3,0,VALUE(CONCATENATE(Travail!DH31,Travail!DH42,Travail!DH53))))</f>
        <v>0</v>
      </c>
      <c r="DI65" s="173">
        <f>IF(DI20=0,0,IF(DI42=3,0,VALUE(CONCATENATE(Travail!DI31,Travail!DI42,Travail!DI53))))</f>
        <v>0</v>
      </c>
      <c r="DJ65" s="173">
        <f>IF(DJ20=0,0,IF(DJ42=3,0,VALUE(CONCATENATE(Travail!DJ31,Travail!DJ42,Travail!DJ53))))</f>
        <v>0</v>
      </c>
      <c r="DK65" s="173">
        <f>IF(DK20=0,0,IF(DK42=3,0,VALUE(CONCATENATE(Travail!DK31,Travail!DK42,Travail!DK53))))</f>
        <v>0</v>
      </c>
      <c r="DL65" s="173">
        <f>IF(DL20=0,0,IF(DL42=3,0,VALUE(CONCATENATE(Travail!DL31,Travail!DL42,Travail!DL53))))</f>
        <v>0</v>
      </c>
      <c r="DM65" s="173">
        <f>IF(DM20=0,0,IF(DM42=3,0,VALUE(CONCATENATE(Travail!DM31,Travail!DM42,Travail!DM53))))</f>
        <v>0</v>
      </c>
      <c r="DN65" s="173">
        <f>IF(DN20=0,0,IF(DN42=3,0,VALUE(CONCATENATE(Travail!DN31,Travail!DN42,Travail!DN53))))</f>
        <v>0</v>
      </c>
      <c r="DO65" s="173">
        <f>IF(DO20=0,0,IF(DO42=3,0,VALUE(CONCATENATE(Travail!DO31,Travail!DO42,Travail!DO53))))</f>
        <v>0</v>
      </c>
      <c r="DP65" s="173">
        <f>IF(DP20=0,0,IF(DP42=3,0,VALUE(CONCATENATE(Travail!DP31,Travail!DP42,Travail!DP53))))</f>
        <v>0</v>
      </c>
      <c r="DQ65" s="173">
        <f>IF(DQ20=0,0,IF(DQ42=3,0,VALUE(CONCATENATE(Travail!DQ31,Travail!DQ42,Travail!DQ53))))</f>
        <v>0</v>
      </c>
      <c r="DR65" s="173">
        <f>IF(DR20=0,0,IF(DR42=3,0,VALUE(CONCATENATE(Travail!DR31,Travail!DR42,Travail!DR53))))</f>
        <v>0</v>
      </c>
      <c r="DS65" s="173">
        <f>IF(DS20=0,0,IF(DS42=3,0,VALUE(CONCATENATE(Travail!DS31,Travail!DS42,Travail!DS53))))</f>
        <v>0</v>
      </c>
      <c r="DT65" s="173">
        <f>IF(DT20=0,0,IF(DT42=3,0,VALUE(CONCATENATE(Travail!DT31,Travail!DT42,Travail!DT53))))</f>
        <v>0</v>
      </c>
      <c r="DU65" s="173">
        <f>IF(DU20=0,0,IF(DU42=3,0,VALUE(CONCATENATE(Travail!DU31,Travail!DU42,Travail!DU53))))</f>
        <v>0</v>
      </c>
      <c r="DV65" s="173">
        <f>IF(DV20=0,0,IF(DV42=3,0,VALUE(CONCATENATE(Travail!DV31,Travail!DV42,Travail!DV53))))</f>
        <v>0</v>
      </c>
      <c r="DW65" s="173">
        <f>IF(DW20=0,0,IF(DW42=3,0,VALUE(CONCATENATE(Travail!DW31,Travail!DW42,Travail!DW53))))</f>
        <v>0</v>
      </c>
      <c r="DX65" s="173">
        <f>IF(DX20=0,0,IF(DX42=3,0,VALUE(CONCATENATE(Travail!DX31,Travail!DX42,Travail!DX53))))</f>
        <v>0</v>
      </c>
      <c r="DY65" s="173">
        <f>IF(DY20=0,0,IF(DY42=3,0,VALUE(CONCATENATE(Travail!DY31,Travail!DY42,Travail!DY53))))</f>
        <v>0</v>
      </c>
      <c r="DZ65" s="173">
        <f>IF(DZ20=0,0,IF(DZ42=3,0,VALUE(CONCATENATE(Travail!DZ31,Travail!DZ42,Travail!DZ53))))</f>
        <v>0</v>
      </c>
      <c r="EA65" s="173">
        <f>IF(EA20=0,0,IF(EA42=3,0,VALUE(CONCATENATE(Travail!EA31,Travail!EA42,Travail!EA53))))</f>
        <v>0</v>
      </c>
      <c r="EB65" s="173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8" t="s">
        <v>747</v>
      </c>
      <c r="AT66" s="189" t="str">
        <f t="shared" si="35"/>
        <v>lot7</v>
      </c>
      <c r="AV66" s="173">
        <f>IF(AV21=0,0,IF(AV43=3,0,VALUE(CONCATENATE(Travail!AV32,Travail!AV43,Travail!AV54))))</f>
        <v>0</v>
      </c>
      <c r="AW66" s="173">
        <f>IF(AW21=0,0,IF(AW43=3,0,VALUE(CONCATENATE(Travail!AW32,Travail!AW43,Travail!AW54))))</f>
        <v>0</v>
      </c>
      <c r="AX66" s="173">
        <f>IF(AX21=0,0,IF(AX43=3,0,VALUE(CONCATENATE(Travail!AX32,Travail!AX43,Travail!AX54))))</f>
        <v>0</v>
      </c>
      <c r="AY66" s="173">
        <f>IF(AY21=0,0,IF(AY43=3,0,VALUE(CONCATENATE(Travail!AY32,Travail!AY43,Travail!AY54))))</f>
        <v>0</v>
      </c>
      <c r="AZ66" s="173">
        <f>IF(AZ21=0,0,IF(AZ43=3,0,VALUE(CONCATENATE(Travail!AZ32,Travail!AZ43,Travail!AZ54))))</f>
        <v>0</v>
      </c>
      <c r="BA66" s="173">
        <f>IF(BA21=0,0,IF(BA43=3,0,VALUE(CONCATENATE(Travail!BA32,Travail!BA43,Travail!BA54))))</f>
        <v>0</v>
      </c>
      <c r="BB66" s="173">
        <f>IF(BB21=0,0,IF(BB43=3,0,VALUE(CONCATENATE(Travail!BB32,Travail!BB43,Travail!BB54))))</f>
        <v>0</v>
      </c>
      <c r="BC66" s="173">
        <f>IF(BC21=0,0,IF(BC43=3,0,VALUE(CONCATENATE(Travail!BC32,Travail!BC43,Travail!BC54))))</f>
        <v>0</v>
      </c>
      <c r="BD66" s="173">
        <f>IF(BD21=0,0,IF(BD43=3,0,VALUE(CONCATENATE(Travail!BD32,Travail!BD43,Travail!BD54))))</f>
        <v>0</v>
      </c>
      <c r="BE66" s="173">
        <f>IF(BE21=0,0,IF(BE43=3,0,VALUE(CONCATENATE(Travail!BE32,Travail!BE43,Travail!BE54))))</f>
        <v>0</v>
      </c>
      <c r="BF66" s="173">
        <f>IF(BF21=0,0,IF(BF43=3,0,VALUE(CONCATENATE(Travail!BF32,Travail!BF43,Travail!BF54))))</f>
        <v>0</v>
      </c>
      <c r="BG66" s="173">
        <f>IF(BG21=0,0,IF(BG43=3,0,VALUE(CONCATENATE(Travail!BG32,Travail!BG43,Travail!BG54))))</f>
        <v>0</v>
      </c>
      <c r="BH66" s="173">
        <f>IF(BH21=0,0,IF(BH43=3,0,VALUE(CONCATENATE(Travail!BH32,Travail!BH43,Travail!BH54))))</f>
        <v>0</v>
      </c>
      <c r="BI66" s="173">
        <f>IF(BI21=0,0,IF(BI43=3,0,VALUE(CONCATENATE(Travail!BI32,Travail!BI43,Travail!BI54))))</f>
        <v>0</v>
      </c>
      <c r="BJ66" s="173">
        <f>IF(BJ21=0,0,IF(BJ43=3,0,VALUE(CONCATENATE(Travail!BJ32,Travail!BJ43,Travail!BJ54))))</f>
        <v>0</v>
      </c>
      <c r="BK66" s="173">
        <f>IF(BK21=0,0,IF(BK43=3,0,VALUE(CONCATENATE(Travail!BK32,Travail!BK43,Travail!BK54))))</f>
        <v>0</v>
      </c>
      <c r="BL66" s="173">
        <f>IF(BL21=0,0,IF(BL43=3,0,VALUE(CONCATENATE(Travail!BL32,Travail!BL43,Travail!BL54))))</f>
        <v>0</v>
      </c>
      <c r="BM66" s="173">
        <f>IF(BM21=0,0,IF(BM43=3,0,VALUE(CONCATENATE(Travail!BM32,Travail!BM43,Travail!BM54))))</f>
        <v>0</v>
      </c>
      <c r="BN66" s="173">
        <f>IF(BN21=0,0,IF(BN43=3,0,VALUE(CONCATENATE(Travail!BN32,Travail!BN43,Travail!BN54))))</f>
        <v>0</v>
      </c>
      <c r="BO66" s="173">
        <f>IF(BO21=0,0,IF(BO43=3,0,VALUE(CONCATENATE(Travail!BO32,Travail!BO43,Travail!BO54))))</f>
        <v>0</v>
      </c>
      <c r="BP66" s="173">
        <f>IF(BP21=0,0,IF(BP43=3,0,VALUE(CONCATENATE(Travail!BP32,Travail!BP43,Travail!BP54))))</f>
        <v>0</v>
      </c>
      <c r="BQ66" s="173">
        <f>IF(BQ21=0,0,IF(BQ43=3,0,VALUE(CONCATENATE(Travail!BQ32,Travail!BQ43,Travail!BQ54))))</f>
        <v>0</v>
      </c>
      <c r="BR66" s="173">
        <f>IF(BR21=0,0,IF(BR43=3,0,VALUE(CONCATENATE(Travail!BR32,Travail!BR43,Travail!BR54))))</f>
        <v>0</v>
      </c>
      <c r="BS66" s="173">
        <f>IF(BS21=0,0,IF(BS43=3,0,VALUE(CONCATENATE(Travail!BS32,Travail!BS43,Travail!BS54))))</f>
        <v>0</v>
      </c>
      <c r="BZ66" s="189" t="str">
        <f t="shared" si="33"/>
        <v>lot7</v>
      </c>
      <c r="CB66" s="173">
        <f>IF(CB21=0,0,IF(CB43=3,0,VALUE(CONCATENATE(Travail!CB32,Travail!CB43,Travail!CB54))))</f>
        <v>0</v>
      </c>
      <c r="CC66" s="173">
        <f>IF(CC21=0,0,IF(CC43=3,0,VALUE(CONCATENATE(Travail!CC32,Travail!CC43,Travail!CC54))))</f>
        <v>0</v>
      </c>
      <c r="CD66" s="173">
        <f>IF(CD21=0,0,IF(CD43=3,0,VALUE(CONCATENATE(Travail!CD32,Travail!CD43,Travail!CD54))))</f>
        <v>0</v>
      </c>
      <c r="CE66" s="173">
        <f>IF(CE21=0,0,IF(CE43=3,0,VALUE(CONCATENATE(Travail!CE32,Travail!CE43,Travail!CE54))))</f>
        <v>0</v>
      </c>
      <c r="CF66" s="173">
        <f>IF(CF21=0,0,IF(CF43=3,0,VALUE(CONCATENATE(Travail!CF32,Travail!CF43,Travail!CF54))))</f>
        <v>0</v>
      </c>
      <c r="CG66" s="173">
        <f>IF(CG21=0,0,IF(CG43=3,0,VALUE(CONCATENATE(Travail!CG32,Travail!CG43,Travail!CG54))))</f>
        <v>0</v>
      </c>
      <c r="CH66" s="173">
        <f>IF(CH21=0,0,IF(CH43=3,0,VALUE(CONCATENATE(Travail!CH32,Travail!CH43,Travail!CH54))))</f>
        <v>0</v>
      </c>
      <c r="CI66" s="173">
        <f>IF(CI21=0,0,IF(CI43=3,0,VALUE(CONCATENATE(Travail!CI32,Travail!CI43,Travail!CI54))))</f>
        <v>0</v>
      </c>
      <c r="CJ66" s="173">
        <f>IF(CJ21=0,0,IF(CJ43=3,0,VALUE(CONCATENATE(Travail!CJ32,Travail!CJ43,Travail!CJ54))))</f>
        <v>0</v>
      </c>
      <c r="CK66" s="173">
        <f>IF(CK21=0,0,IF(CK43=3,0,VALUE(CONCATENATE(Travail!CK32,Travail!CK43,Travail!CK54))))</f>
        <v>0</v>
      </c>
      <c r="CL66" s="173">
        <f>IF(CL21=0,0,IF(CL43=3,0,VALUE(CONCATENATE(Travail!CL32,Travail!CL43,Travail!CL54))))</f>
        <v>0</v>
      </c>
      <c r="CM66" s="173">
        <f>IF(CM21=0,0,IF(CM43=3,0,VALUE(CONCATENATE(Travail!CM32,Travail!CM43,Travail!CM54))))</f>
        <v>0</v>
      </c>
      <c r="CN66" s="173">
        <f>IF(CN21=0,0,IF(CN43=3,0,VALUE(CONCATENATE(Travail!CN32,Travail!CN43,Travail!CN54))))</f>
        <v>0</v>
      </c>
      <c r="CO66" s="173">
        <f>IF(CO21=0,0,IF(CO43=3,0,VALUE(CONCATENATE(Travail!CO32,Travail!CO43,Travail!CO54))))</f>
        <v>0</v>
      </c>
      <c r="CP66" s="173">
        <f>IF(CP21=0,0,IF(CP43=3,0,VALUE(CONCATENATE(Travail!CP32,Travail!CP43,Travail!CP54))))</f>
        <v>0</v>
      </c>
      <c r="CQ66" s="173">
        <f>IF(CQ21=0,0,IF(CQ43=3,0,VALUE(CONCATENATE(Travail!CQ32,Travail!CQ43,Travail!CQ54))))</f>
        <v>0</v>
      </c>
      <c r="CR66" s="173">
        <f>IF(CR21=0,0,IF(CR43=3,0,VALUE(CONCATENATE(Travail!CR32,Travail!CR43,Travail!CR54))))</f>
        <v>0</v>
      </c>
      <c r="CS66" s="173">
        <f>IF(CS21=0,0,IF(CS43=3,0,VALUE(CONCATENATE(Travail!CS32,Travail!CS43,Travail!CS54))))</f>
        <v>0</v>
      </c>
      <c r="CT66" s="173">
        <f>IF(CT21=0,0,IF(CT43=3,0,VALUE(CONCATENATE(Travail!CT32,Travail!CT43,Travail!CT54))))</f>
        <v>0</v>
      </c>
      <c r="CU66" s="173">
        <f>IF(CU21=0,0,IF(CU43=3,0,VALUE(CONCATENATE(Travail!CU32,Travail!CU43,Travail!CU54))))</f>
        <v>0</v>
      </c>
      <c r="CV66" s="173">
        <f>IF(CV21=0,0,IF(CV43=3,0,VALUE(CONCATENATE(Travail!CV32,Travail!CV43,Travail!CV54))))</f>
        <v>0</v>
      </c>
      <c r="CW66" s="173">
        <f>IF(CW21=0,0,IF(CW43=3,0,VALUE(CONCATENATE(Travail!CW32,Travail!CW43,Travail!CW54))))</f>
        <v>0</v>
      </c>
      <c r="CX66" s="173">
        <f>IF(CX21=0,0,IF(CX43=3,0,VALUE(CONCATENATE(Travail!CX32,Travail!CX43,Travail!CX54))))</f>
        <v>0</v>
      </c>
      <c r="CY66" s="173">
        <f>IF(CY21=0,0,IF(CY43=3,0,VALUE(CONCATENATE(Travail!CY32,Travail!CY43,Travail!CY54))))</f>
        <v>0</v>
      </c>
      <c r="DC66" s="189" t="str">
        <f t="shared" si="34"/>
        <v>lot7</v>
      </c>
      <c r="DE66" s="173">
        <f>IF(DE21=0,0,IF(DE43=3,0,VALUE(CONCATENATE(Travail!DE32,Travail!DE43,Travail!DE54))))</f>
        <v>0</v>
      </c>
      <c r="DF66" s="173">
        <f>IF(DF21=0,0,IF(DF43=3,0,VALUE(CONCATENATE(Travail!DF32,Travail!DF43,Travail!DF54))))</f>
        <v>0</v>
      </c>
      <c r="DG66" s="173">
        <f>IF(DG21=0,0,IF(DG43=3,0,VALUE(CONCATENATE(Travail!DG32,Travail!DG43,Travail!DG54))))</f>
        <v>0</v>
      </c>
      <c r="DH66" s="173">
        <f>IF(DH21=0,0,IF(DH43=3,0,VALUE(CONCATENATE(Travail!DH32,Travail!DH43,Travail!DH54))))</f>
        <v>0</v>
      </c>
      <c r="DI66" s="173">
        <f>IF(DI21=0,0,IF(DI43=3,0,VALUE(CONCATENATE(Travail!DI32,Travail!DI43,Travail!DI54))))</f>
        <v>0</v>
      </c>
      <c r="DJ66" s="173">
        <f>IF(DJ21=0,0,IF(DJ43=3,0,VALUE(CONCATENATE(Travail!DJ32,Travail!DJ43,Travail!DJ54))))</f>
        <v>0</v>
      </c>
      <c r="DK66" s="173">
        <f>IF(DK21=0,0,IF(DK43=3,0,VALUE(CONCATENATE(Travail!DK32,Travail!DK43,Travail!DK54))))</f>
        <v>0</v>
      </c>
      <c r="DL66" s="173">
        <f>IF(DL21=0,0,IF(DL43=3,0,VALUE(CONCATENATE(Travail!DL32,Travail!DL43,Travail!DL54))))</f>
        <v>0</v>
      </c>
      <c r="DM66" s="173">
        <f>IF(DM21=0,0,IF(DM43=3,0,VALUE(CONCATENATE(Travail!DM32,Travail!DM43,Travail!DM54))))</f>
        <v>0</v>
      </c>
      <c r="DN66" s="173">
        <f>IF(DN21=0,0,IF(DN43=3,0,VALUE(CONCATENATE(Travail!DN32,Travail!DN43,Travail!DN54))))</f>
        <v>0</v>
      </c>
      <c r="DO66" s="173">
        <f>IF(DO21=0,0,IF(DO43=3,0,VALUE(CONCATENATE(Travail!DO32,Travail!DO43,Travail!DO54))))</f>
        <v>0</v>
      </c>
      <c r="DP66" s="173">
        <f>IF(DP21=0,0,IF(DP43=3,0,VALUE(CONCATENATE(Travail!DP32,Travail!DP43,Travail!DP54))))</f>
        <v>0</v>
      </c>
      <c r="DQ66" s="173">
        <f>IF(DQ21=0,0,IF(DQ43=3,0,VALUE(CONCATENATE(Travail!DQ32,Travail!DQ43,Travail!DQ54))))</f>
        <v>0</v>
      </c>
      <c r="DR66" s="173">
        <f>IF(DR21=0,0,IF(DR43=3,0,VALUE(CONCATENATE(Travail!DR32,Travail!DR43,Travail!DR54))))</f>
        <v>0</v>
      </c>
      <c r="DS66" s="173">
        <f>IF(DS21=0,0,IF(DS43=3,0,VALUE(CONCATENATE(Travail!DS32,Travail!DS43,Travail!DS54))))</f>
        <v>0</v>
      </c>
      <c r="DT66" s="173">
        <f>IF(DT21=0,0,IF(DT43=3,0,VALUE(CONCATENATE(Travail!DT32,Travail!DT43,Travail!DT54))))</f>
        <v>0</v>
      </c>
      <c r="DU66" s="173">
        <f>IF(DU21=0,0,IF(DU43=3,0,VALUE(CONCATENATE(Travail!DU32,Travail!DU43,Travail!DU54))))</f>
        <v>0</v>
      </c>
      <c r="DV66" s="173">
        <f>IF(DV21=0,0,IF(DV43=3,0,VALUE(CONCATENATE(Travail!DV32,Travail!DV43,Travail!DV54))))</f>
        <v>0</v>
      </c>
      <c r="DW66" s="173">
        <f>IF(DW21=0,0,IF(DW43=3,0,VALUE(CONCATENATE(Travail!DW32,Travail!DW43,Travail!DW54))))</f>
        <v>0</v>
      </c>
      <c r="DX66" s="173">
        <f>IF(DX21=0,0,IF(DX43=3,0,VALUE(CONCATENATE(Travail!DX32,Travail!DX43,Travail!DX54))))</f>
        <v>0</v>
      </c>
      <c r="DY66" s="173">
        <f>IF(DY21=0,0,IF(DY43=3,0,VALUE(CONCATENATE(Travail!DY32,Travail!DY43,Travail!DY54))))</f>
        <v>0</v>
      </c>
      <c r="DZ66" s="173">
        <f>IF(DZ21=0,0,IF(DZ43=3,0,VALUE(CONCATENATE(Travail!DZ32,Travail!DZ43,Travail!DZ54))))</f>
        <v>0</v>
      </c>
      <c r="EA66" s="173">
        <f>IF(EA21=0,0,IF(EA43=3,0,VALUE(CONCATENATE(Travail!EA32,Travail!EA43,Travail!EA54))))</f>
        <v>0</v>
      </c>
      <c r="EB66" s="173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8" t="s">
        <v>747</v>
      </c>
      <c r="AT67" s="189" t="str">
        <f t="shared" si="35"/>
        <v>lot8</v>
      </c>
      <c r="AV67" s="173">
        <f>IF(AV22=0,0,IF(AV44=3,0,VALUE(CONCATENATE(Travail!AV33,Travail!AV44,Travail!AV55))))</f>
        <v>0</v>
      </c>
      <c r="AW67" s="173">
        <f>IF(AW22=0,0,IF(AW44=3,0,VALUE(CONCATENATE(Travail!AW33,Travail!AW44,Travail!AW55))))</f>
        <v>0</v>
      </c>
      <c r="AX67" s="173">
        <f>IF(AX22=0,0,IF(AX44=3,0,VALUE(CONCATENATE(Travail!AX33,Travail!AX44,Travail!AX55))))</f>
        <v>0</v>
      </c>
      <c r="AY67" s="173">
        <f>IF(AY22=0,0,IF(AY44=3,0,VALUE(CONCATENATE(Travail!AY33,Travail!AY44,Travail!AY55))))</f>
        <v>0</v>
      </c>
      <c r="AZ67" s="173">
        <f>IF(AZ22=0,0,IF(AZ44=3,0,VALUE(CONCATENATE(Travail!AZ33,Travail!AZ44,Travail!AZ55))))</f>
        <v>0</v>
      </c>
      <c r="BA67" s="173">
        <f>IF(BA22=0,0,IF(BA44=3,0,VALUE(CONCATENATE(Travail!BA33,Travail!BA44,Travail!BA55))))</f>
        <v>0</v>
      </c>
      <c r="BB67" s="173">
        <f>IF(BB22=0,0,IF(BB44=3,0,VALUE(CONCATENATE(Travail!BB33,Travail!BB44,Travail!BB55))))</f>
        <v>0</v>
      </c>
      <c r="BC67" s="173">
        <f>IF(BC22=0,0,IF(BC44=3,0,VALUE(CONCATENATE(Travail!BC33,Travail!BC44,Travail!BC55))))</f>
        <v>0</v>
      </c>
      <c r="BD67" s="173">
        <f>IF(BD22=0,0,IF(BD44=3,0,VALUE(CONCATENATE(Travail!BD33,Travail!BD44,Travail!BD55))))</f>
        <v>0</v>
      </c>
      <c r="BE67" s="173">
        <f>IF(BE22=0,0,IF(BE44=3,0,VALUE(CONCATENATE(Travail!BE33,Travail!BE44,Travail!BE55))))</f>
        <v>0</v>
      </c>
      <c r="BF67" s="173">
        <f>IF(BF22=0,0,IF(BF44=3,0,VALUE(CONCATENATE(Travail!BF33,Travail!BF44,Travail!BF55))))</f>
        <v>0</v>
      </c>
      <c r="BG67" s="173">
        <f>IF(BG22=0,0,IF(BG44=3,0,VALUE(CONCATENATE(Travail!BG33,Travail!BG44,Travail!BG55))))</f>
        <v>0</v>
      </c>
      <c r="BH67" s="173">
        <f>IF(BH22=0,0,IF(BH44=3,0,VALUE(CONCATENATE(Travail!BH33,Travail!BH44,Travail!BH55))))</f>
        <v>0</v>
      </c>
      <c r="BI67" s="173">
        <f>IF(BI22=0,0,IF(BI44=3,0,VALUE(CONCATENATE(Travail!BI33,Travail!BI44,Travail!BI55))))</f>
        <v>0</v>
      </c>
      <c r="BJ67" s="173">
        <f>IF(BJ22=0,0,IF(BJ44=3,0,VALUE(CONCATENATE(Travail!BJ33,Travail!BJ44,Travail!BJ55))))</f>
        <v>0</v>
      </c>
      <c r="BK67" s="173">
        <f>IF(BK22=0,0,IF(BK44=3,0,VALUE(CONCATENATE(Travail!BK33,Travail!BK44,Travail!BK55))))</f>
        <v>0</v>
      </c>
      <c r="BL67" s="173">
        <f>IF(BL22=0,0,IF(BL44=3,0,VALUE(CONCATENATE(Travail!BL33,Travail!BL44,Travail!BL55))))</f>
        <v>0</v>
      </c>
      <c r="BM67" s="173">
        <f>IF(BM22=0,0,IF(BM44=3,0,VALUE(CONCATENATE(Travail!BM33,Travail!BM44,Travail!BM55))))</f>
        <v>0</v>
      </c>
      <c r="BN67" s="173">
        <f>IF(BN22=0,0,IF(BN44=3,0,VALUE(CONCATENATE(Travail!BN33,Travail!BN44,Travail!BN55))))</f>
        <v>0</v>
      </c>
      <c r="BO67" s="173">
        <f>IF(BO22=0,0,IF(BO44=3,0,VALUE(CONCATENATE(Travail!BO33,Travail!BO44,Travail!BO55))))</f>
        <v>0</v>
      </c>
      <c r="BP67" s="173">
        <f>IF(BP22=0,0,IF(BP44=3,0,VALUE(CONCATENATE(Travail!BP33,Travail!BP44,Travail!BP55))))</f>
        <v>0</v>
      </c>
      <c r="BQ67" s="173">
        <f>IF(BQ22=0,0,IF(BQ44=3,0,VALUE(CONCATENATE(Travail!BQ33,Travail!BQ44,Travail!BQ55))))</f>
        <v>0</v>
      </c>
      <c r="BR67" s="173">
        <f>IF(BR22=0,0,IF(BR44=3,0,VALUE(CONCATENATE(Travail!BR33,Travail!BR44,Travail!BR55))))</f>
        <v>0</v>
      </c>
      <c r="BS67" s="173">
        <f>IF(BS22=0,0,IF(BS44=3,0,VALUE(CONCATENATE(Travail!BS33,Travail!BS44,Travail!BS55))))</f>
        <v>0</v>
      </c>
      <c r="BZ67" s="189" t="str">
        <f t="shared" si="33"/>
        <v>lot8</v>
      </c>
      <c r="CB67" s="173">
        <f>IF(CB22=0,0,IF(CB44=3,0,VALUE(CONCATENATE(Travail!CB33,Travail!CB44,Travail!CB55))))</f>
        <v>0</v>
      </c>
      <c r="CC67" s="173">
        <f>IF(CC22=0,0,IF(CC44=3,0,VALUE(CONCATENATE(Travail!CC33,Travail!CC44,Travail!CC55))))</f>
        <v>0</v>
      </c>
      <c r="CD67" s="173">
        <f>IF(CD22=0,0,IF(CD44=3,0,VALUE(CONCATENATE(Travail!CD33,Travail!CD44,Travail!CD55))))</f>
        <v>0</v>
      </c>
      <c r="CE67" s="173">
        <f>IF(CE22=0,0,IF(CE44=3,0,VALUE(CONCATENATE(Travail!CE33,Travail!CE44,Travail!CE55))))</f>
        <v>0</v>
      </c>
      <c r="CF67" s="173">
        <f>IF(CF22=0,0,IF(CF44=3,0,VALUE(CONCATENATE(Travail!CF33,Travail!CF44,Travail!CF55))))</f>
        <v>0</v>
      </c>
      <c r="CG67" s="173">
        <f>IF(CG22=0,0,IF(CG44=3,0,VALUE(CONCATENATE(Travail!CG33,Travail!CG44,Travail!CG55))))</f>
        <v>0</v>
      </c>
      <c r="CH67" s="173">
        <f>IF(CH22=0,0,IF(CH44=3,0,VALUE(CONCATENATE(Travail!CH33,Travail!CH44,Travail!CH55))))</f>
        <v>0</v>
      </c>
      <c r="CI67" s="173">
        <f>IF(CI22=0,0,IF(CI44=3,0,VALUE(CONCATENATE(Travail!CI33,Travail!CI44,Travail!CI55))))</f>
        <v>0</v>
      </c>
      <c r="CJ67" s="173">
        <f>IF(CJ22=0,0,IF(CJ44=3,0,VALUE(CONCATENATE(Travail!CJ33,Travail!CJ44,Travail!CJ55))))</f>
        <v>0</v>
      </c>
      <c r="CK67" s="173">
        <f>IF(CK22=0,0,IF(CK44=3,0,VALUE(CONCATENATE(Travail!CK33,Travail!CK44,Travail!CK55))))</f>
        <v>0</v>
      </c>
      <c r="CL67" s="173">
        <f>IF(CL22=0,0,IF(CL44=3,0,VALUE(CONCATENATE(Travail!CL33,Travail!CL44,Travail!CL55))))</f>
        <v>0</v>
      </c>
      <c r="CM67" s="173">
        <f>IF(CM22=0,0,IF(CM44=3,0,VALUE(CONCATENATE(Travail!CM33,Travail!CM44,Travail!CM55))))</f>
        <v>0</v>
      </c>
      <c r="CN67" s="173">
        <f>IF(CN22=0,0,IF(CN44=3,0,VALUE(CONCATENATE(Travail!CN33,Travail!CN44,Travail!CN55))))</f>
        <v>0</v>
      </c>
      <c r="CO67" s="173">
        <f>IF(CO22=0,0,IF(CO44=3,0,VALUE(CONCATENATE(Travail!CO33,Travail!CO44,Travail!CO55))))</f>
        <v>0</v>
      </c>
      <c r="CP67" s="173">
        <f>IF(CP22=0,0,IF(CP44=3,0,VALUE(CONCATENATE(Travail!CP33,Travail!CP44,Travail!CP55))))</f>
        <v>0</v>
      </c>
      <c r="CQ67" s="173">
        <f>IF(CQ22=0,0,IF(CQ44=3,0,VALUE(CONCATENATE(Travail!CQ33,Travail!CQ44,Travail!CQ55))))</f>
        <v>0</v>
      </c>
      <c r="CR67" s="173">
        <f>IF(CR22=0,0,IF(CR44=3,0,VALUE(CONCATENATE(Travail!CR33,Travail!CR44,Travail!CR55))))</f>
        <v>0</v>
      </c>
      <c r="CS67" s="173">
        <f>IF(CS22=0,0,IF(CS44=3,0,VALUE(CONCATENATE(Travail!CS33,Travail!CS44,Travail!CS55))))</f>
        <v>0</v>
      </c>
      <c r="CT67" s="173">
        <f>IF(CT22=0,0,IF(CT44=3,0,VALUE(CONCATENATE(Travail!CT33,Travail!CT44,Travail!CT55))))</f>
        <v>0</v>
      </c>
      <c r="CU67" s="173">
        <f>IF(CU22=0,0,IF(CU44=3,0,VALUE(CONCATENATE(Travail!CU33,Travail!CU44,Travail!CU55))))</f>
        <v>0</v>
      </c>
      <c r="CV67" s="173">
        <f>IF(CV22=0,0,IF(CV44=3,0,VALUE(CONCATENATE(Travail!CV33,Travail!CV44,Travail!CV55))))</f>
        <v>0</v>
      </c>
      <c r="CW67" s="173">
        <f>IF(CW22=0,0,IF(CW44=3,0,VALUE(CONCATENATE(Travail!CW33,Travail!CW44,Travail!CW55))))</f>
        <v>0</v>
      </c>
      <c r="CX67" s="173">
        <f>IF(CX22=0,0,IF(CX44=3,0,VALUE(CONCATENATE(Travail!CX33,Travail!CX44,Travail!CX55))))</f>
        <v>0</v>
      </c>
      <c r="CY67" s="173">
        <f>IF(CY22=0,0,IF(CY44=3,0,VALUE(CONCATENATE(Travail!CY33,Travail!CY44,Travail!CY55))))</f>
        <v>0</v>
      </c>
      <c r="DC67" s="189" t="str">
        <f t="shared" si="34"/>
        <v>lot8</v>
      </c>
      <c r="DE67" s="173">
        <f>IF(DE22=0,0,IF(DE44=3,0,VALUE(CONCATENATE(Travail!DE33,Travail!DE44,Travail!DE55))))</f>
        <v>0</v>
      </c>
      <c r="DF67" s="173">
        <f>IF(DF22=0,0,IF(DF44=3,0,VALUE(CONCATENATE(Travail!DF33,Travail!DF44,Travail!DF55))))</f>
        <v>0</v>
      </c>
      <c r="DG67" s="173">
        <f>IF(DG22=0,0,IF(DG44=3,0,VALUE(CONCATENATE(Travail!DG33,Travail!DG44,Travail!DG55))))</f>
        <v>0</v>
      </c>
      <c r="DH67" s="173">
        <f>IF(DH22=0,0,IF(DH44=3,0,VALUE(CONCATENATE(Travail!DH33,Travail!DH44,Travail!DH55))))</f>
        <v>0</v>
      </c>
      <c r="DI67" s="173">
        <f>IF(DI22=0,0,IF(DI44=3,0,VALUE(CONCATENATE(Travail!DI33,Travail!DI44,Travail!DI55))))</f>
        <v>0</v>
      </c>
      <c r="DJ67" s="173">
        <f>IF(DJ22=0,0,IF(DJ44=3,0,VALUE(CONCATENATE(Travail!DJ33,Travail!DJ44,Travail!DJ55))))</f>
        <v>0</v>
      </c>
      <c r="DK67" s="173">
        <f>IF(DK22=0,0,IF(DK44=3,0,VALUE(CONCATENATE(Travail!DK33,Travail!DK44,Travail!DK55))))</f>
        <v>0</v>
      </c>
      <c r="DL67" s="173">
        <f>IF(DL22=0,0,IF(DL44=3,0,VALUE(CONCATENATE(Travail!DL33,Travail!DL44,Travail!DL55))))</f>
        <v>0</v>
      </c>
      <c r="DM67" s="173">
        <f>IF(DM22=0,0,IF(DM44=3,0,VALUE(CONCATENATE(Travail!DM33,Travail!DM44,Travail!DM55))))</f>
        <v>0</v>
      </c>
      <c r="DN67" s="173">
        <f>IF(DN22=0,0,IF(DN44=3,0,VALUE(CONCATENATE(Travail!DN33,Travail!DN44,Travail!DN55))))</f>
        <v>0</v>
      </c>
      <c r="DO67" s="173">
        <f>IF(DO22=0,0,IF(DO44=3,0,VALUE(CONCATENATE(Travail!DO33,Travail!DO44,Travail!DO55))))</f>
        <v>0</v>
      </c>
      <c r="DP67" s="173">
        <f>IF(DP22=0,0,IF(DP44=3,0,VALUE(CONCATENATE(Travail!DP33,Travail!DP44,Travail!DP55))))</f>
        <v>0</v>
      </c>
      <c r="DQ67" s="173">
        <f>IF(DQ22=0,0,IF(DQ44=3,0,VALUE(CONCATENATE(Travail!DQ33,Travail!DQ44,Travail!DQ55))))</f>
        <v>0</v>
      </c>
      <c r="DR67" s="173">
        <f>IF(DR22=0,0,IF(DR44=3,0,VALUE(CONCATENATE(Travail!DR33,Travail!DR44,Travail!DR55))))</f>
        <v>0</v>
      </c>
      <c r="DS67" s="173">
        <f>IF(DS22=0,0,IF(DS44=3,0,VALUE(CONCATENATE(Travail!DS33,Travail!DS44,Travail!DS55))))</f>
        <v>0</v>
      </c>
      <c r="DT67" s="173">
        <f>IF(DT22=0,0,IF(DT44=3,0,VALUE(CONCATENATE(Travail!DT33,Travail!DT44,Travail!DT55))))</f>
        <v>0</v>
      </c>
      <c r="DU67" s="173">
        <f>IF(DU22=0,0,IF(DU44=3,0,VALUE(CONCATENATE(Travail!DU33,Travail!DU44,Travail!DU55))))</f>
        <v>0</v>
      </c>
      <c r="DV67" s="173">
        <f>IF(DV22=0,0,IF(DV44=3,0,VALUE(CONCATENATE(Travail!DV33,Travail!DV44,Travail!DV55))))</f>
        <v>0</v>
      </c>
      <c r="DW67" s="173">
        <f>IF(DW22=0,0,IF(DW44=3,0,VALUE(CONCATENATE(Travail!DW33,Travail!DW44,Travail!DW55))))</f>
        <v>0</v>
      </c>
      <c r="DX67" s="173">
        <f>IF(DX22=0,0,IF(DX44=3,0,VALUE(CONCATENATE(Travail!DX33,Travail!DX44,Travail!DX55))))</f>
        <v>0</v>
      </c>
      <c r="DY67" s="173">
        <f>IF(DY22=0,0,IF(DY44=3,0,VALUE(CONCATENATE(Travail!DY33,Travail!DY44,Travail!DY55))))</f>
        <v>0</v>
      </c>
      <c r="DZ67" s="173">
        <f>IF(DZ22=0,0,IF(DZ44=3,0,VALUE(CONCATENATE(Travail!DZ33,Travail!DZ44,Travail!DZ55))))</f>
        <v>0</v>
      </c>
      <c r="EA67" s="173">
        <f>IF(EA22=0,0,IF(EA44=3,0,VALUE(CONCATENATE(Travail!EA33,Travail!EA44,Travail!EA55))))</f>
        <v>0</v>
      </c>
      <c r="EB67" s="173">
        <f>IF(EB22=0,0,IF(EB44=3,0,VALUE(CONCATENATE(Travail!EB33,Travail!EB44,Travail!EB55))))</f>
        <v>0</v>
      </c>
    </row>
    <row r="68" spans="1:132" x14ac:dyDescent="0.25">
      <c r="A68" s="23" t="s">
        <v>804</v>
      </c>
      <c r="B68" s="5"/>
      <c r="C68" s="5"/>
      <c r="F68" s="172"/>
      <c r="G68" s="172">
        <v>1</v>
      </c>
      <c r="H68" s="172">
        <v>2</v>
      </c>
      <c r="I68" s="172">
        <v>3</v>
      </c>
      <c r="J68" s="172">
        <v>4</v>
      </c>
      <c r="K68" s="172">
        <v>5</v>
      </c>
      <c r="L68" s="172">
        <v>6</v>
      </c>
      <c r="M68" s="172">
        <v>7</v>
      </c>
      <c r="N68" s="172">
        <v>8</v>
      </c>
      <c r="O68" s="172">
        <v>9</v>
      </c>
      <c r="P68" s="172">
        <v>10</v>
      </c>
      <c r="Q68" s="172">
        <v>11</v>
      </c>
      <c r="R68" s="172">
        <v>12</v>
      </c>
      <c r="S68" s="172">
        <v>13</v>
      </c>
      <c r="T68" s="172">
        <v>14</v>
      </c>
      <c r="U68" s="172">
        <v>15</v>
      </c>
      <c r="V68" s="172">
        <v>16</v>
      </c>
      <c r="W68" s="172">
        <v>17</v>
      </c>
      <c r="X68" s="172">
        <v>18</v>
      </c>
      <c r="Y68" s="172">
        <v>19</v>
      </c>
      <c r="Z68" s="172">
        <v>20</v>
      </c>
      <c r="AA68" s="172">
        <v>21</v>
      </c>
      <c r="AB68" s="172">
        <v>22</v>
      </c>
      <c r="AC68" s="172">
        <v>23</v>
      </c>
      <c r="AD68" s="172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8" t="s">
        <v>747</v>
      </c>
      <c r="AT68" s="189" t="str">
        <f t="shared" si="35"/>
        <v>lot9</v>
      </c>
      <c r="AV68" s="173">
        <f>IF(AV23=0,0,IF(AV45=3,0,VALUE(CONCATENATE(Travail!AV34,Travail!AV45,Travail!AV56))))</f>
        <v>0</v>
      </c>
      <c r="AW68" s="173">
        <f>IF(AW23=0,0,IF(AW45=3,0,VALUE(CONCATENATE(Travail!AW34,Travail!AW45,Travail!AW56))))</f>
        <v>0</v>
      </c>
      <c r="AX68" s="173">
        <f>IF(AX23=0,0,IF(AX45=3,0,VALUE(CONCATENATE(Travail!AX34,Travail!AX45,Travail!AX56))))</f>
        <v>0</v>
      </c>
      <c r="AY68" s="173">
        <f>IF(AY23=0,0,IF(AY45=3,0,VALUE(CONCATENATE(Travail!AY34,Travail!AY45,Travail!AY56))))</f>
        <v>0</v>
      </c>
      <c r="AZ68" s="173">
        <f>IF(AZ23=0,0,IF(AZ45=3,0,VALUE(CONCATENATE(Travail!AZ34,Travail!AZ45,Travail!AZ56))))</f>
        <v>0</v>
      </c>
      <c r="BA68" s="173">
        <f>IF(BA23=0,0,IF(BA45=3,0,VALUE(CONCATENATE(Travail!BA34,Travail!BA45,Travail!BA56))))</f>
        <v>0</v>
      </c>
      <c r="BB68" s="173">
        <f>IF(BB23=0,0,IF(BB45=3,0,VALUE(CONCATENATE(Travail!BB34,Travail!BB45,Travail!BB56))))</f>
        <v>0</v>
      </c>
      <c r="BC68" s="173">
        <f>IF(BC23=0,0,IF(BC45=3,0,VALUE(CONCATENATE(Travail!BC34,Travail!BC45,Travail!BC56))))</f>
        <v>0</v>
      </c>
      <c r="BD68" s="173">
        <f>IF(BD23=0,0,IF(BD45=3,0,VALUE(CONCATENATE(Travail!BD34,Travail!BD45,Travail!BD56))))</f>
        <v>0</v>
      </c>
      <c r="BE68" s="173">
        <f>IF(BE23=0,0,IF(BE45=3,0,VALUE(CONCATENATE(Travail!BE34,Travail!BE45,Travail!BE56))))</f>
        <v>0</v>
      </c>
      <c r="BF68" s="173">
        <f>IF(BF23=0,0,IF(BF45=3,0,VALUE(CONCATENATE(Travail!BF34,Travail!BF45,Travail!BF56))))</f>
        <v>0</v>
      </c>
      <c r="BG68" s="173">
        <f>IF(BG23=0,0,IF(BG45=3,0,VALUE(CONCATENATE(Travail!BG34,Travail!BG45,Travail!BG56))))</f>
        <v>0</v>
      </c>
      <c r="BH68" s="173">
        <f>IF(BH23=0,0,IF(BH45=3,0,VALUE(CONCATENATE(Travail!BH34,Travail!BH45,Travail!BH56))))</f>
        <v>0</v>
      </c>
      <c r="BI68" s="173">
        <f>IF(BI23=0,0,IF(BI45=3,0,VALUE(CONCATENATE(Travail!BI34,Travail!BI45,Travail!BI56))))</f>
        <v>0</v>
      </c>
      <c r="BJ68" s="173">
        <f>IF(BJ23=0,0,IF(BJ45=3,0,VALUE(CONCATENATE(Travail!BJ34,Travail!BJ45,Travail!BJ56))))</f>
        <v>0</v>
      </c>
      <c r="BK68" s="173">
        <f>IF(BK23=0,0,IF(BK45=3,0,VALUE(CONCATENATE(Travail!BK34,Travail!BK45,Travail!BK56))))</f>
        <v>0</v>
      </c>
      <c r="BL68" s="173">
        <f>IF(BL23=0,0,IF(BL45=3,0,VALUE(CONCATENATE(Travail!BL34,Travail!BL45,Travail!BL56))))</f>
        <v>0</v>
      </c>
      <c r="BM68" s="173">
        <f>IF(BM23=0,0,IF(BM45=3,0,VALUE(CONCATENATE(Travail!BM34,Travail!BM45,Travail!BM56))))</f>
        <v>0</v>
      </c>
      <c r="BN68" s="173">
        <f>IF(BN23=0,0,IF(BN45=3,0,VALUE(CONCATENATE(Travail!BN34,Travail!BN45,Travail!BN56))))</f>
        <v>0</v>
      </c>
      <c r="BO68" s="173">
        <f>IF(BO23=0,0,IF(BO45=3,0,VALUE(CONCATENATE(Travail!BO34,Travail!BO45,Travail!BO56))))</f>
        <v>0</v>
      </c>
      <c r="BP68" s="173">
        <f>IF(BP23=0,0,IF(BP45=3,0,VALUE(CONCATENATE(Travail!BP34,Travail!BP45,Travail!BP56))))</f>
        <v>0</v>
      </c>
      <c r="BQ68" s="173">
        <f>IF(BQ23=0,0,IF(BQ45=3,0,VALUE(CONCATENATE(Travail!BQ34,Travail!BQ45,Travail!BQ56))))</f>
        <v>0</v>
      </c>
      <c r="BR68" s="173">
        <f>IF(BR23=0,0,IF(BR45=3,0,VALUE(CONCATENATE(Travail!BR34,Travail!BR45,Travail!BR56))))</f>
        <v>0</v>
      </c>
      <c r="BS68" s="173">
        <f>IF(BS23=0,0,IF(BS45=3,0,VALUE(CONCATENATE(Travail!BS34,Travail!BS45,Travail!BS56))))</f>
        <v>0</v>
      </c>
      <c r="BZ68" s="189" t="str">
        <f t="shared" si="33"/>
        <v>lot9</v>
      </c>
      <c r="CB68" s="173">
        <f>IF(CB23=0,0,IF(CB45=3,0,VALUE(CONCATENATE(Travail!CB34,Travail!CB45,Travail!CB56))))</f>
        <v>0</v>
      </c>
      <c r="CC68" s="173">
        <f>IF(CC23=0,0,IF(CC45=3,0,VALUE(CONCATENATE(Travail!CC34,Travail!CC45,Travail!CC56))))</f>
        <v>0</v>
      </c>
      <c r="CD68" s="173">
        <f>IF(CD23=0,0,IF(CD45=3,0,VALUE(CONCATENATE(Travail!CD34,Travail!CD45,Travail!CD56))))</f>
        <v>0</v>
      </c>
      <c r="CE68" s="173">
        <f>IF(CE23=0,0,IF(CE45=3,0,VALUE(CONCATENATE(Travail!CE34,Travail!CE45,Travail!CE56))))</f>
        <v>0</v>
      </c>
      <c r="CF68" s="173">
        <f>IF(CF23=0,0,IF(CF45=3,0,VALUE(CONCATENATE(Travail!CF34,Travail!CF45,Travail!CF56))))</f>
        <v>0</v>
      </c>
      <c r="CG68" s="173">
        <f>IF(CG23=0,0,IF(CG45=3,0,VALUE(CONCATENATE(Travail!CG34,Travail!CG45,Travail!CG56))))</f>
        <v>0</v>
      </c>
      <c r="CH68" s="173">
        <f>IF(CH23=0,0,IF(CH45=3,0,VALUE(CONCATENATE(Travail!CH34,Travail!CH45,Travail!CH56))))</f>
        <v>0</v>
      </c>
      <c r="CI68" s="173">
        <f>IF(CI23=0,0,IF(CI45=3,0,VALUE(CONCATENATE(Travail!CI34,Travail!CI45,Travail!CI56))))</f>
        <v>0</v>
      </c>
      <c r="CJ68" s="173">
        <f>IF(CJ23=0,0,IF(CJ45=3,0,VALUE(CONCATENATE(Travail!CJ34,Travail!CJ45,Travail!CJ56))))</f>
        <v>0</v>
      </c>
      <c r="CK68" s="173">
        <f>IF(CK23=0,0,IF(CK45=3,0,VALUE(CONCATENATE(Travail!CK34,Travail!CK45,Travail!CK56))))</f>
        <v>0</v>
      </c>
      <c r="CL68" s="173">
        <f>IF(CL23=0,0,IF(CL45=3,0,VALUE(CONCATENATE(Travail!CL34,Travail!CL45,Travail!CL56))))</f>
        <v>0</v>
      </c>
      <c r="CM68" s="173">
        <f>IF(CM23=0,0,IF(CM45=3,0,VALUE(CONCATENATE(Travail!CM34,Travail!CM45,Travail!CM56))))</f>
        <v>0</v>
      </c>
      <c r="CN68" s="173">
        <f>IF(CN23=0,0,IF(CN45=3,0,VALUE(CONCATENATE(Travail!CN34,Travail!CN45,Travail!CN56))))</f>
        <v>0</v>
      </c>
      <c r="CO68" s="173">
        <f>IF(CO23=0,0,IF(CO45=3,0,VALUE(CONCATENATE(Travail!CO34,Travail!CO45,Travail!CO56))))</f>
        <v>0</v>
      </c>
      <c r="CP68" s="173">
        <f>IF(CP23=0,0,IF(CP45=3,0,VALUE(CONCATENATE(Travail!CP34,Travail!CP45,Travail!CP56))))</f>
        <v>0</v>
      </c>
      <c r="CQ68" s="173">
        <f>IF(CQ23=0,0,IF(CQ45=3,0,VALUE(CONCATENATE(Travail!CQ34,Travail!CQ45,Travail!CQ56))))</f>
        <v>0</v>
      </c>
      <c r="CR68" s="173">
        <f>IF(CR23=0,0,IF(CR45=3,0,VALUE(CONCATENATE(Travail!CR34,Travail!CR45,Travail!CR56))))</f>
        <v>0</v>
      </c>
      <c r="CS68" s="173">
        <f>IF(CS23=0,0,IF(CS45=3,0,VALUE(CONCATENATE(Travail!CS34,Travail!CS45,Travail!CS56))))</f>
        <v>0</v>
      </c>
      <c r="CT68" s="173">
        <f>IF(CT23=0,0,IF(CT45=3,0,VALUE(CONCATENATE(Travail!CT34,Travail!CT45,Travail!CT56))))</f>
        <v>0</v>
      </c>
      <c r="CU68" s="173">
        <f>IF(CU23=0,0,IF(CU45=3,0,VALUE(CONCATENATE(Travail!CU34,Travail!CU45,Travail!CU56))))</f>
        <v>0</v>
      </c>
      <c r="CV68" s="173">
        <f>IF(CV23=0,0,IF(CV45=3,0,VALUE(CONCATENATE(Travail!CV34,Travail!CV45,Travail!CV56))))</f>
        <v>0</v>
      </c>
      <c r="CW68" s="173">
        <f>IF(CW23=0,0,IF(CW45=3,0,VALUE(CONCATENATE(Travail!CW34,Travail!CW45,Travail!CW56))))</f>
        <v>0</v>
      </c>
      <c r="CX68" s="173">
        <f>IF(CX23=0,0,IF(CX45=3,0,VALUE(CONCATENATE(Travail!CX34,Travail!CX45,Travail!CX56))))</f>
        <v>0</v>
      </c>
      <c r="CY68" s="173">
        <f>IF(CY23=0,0,IF(CY45=3,0,VALUE(CONCATENATE(Travail!CY34,Travail!CY45,Travail!CY56))))</f>
        <v>0</v>
      </c>
      <c r="DC68" s="189" t="str">
        <f t="shared" si="34"/>
        <v>lot9</v>
      </c>
      <c r="DE68" s="173">
        <f>IF(DE23=0,0,IF(DE45=3,0,VALUE(CONCATENATE(Travail!DE34,Travail!DE45,Travail!DE56))))</f>
        <v>0</v>
      </c>
      <c r="DF68" s="173">
        <f>IF(DF23=0,0,IF(DF45=3,0,VALUE(CONCATENATE(Travail!DF34,Travail!DF45,Travail!DF56))))</f>
        <v>0</v>
      </c>
      <c r="DG68" s="173">
        <f>IF(DG23=0,0,IF(DG45=3,0,VALUE(CONCATENATE(Travail!DG34,Travail!DG45,Travail!DG56))))</f>
        <v>0</v>
      </c>
      <c r="DH68" s="173">
        <f>IF(DH23=0,0,IF(DH45=3,0,VALUE(CONCATENATE(Travail!DH34,Travail!DH45,Travail!DH56))))</f>
        <v>0</v>
      </c>
      <c r="DI68" s="173">
        <f>IF(DI23=0,0,IF(DI45=3,0,VALUE(CONCATENATE(Travail!DI34,Travail!DI45,Travail!DI56))))</f>
        <v>0</v>
      </c>
      <c r="DJ68" s="173">
        <f>IF(DJ23=0,0,IF(DJ45=3,0,VALUE(CONCATENATE(Travail!DJ34,Travail!DJ45,Travail!DJ56))))</f>
        <v>0</v>
      </c>
      <c r="DK68" s="173">
        <f>IF(DK23=0,0,IF(DK45=3,0,VALUE(CONCATENATE(Travail!DK34,Travail!DK45,Travail!DK56))))</f>
        <v>0</v>
      </c>
      <c r="DL68" s="173">
        <f>IF(DL23=0,0,IF(DL45=3,0,VALUE(CONCATENATE(Travail!DL34,Travail!DL45,Travail!DL56))))</f>
        <v>0</v>
      </c>
      <c r="DM68" s="173">
        <f>IF(DM23=0,0,IF(DM45=3,0,VALUE(CONCATENATE(Travail!DM34,Travail!DM45,Travail!DM56))))</f>
        <v>0</v>
      </c>
      <c r="DN68" s="173">
        <f>IF(DN23=0,0,IF(DN45=3,0,VALUE(CONCATENATE(Travail!DN34,Travail!DN45,Travail!DN56))))</f>
        <v>0</v>
      </c>
      <c r="DO68" s="173">
        <f>IF(DO23=0,0,IF(DO45=3,0,VALUE(CONCATENATE(Travail!DO34,Travail!DO45,Travail!DO56))))</f>
        <v>0</v>
      </c>
      <c r="DP68" s="173">
        <f>IF(DP23=0,0,IF(DP45=3,0,VALUE(CONCATENATE(Travail!DP34,Travail!DP45,Travail!DP56))))</f>
        <v>0</v>
      </c>
      <c r="DQ68" s="173">
        <f>IF(DQ23=0,0,IF(DQ45=3,0,VALUE(CONCATENATE(Travail!DQ34,Travail!DQ45,Travail!DQ56))))</f>
        <v>0</v>
      </c>
      <c r="DR68" s="173">
        <f>IF(DR23=0,0,IF(DR45=3,0,VALUE(CONCATENATE(Travail!DR34,Travail!DR45,Travail!DR56))))</f>
        <v>0</v>
      </c>
      <c r="DS68" s="173">
        <f>IF(DS23=0,0,IF(DS45=3,0,VALUE(CONCATENATE(Travail!DS34,Travail!DS45,Travail!DS56))))</f>
        <v>0</v>
      </c>
      <c r="DT68" s="173">
        <f>IF(DT23=0,0,IF(DT45=3,0,VALUE(CONCATENATE(Travail!DT34,Travail!DT45,Travail!DT56))))</f>
        <v>0</v>
      </c>
      <c r="DU68" s="173">
        <f>IF(DU23=0,0,IF(DU45=3,0,VALUE(CONCATENATE(Travail!DU34,Travail!DU45,Travail!DU56))))</f>
        <v>0</v>
      </c>
      <c r="DV68" s="173">
        <f>IF(DV23=0,0,IF(DV45=3,0,VALUE(CONCATENATE(Travail!DV34,Travail!DV45,Travail!DV56))))</f>
        <v>0</v>
      </c>
      <c r="DW68" s="173">
        <f>IF(DW23=0,0,IF(DW45=3,0,VALUE(CONCATENATE(Travail!DW34,Travail!DW45,Travail!DW56))))</f>
        <v>0</v>
      </c>
      <c r="DX68" s="173">
        <f>IF(DX23=0,0,IF(DX45=3,0,VALUE(CONCATENATE(Travail!DX34,Travail!DX45,Travail!DX56))))</f>
        <v>0</v>
      </c>
      <c r="DY68" s="173">
        <f>IF(DY23=0,0,IF(DY45=3,0,VALUE(CONCATENATE(Travail!DY34,Travail!DY45,Travail!DY56))))</f>
        <v>0</v>
      </c>
      <c r="DZ68" s="173">
        <f>IF(DZ23=0,0,IF(DZ45=3,0,VALUE(CONCATENATE(Travail!DZ34,Travail!DZ45,Travail!DZ56))))</f>
        <v>0</v>
      </c>
      <c r="EA68" s="173">
        <f>IF(EA23=0,0,IF(EA45=3,0,VALUE(CONCATENATE(Travail!EA34,Travail!EA45,Travail!EA56))))</f>
        <v>0</v>
      </c>
      <c r="EB68" s="173">
        <f>IF(EB23=0,0,IF(EB45=3,0,VALUE(CONCATENATE(Travail!EB34,Travail!EB45,Travail!EB56))))</f>
        <v>0</v>
      </c>
    </row>
    <row r="69" spans="1:132" x14ac:dyDescent="0.25">
      <c r="A69" s="176" t="s">
        <v>805</v>
      </c>
      <c r="B69" s="5"/>
      <c r="C69" s="5"/>
      <c r="F69" s="173">
        <f>ROUND(SUM(G69:AD69),0)</f>
        <v>0</v>
      </c>
      <c r="G69" s="173">
        <f>IF(Scénario!$K$88&lt;=1,0,(Protection!C3+Protection!C4)*([1]Protect!$B$34+[1]Protect!$B$35))</f>
        <v>0</v>
      </c>
      <c r="H69" s="173">
        <f>IF(Scénario!$K$88&lt;=1,0,(Protection!D3+Protection!D4)*([1]Protect!$B$34+[1]Protect!$B$35))</f>
        <v>0</v>
      </c>
      <c r="I69" s="173">
        <f>IF(Scénario!$K$88&lt;=1,0,(Protection!E3+Protection!E4)*([1]Protect!$B$34+[1]Protect!$B$35))</f>
        <v>0</v>
      </c>
      <c r="J69" s="173">
        <f>IF(Scénario!$K$88&lt;=1,0,(Protection!F3+Protection!F4)*([1]Protect!$B$34+[1]Protect!$B$35))</f>
        <v>0</v>
      </c>
      <c r="K69" s="173">
        <f>IF(Scénario!$K$88&lt;=1,0,(Protection!G3+Protection!G4)*([1]Protect!$B$34+[1]Protect!$B$35))</f>
        <v>0</v>
      </c>
      <c r="L69" s="173">
        <f>IF(Scénario!$K$88&lt;=1,0,(Protection!H3+Protection!H4)*([1]Protect!$B$34+[1]Protect!$B$35))</f>
        <v>0</v>
      </c>
      <c r="M69" s="173">
        <f>IF(Scénario!$K$88&lt;=1,0,(Protection!I3+Protection!I4)*([1]Protect!$B$34+[1]Protect!$B$35))</f>
        <v>0</v>
      </c>
      <c r="N69" s="173">
        <f>IF(Scénario!$K$88&lt;=1,0,(Protection!J3+Protection!J4)*([1]Protect!$B$34+[1]Protect!$B$35))</f>
        <v>0</v>
      </c>
      <c r="O69" s="173">
        <f>IF(Scénario!$K$88&lt;=1,0,(Protection!K3+Protection!K4)*([1]Protect!$B$34+[1]Protect!$B$35))</f>
        <v>0</v>
      </c>
      <c r="P69" s="173">
        <f>IF(Scénario!$K$88&lt;=1,0,(Protection!L3+Protection!L4)*([1]Protect!$B$34+[1]Protect!$B$35))</f>
        <v>0</v>
      </c>
      <c r="Q69" s="173">
        <f>IF(Scénario!$K$88&lt;=1,0,(Protection!M3+Protection!M4)*([1]Protect!$B$34+[1]Protect!$B$35))</f>
        <v>0</v>
      </c>
      <c r="R69" s="173">
        <f>IF(Scénario!$K$88&lt;=1,0,(Protection!N3+Protection!N4)*([1]Protect!$B$34+[1]Protect!$B$35))</f>
        <v>0</v>
      </c>
      <c r="S69" s="173">
        <f>IF(Scénario!$K$88&lt;=1,0,(Protection!O3+Protection!O4)*([1]Protect!$B$34+[1]Protect!$B$35))</f>
        <v>0</v>
      </c>
      <c r="T69" s="173">
        <f>IF(Scénario!$K$88&lt;=1,0,(Protection!P3+Protection!P4)*([1]Protect!$B$34+[1]Protect!$B$35))</f>
        <v>0</v>
      </c>
      <c r="U69" s="173">
        <f>IF(Scénario!$K$88&lt;=1,0,(Protection!Q3+Protection!Q4)*([1]Protect!$B$34+[1]Protect!$B$35))</f>
        <v>0</v>
      </c>
      <c r="V69" s="173">
        <f>IF(Scénario!$K$88&lt;=1,0,(Protection!R3+Protection!R4)*([1]Protect!$B$34+[1]Protect!$B$35))</f>
        <v>0</v>
      </c>
      <c r="W69" s="173">
        <f>IF(Scénario!$K$88&lt;=1,0,(Protection!S3+Protection!S4)*([1]Protect!$B$34+[1]Protect!$B$35))</f>
        <v>0</v>
      </c>
      <c r="X69" s="173">
        <f>IF(Scénario!$K$88&lt;=1,0,(Protection!T3+Protection!T4)*([1]Protect!$B$34+[1]Protect!$B$35))</f>
        <v>0</v>
      </c>
      <c r="Y69" s="173">
        <f>IF(Scénario!$K$88&lt;=1,0,(Protection!U3+Protection!U4)*([1]Protect!$B$34+[1]Protect!$B$35))</f>
        <v>0</v>
      </c>
      <c r="Z69" s="173">
        <f>IF(Scénario!$K$88&lt;=1,0,(Protection!V3+Protection!V4)*([1]Protect!$B$34+[1]Protect!$B$35))</f>
        <v>0</v>
      </c>
      <c r="AA69" s="173">
        <f>IF(Scénario!$K$88&lt;=1,0,(Protection!W3+Protection!W4)*([1]Protect!$B$34+[1]Protect!$B$35))</f>
        <v>0</v>
      </c>
      <c r="AB69" s="173">
        <f>IF(Scénario!$K$88&lt;=1,0,(Protection!X3+Protection!X4)*([1]Protect!$B$34+[1]Protect!$B$35))</f>
        <v>0</v>
      </c>
      <c r="AC69" s="173">
        <f>IF(Scénario!$K$88&lt;=1,0,(Protection!Y3+Protection!Y4)*([1]Protect!$B$34+[1]Protect!$B$35))</f>
        <v>0</v>
      </c>
      <c r="AD69" s="173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8" t="s">
        <v>747</v>
      </c>
      <c r="AT69" s="189" t="str">
        <f t="shared" si="35"/>
        <v>lot10</v>
      </c>
      <c r="AV69" s="173">
        <f>IF(AV24=0,0,IF(AV46=3,0,VALUE(CONCATENATE(Travail!AV35,Travail!AV46,Travail!AV57))))</f>
        <v>0</v>
      </c>
      <c r="AW69" s="173">
        <f>IF(AW24=0,0,IF(AW46=3,0,VALUE(CONCATENATE(Travail!AW35,Travail!AW46,Travail!AW57))))</f>
        <v>0</v>
      </c>
      <c r="AX69" s="173">
        <f>IF(AX24=0,0,IF(AX46=3,0,VALUE(CONCATENATE(Travail!AX35,Travail!AX46,Travail!AX57))))</f>
        <v>0</v>
      </c>
      <c r="AY69" s="173">
        <f>IF(AY24=0,0,IF(AY46=3,0,VALUE(CONCATENATE(Travail!AY35,Travail!AY46,Travail!AY57))))</f>
        <v>0</v>
      </c>
      <c r="AZ69" s="173">
        <f>IF(AZ24=0,0,IF(AZ46=3,0,VALUE(CONCATENATE(Travail!AZ35,Travail!AZ46,Travail!AZ57))))</f>
        <v>0</v>
      </c>
      <c r="BA69" s="173">
        <f>IF(BA24=0,0,IF(BA46=3,0,VALUE(CONCATENATE(Travail!BA35,Travail!BA46,Travail!BA57))))</f>
        <v>0</v>
      </c>
      <c r="BB69" s="173">
        <f>IF(BB24=0,0,IF(BB46=3,0,VALUE(CONCATENATE(Travail!BB35,Travail!BB46,Travail!BB57))))</f>
        <v>0</v>
      </c>
      <c r="BC69" s="173">
        <f>IF(BC24=0,0,IF(BC46=3,0,VALUE(CONCATENATE(Travail!BC35,Travail!BC46,Travail!BC57))))</f>
        <v>0</v>
      </c>
      <c r="BD69" s="173">
        <f>IF(BD24=0,0,IF(BD46=3,0,VALUE(CONCATENATE(Travail!BD35,Travail!BD46,Travail!BD57))))</f>
        <v>0</v>
      </c>
      <c r="BE69" s="173">
        <f>IF(BE24=0,0,IF(BE46=3,0,VALUE(CONCATENATE(Travail!BE35,Travail!BE46,Travail!BE57))))</f>
        <v>0</v>
      </c>
      <c r="BF69" s="173">
        <f>IF(BF24=0,0,IF(BF46=3,0,VALUE(CONCATENATE(Travail!BF35,Travail!BF46,Travail!BF57))))</f>
        <v>0</v>
      </c>
      <c r="BG69" s="173">
        <f>IF(BG24=0,0,IF(BG46=3,0,VALUE(CONCATENATE(Travail!BG35,Travail!BG46,Travail!BG57))))</f>
        <v>0</v>
      </c>
      <c r="BH69" s="173">
        <f>IF(BH24=0,0,IF(BH46=3,0,VALUE(CONCATENATE(Travail!BH35,Travail!BH46,Travail!BH57))))</f>
        <v>0</v>
      </c>
      <c r="BI69" s="173">
        <f>IF(BI24=0,0,IF(BI46=3,0,VALUE(CONCATENATE(Travail!BI35,Travail!BI46,Travail!BI57))))</f>
        <v>0</v>
      </c>
      <c r="BJ69" s="173">
        <f>IF(BJ24=0,0,IF(BJ46=3,0,VALUE(CONCATENATE(Travail!BJ35,Travail!BJ46,Travail!BJ57))))</f>
        <v>0</v>
      </c>
      <c r="BK69" s="173">
        <f>IF(BK24=0,0,IF(BK46=3,0,VALUE(CONCATENATE(Travail!BK35,Travail!BK46,Travail!BK57))))</f>
        <v>0</v>
      </c>
      <c r="BL69" s="173">
        <f>IF(BL24=0,0,IF(BL46=3,0,VALUE(CONCATENATE(Travail!BL35,Travail!BL46,Travail!BL57))))</f>
        <v>0</v>
      </c>
      <c r="BM69" s="173">
        <f>IF(BM24=0,0,IF(BM46=3,0,VALUE(CONCATENATE(Travail!BM35,Travail!BM46,Travail!BM57))))</f>
        <v>0</v>
      </c>
      <c r="BN69" s="173">
        <f>IF(BN24=0,0,IF(BN46=3,0,VALUE(CONCATENATE(Travail!BN35,Travail!BN46,Travail!BN57))))</f>
        <v>0</v>
      </c>
      <c r="BO69" s="173">
        <f>IF(BO24=0,0,IF(BO46=3,0,VALUE(CONCATENATE(Travail!BO35,Travail!BO46,Travail!BO57))))</f>
        <v>0</v>
      </c>
      <c r="BP69" s="173">
        <f>IF(BP24=0,0,IF(BP46=3,0,VALUE(CONCATENATE(Travail!BP35,Travail!BP46,Travail!BP57))))</f>
        <v>0</v>
      </c>
      <c r="BQ69" s="173">
        <f>IF(BQ24=0,0,IF(BQ46=3,0,VALUE(CONCATENATE(Travail!BQ35,Travail!BQ46,Travail!BQ57))))</f>
        <v>0</v>
      </c>
      <c r="BR69" s="173">
        <f>IF(BR24=0,0,IF(BR46=3,0,VALUE(CONCATENATE(Travail!BR35,Travail!BR46,Travail!BR57))))</f>
        <v>0</v>
      </c>
      <c r="BS69" s="173">
        <f>IF(BS24=0,0,IF(BS46=3,0,VALUE(CONCATENATE(Travail!BS35,Travail!BS46,Travail!BS57))))</f>
        <v>0</v>
      </c>
      <c r="BZ69" s="189" t="str">
        <f t="shared" si="33"/>
        <v>lot10</v>
      </c>
      <c r="CB69" s="173">
        <f>IF(CB24=0,0,IF(CB46=3,0,VALUE(CONCATENATE(Travail!CB35,Travail!CB46,Travail!CB57))))</f>
        <v>0</v>
      </c>
      <c r="CC69" s="173">
        <f>IF(CC24=0,0,IF(CC46=3,0,VALUE(CONCATENATE(Travail!CC35,Travail!CC46,Travail!CC57))))</f>
        <v>0</v>
      </c>
      <c r="CD69" s="173">
        <f>IF(CD24=0,0,IF(CD46=3,0,VALUE(CONCATENATE(Travail!CD35,Travail!CD46,Travail!CD57))))</f>
        <v>0</v>
      </c>
      <c r="CE69" s="173">
        <f>IF(CE24=0,0,IF(CE46=3,0,VALUE(CONCATENATE(Travail!CE35,Travail!CE46,Travail!CE57))))</f>
        <v>0</v>
      </c>
      <c r="CF69" s="173">
        <f>IF(CF24=0,0,IF(CF46=3,0,VALUE(CONCATENATE(Travail!CF35,Travail!CF46,Travail!CF57))))</f>
        <v>0</v>
      </c>
      <c r="CG69" s="173">
        <f>IF(CG24=0,0,IF(CG46=3,0,VALUE(CONCATENATE(Travail!CG35,Travail!CG46,Travail!CG57))))</f>
        <v>0</v>
      </c>
      <c r="CH69" s="173">
        <f>IF(CH24=0,0,IF(CH46=3,0,VALUE(CONCATENATE(Travail!CH35,Travail!CH46,Travail!CH57))))</f>
        <v>0</v>
      </c>
      <c r="CI69" s="173">
        <f>IF(CI24=0,0,IF(CI46=3,0,VALUE(CONCATENATE(Travail!CI35,Travail!CI46,Travail!CI57))))</f>
        <v>0</v>
      </c>
      <c r="CJ69" s="173">
        <f>IF(CJ24=0,0,IF(CJ46=3,0,VALUE(CONCATENATE(Travail!CJ35,Travail!CJ46,Travail!CJ57))))</f>
        <v>0</v>
      </c>
      <c r="CK69" s="173">
        <f>IF(CK24=0,0,IF(CK46=3,0,VALUE(CONCATENATE(Travail!CK35,Travail!CK46,Travail!CK57))))</f>
        <v>0</v>
      </c>
      <c r="CL69" s="173">
        <f>IF(CL24=0,0,IF(CL46=3,0,VALUE(CONCATENATE(Travail!CL35,Travail!CL46,Travail!CL57))))</f>
        <v>0</v>
      </c>
      <c r="CM69" s="173">
        <f>IF(CM24=0,0,IF(CM46=3,0,VALUE(CONCATENATE(Travail!CM35,Travail!CM46,Travail!CM57))))</f>
        <v>0</v>
      </c>
      <c r="CN69" s="173">
        <f>IF(CN24=0,0,IF(CN46=3,0,VALUE(CONCATENATE(Travail!CN35,Travail!CN46,Travail!CN57))))</f>
        <v>0</v>
      </c>
      <c r="CO69" s="173">
        <f>IF(CO24=0,0,IF(CO46=3,0,VALUE(CONCATENATE(Travail!CO35,Travail!CO46,Travail!CO57))))</f>
        <v>0</v>
      </c>
      <c r="CP69" s="173">
        <f>IF(CP24=0,0,IF(CP46=3,0,VALUE(CONCATENATE(Travail!CP35,Travail!CP46,Travail!CP57))))</f>
        <v>0</v>
      </c>
      <c r="CQ69" s="173">
        <f>IF(CQ24=0,0,IF(CQ46=3,0,VALUE(CONCATENATE(Travail!CQ35,Travail!CQ46,Travail!CQ57))))</f>
        <v>0</v>
      </c>
      <c r="CR69" s="173">
        <f>IF(CR24=0,0,IF(CR46=3,0,VALUE(CONCATENATE(Travail!CR35,Travail!CR46,Travail!CR57))))</f>
        <v>0</v>
      </c>
      <c r="CS69" s="173">
        <f>IF(CS24=0,0,IF(CS46=3,0,VALUE(CONCATENATE(Travail!CS35,Travail!CS46,Travail!CS57))))</f>
        <v>0</v>
      </c>
      <c r="CT69" s="173">
        <f>IF(CT24=0,0,IF(CT46=3,0,VALUE(CONCATENATE(Travail!CT35,Travail!CT46,Travail!CT57))))</f>
        <v>0</v>
      </c>
      <c r="CU69" s="173">
        <f>IF(CU24=0,0,IF(CU46=3,0,VALUE(CONCATENATE(Travail!CU35,Travail!CU46,Travail!CU57))))</f>
        <v>0</v>
      </c>
      <c r="CV69" s="173">
        <f>IF(CV24=0,0,IF(CV46=3,0,VALUE(CONCATENATE(Travail!CV35,Travail!CV46,Travail!CV57))))</f>
        <v>0</v>
      </c>
      <c r="CW69" s="173">
        <f>IF(CW24=0,0,IF(CW46=3,0,VALUE(CONCATENATE(Travail!CW35,Travail!CW46,Travail!CW57))))</f>
        <v>0</v>
      </c>
      <c r="CX69" s="173">
        <f>IF(CX24=0,0,IF(CX46=3,0,VALUE(CONCATENATE(Travail!CX35,Travail!CX46,Travail!CX57))))</f>
        <v>0</v>
      </c>
      <c r="CY69" s="173">
        <f>IF(CY24=0,0,IF(CY46=3,0,VALUE(CONCATENATE(Travail!CY35,Travail!CY46,Travail!CY57))))</f>
        <v>0</v>
      </c>
      <c r="DC69" s="189" t="str">
        <f t="shared" si="34"/>
        <v>lot10</v>
      </c>
      <c r="DE69" s="173">
        <f>IF(DE24=0,0,IF(DE46=3,0,VALUE(CONCATENATE(Travail!DE35,Travail!DE46,Travail!DE57))))</f>
        <v>0</v>
      </c>
      <c r="DF69" s="173">
        <f>IF(DF24=0,0,IF(DF46=3,0,VALUE(CONCATENATE(Travail!DF35,Travail!DF46,Travail!DF57))))</f>
        <v>0</v>
      </c>
      <c r="DG69" s="173">
        <f>IF(DG24=0,0,IF(DG46=3,0,VALUE(CONCATENATE(Travail!DG35,Travail!DG46,Travail!DG57))))</f>
        <v>0</v>
      </c>
      <c r="DH69" s="173">
        <f>IF(DH24=0,0,IF(DH46=3,0,VALUE(CONCATENATE(Travail!DH35,Travail!DH46,Travail!DH57))))</f>
        <v>0</v>
      </c>
      <c r="DI69" s="173">
        <f>IF(DI24=0,0,IF(DI46=3,0,VALUE(CONCATENATE(Travail!DI35,Travail!DI46,Travail!DI57))))</f>
        <v>0</v>
      </c>
      <c r="DJ69" s="173">
        <f>IF(DJ24=0,0,IF(DJ46=3,0,VALUE(CONCATENATE(Travail!DJ35,Travail!DJ46,Travail!DJ57))))</f>
        <v>0</v>
      </c>
      <c r="DK69" s="173">
        <f>IF(DK24=0,0,IF(DK46=3,0,VALUE(CONCATENATE(Travail!DK35,Travail!DK46,Travail!DK57))))</f>
        <v>0</v>
      </c>
      <c r="DL69" s="173">
        <f>IF(DL24=0,0,IF(DL46=3,0,VALUE(CONCATENATE(Travail!DL35,Travail!DL46,Travail!DL57))))</f>
        <v>0</v>
      </c>
      <c r="DM69" s="173">
        <f>IF(DM24=0,0,IF(DM46=3,0,VALUE(CONCATENATE(Travail!DM35,Travail!DM46,Travail!DM57))))</f>
        <v>0</v>
      </c>
      <c r="DN69" s="173">
        <f>IF(DN24=0,0,IF(DN46=3,0,VALUE(CONCATENATE(Travail!DN35,Travail!DN46,Travail!DN57))))</f>
        <v>0</v>
      </c>
      <c r="DO69" s="173">
        <f>IF(DO24=0,0,IF(DO46=3,0,VALUE(CONCATENATE(Travail!DO35,Travail!DO46,Travail!DO57))))</f>
        <v>0</v>
      </c>
      <c r="DP69" s="173">
        <f>IF(DP24=0,0,IF(DP46=3,0,VALUE(CONCATENATE(Travail!DP35,Travail!DP46,Travail!DP57))))</f>
        <v>0</v>
      </c>
      <c r="DQ69" s="173">
        <f>IF(DQ24=0,0,IF(DQ46=3,0,VALUE(CONCATENATE(Travail!DQ35,Travail!DQ46,Travail!DQ57))))</f>
        <v>0</v>
      </c>
      <c r="DR69" s="173">
        <f>IF(DR24=0,0,IF(DR46=3,0,VALUE(CONCATENATE(Travail!DR35,Travail!DR46,Travail!DR57))))</f>
        <v>0</v>
      </c>
      <c r="DS69" s="173">
        <f>IF(DS24=0,0,IF(DS46=3,0,VALUE(CONCATENATE(Travail!DS35,Travail!DS46,Travail!DS57))))</f>
        <v>0</v>
      </c>
      <c r="DT69" s="173">
        <f>IF(DT24=0,0,IF(DT46=3,0,VALUE(CONCATENATE(Travail!DT35,Travail!DT46,Travail!DT57))))</f>
        <v>0</v>
      </c>
      <c r="DU69" s="173">
        <f>IF(DU24=0,0,IF(DU46=3,0,VALUE(CONCATENATE(Travail!DU35,Travail!DU46,Travail!DU57))))</f>
        <v>0</v>
      </c>
      <c r="DV69" s="173">
        <f>IF(DV24=0,0,IF(DV46=3,0,VALUE(CONCATENATE(Travail!DV35,Travail!DV46,Travail!DV57))))</f>
        <v>0</v>
      </c>
      <c r="DW69" s="173">
        <f>IF(DW24=0,0,IF(DW46=3,0,VALUE(CONCATENATE(Travail!DW35,Travail!DW46,Travail!DW57))))</f>
        <v>0</v>
      </c>
      <c r="DX69" s="173">
        <f>IF(DX24=0,0,IF(DX46=3,0,VALUE(CONCATENATE(Travail!DX35,Travail!DX46,Travail!DX57))))</f>
        <v>0</v>
      </c>
      <c r="DY69" s="173">
        <f>IF(DY24=0,0,IF(DY46=3,0,VALUE(CONCATENATE(Travail!DY35,Travail!DY46,Travail!DY57))))</f>
        <v>0</v>
      </c>
      <c r="DZ69" s="173">
        <f>IF(DZ24=0,0,IF(DZ46=3,0,VALUE(CONCATENATE(Travail!DZ35,Travail!DZ46,Travail!DZ57))))</f>
        <v>0</v>
      </c>
      <c r="EA69" s="173">
        <f>IF(EA24=0,0,IF(EA46=3,0,VALUE(CONCATENATE(Travail!EA35,Travail!EA46,Travail!EA57))))</f>
        <v>0</v>
      </c>
      <c r="EB69" s="173">
        <f>IF(EB24=0,0,IF(EB46=3,0,VALUE(CONCATENATE(Travail!EB35,Travail!EB46,Travail!EB57))))</f>
        <v>0</v>
      </c>
    </row>
    <row r="70" spans="1:132" x14ac:dyDescent="0.25">
      <c r="A70" s="176" t="s">
        <v>806</v>
      </c>
      <c r="B70" s="5"/>
      <c r="C70" s="5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8" t="s">
        <v>747</v>
      </c>
      <c r="AT70" s="40" t="s">
        <v>807</v>
      </c>
      <c r="BZ70" s="40" t="s">
        <v>807</v>
      </c>
      <c r="CB70" s="171"/>
      <c r="CC70" s="171"/>
      <c r="CD70" s="171"/>
      <c r="CE70" s="171"/>
      <c r="CF70" s="171"/>
      <c r="CG70" s="171"/>
      <c r="CH70" s="171"/>
      <c r="CI70" s="171"/>
      <c r="CJ70" s="171"/>
      <c r="CK70" s="171"/>
      <c r="CL70" s="171"/>
      <c r="CM70" s="171"/>
      <c r="CN70" s="171"/>
      <c r="CO70" s="171"/>
      <c r="CP70" s="171"/>
      <c r="CQ70" s="171"/>
      <c r="CR70" s="171"/>
      <c r="CS70" s="171"/>
      <c r="CT70" s="171"/>
      <c r="CU70" s="171"/>
      <c r="CV70" s="171"/>
      <c r="CW70" s="171"/>
      <c r="CX70" s="171"/>
      <c r="CY70" s="171"/>
      <c r="DC70" s="40" t="s">
        <v>807</v>
      </c>
      <c r="DE70" s="171"/>
      <c r="DF70" s="171"/>
      <c r="DG70" s="171"/>
      <c r="DH70" s="171"/>
      <c r="DI70" s="171"/>
      <c r="DJ70" s="171"/>
      <c r="DK70" s="171"/>
      <c r="DL70" s="171"/>
      <c r="DM70" s="171"/>
      <c r="DN70" s="171"/>
      <c r="DO70" s="171"/>
      <c r="DP70" s="171"/>
      <c r="DQ70" s="171"/>
      <c r="DR70" s="171"/>
      <c r="DS70" s="171"/>
      <c r="DT70" s="171"/>
      <c r="DU70" s="171"/>
      <c r="DV70" s="171"/>
      <c r="DW70" s="171"/>
      <c r="DX70" s="171"/>
      <c r="DY70" s="171"/>
      <c r="DZ70" s="171"/>
      <c r="EA70" s="171"/>
      <c r="EB70" s="171"/>
    </row>
    <row r="71" spans="1:132" x14ac:dyDescent="0.25">
      <c r="A71" s="176" t="s">
        <v>808</v>
      </c>
      <c r="B71" s="5"/>
      <c r="C71" s="5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8" t="s">
        <v>747</v>
      </c>
      <c r="AT71" s="189" t="str">
        <f>AT60</f>
        <v>brebis</v>
      </c>
      <c r="AV71" s="173">
        <f t="shared" ref="AV71:BS80" si="36">IF(AV15=0,0,VALUE(CONCATENATE(AV26,AV37)))</f>
        <v>23</v>
      </c>
      <c r="AW71" s="173">
        <f t="shared" si="36"/>
        <v>23</v>
      </c>
      <c r="AX71" s="173">
        <f t="shared" si="36"/>
        <v>23</v>
      </c>
      <c r="AY71" s="173">
        <f t="shared" si="36"/>
        <v>22</v>
      </c>
      <c r="AZ71" s="173">
        <f t="shared" si="36"/>
        <v>22</v>
      </c>
      <c r="BA71" s="173">
        <f t="shared" si="36"/>
        <v>22</v>
      </c>
      <c r="BB71" s="173">
        <f t="shared" si="36"/>
        <v>22</v>
      </c>
      <c r="BC71" s="173">
        <f t="shared" si="36"/>
        <v>22</v>
      </c>
      <c r="BD71" s="173">
        <f t="shared" si="36"/>
        <v>22</v>
      </c>
      <c r="BE71" s="173">
        <f t="shared" si="36"/>
        <v>22</v>
      </c>
      <c r="BF71" s="173">
        <f t="shared" si="36"/>
        <v>22</v>
      </c>
      <c r="BG71" s="173">
        <f t="shared" si="36"/>
        <v>21</v>
      </c>
      <c r="BH71" s="173">
        <f t="shared" si="36"/>
        <v>21</v>
      </c>
      <c r="BI71" s="173">
        <f t="shared" si="36"/>
        <v>21</v>
      </c>
      <c r="BJ71" s="173">
        <f t="shared" si="36"/>
        <v>21</v>
      </c>
      <c r="BK71" s="173">
        <f t="shared" si="36"/>
        <v>21</v>
      </c>
      <c r="BL71" s="173">
        <f t="shared" si="36"/>
        <v>21</v>
      </c>
      <c r="BM71" s="173">
        <f t="shared" si="36"/>
        <v>21</v>
      </c>
      <c r="BN71" s="173">
        <f t="shared" si="36"/>
        <v>22</v>
      </c>
      <c r="BO71" s="173">
        <f t="shared" si="36"/>
        <v>22</v>
      </c>
      <c r="BP71" s="173">
        <f t="shared" si="36"/>
        <v>23</v>
      </c>
      <c r="BQ71" s="173">
        <f t="shared" si="36"/>
        <v>23</v>
      </c>
      <c r="BR71" s="173">
        <f t="shared" si="36"/>
        <v>23</v>
      </c>
      <c r="BS71" s="173">
        <f t="shared" si="36"/>
        <v>23</v>
      </c>
      <c r="BZ71" s="189" t="str">
        <f>BZ60</f>
        <v xml:space="preserve">vaches </v>
      </c>
      <c r="CB71" s="173">
        <f t="shared" ref="CB71:CY80" si="37">IF(CB15=0,0,VALUE(CONCATENATE(CB26,CB37)))</f>
        <v>23</v>
      </c>
      <c r="CC71" s="173">
        <f t="shared" si="37"/>
        <v>23</v>
      </c>
      <c r="CD71" s="173">
        <f t="shared" si="37"/>
        <v>23</v>
      </c>
      <c r="CE71" s="173">
        <f t="shared" si="37"/>
        <v>23</v>
      </c>
      <c r="CF71" s="173">
        <f t="shared" si="37"/>
        <v>23</v>
      </c>
      <c r="CG71" s="173">
        <f t="shared" si="37"/>
        <v>23</v>
      </c>
      <c r="CH71" s="173">
        <f t="shared" si="37"/>
        <v>22</v>
      </c>
      <c r="CI71" s="173">
        <f t="shared" si="37"/>
        <v>22</v>
      </c>
      <c r="CJ71" s="173">
        <f t="shared" si="37"/>
        <v>22</v>
      </c>
      <c r="CK71" s="173">
        <f t="shared" si="37"/>
        <v>22</v>
      </c>
      <c r="CL71" s="173">
        <f t="shared" si="37"/>
        <v>21</v>
      </c>
      <c r="CM71" s="173">
        <f t="shared" si="37"/>
        <v>21</v>
      </c>
      <c r="CN71" s="173">
        <f t="shared" si="37"/>
        <v>21</v>
      </c>
      <c r="CO71" s="173">
        <f t="shared" si="37"/>
        <v>21</v>
      </c>
      <c r="CP71" s="173">
        <f t="shared" si="37"/>
        <v>21</v>
      </c>
      <c r="CQ71" s="173">
        <f t="shared" si="37"/>
        <v>21</v>
      </c>
      <c r="CR71" s="173">
        <f t="shared" si="37"/>
        <v>21</v>
      </c>
      <c r="CS71" s="173">
        <f t="shared" si="37"/>
        <v>21</v>
      </c>
      <c r="CT71" s="173">
        <f t="shared" si="37"/>
        <v>22</v>
      </c>
      <c r="CU71" s="173">
        <f t="shared" si="37"/>
        <v>22</v>
      </c>
      <c r="CV71" s="173">
        <f t="shared" si="37"/>
        <v>22</v>
      </c>
      <c r="CW71" s="173">
        <f t="shared" si="37"/>
        <v>22</v>
      </c>
      <c r="CX71" s="173">
        <f t="shared" si="37"/>
        <v>23</v>
      </c>
      <c r="CY71" s="173">
        <f t="shared" si="37"/>
        <v>23</v>
      </c>
      <c r="DC71" s="189" t="str">
        <f>DC60</f>
        <v>lot1</v>
      </c>
      <c r="DE71" s="173">
        <f t="shared" ref="DE71:EB80" si="38">IF(DE15=0,0,VALUE(CONCATENATE(DE26,DE37)))</f>
        <v>0</v>
      </c>
      <c r="DF71" s="173">
        <f t="shared" si="38"/>
        <v>0</v>
      </c>
      <c r="DG71" s="173">
        <f t="shared" si="38"/>
        <v>0</v>
      </c>
      <c r="DH71" s="173">
        <f t="shared" si="38"/>
        <v>0</v>
      </c>
      <c r="DI71" s="173">
        <f t="shared" si="38"/>
        <v>0</v>
      </c>
      <c r="DJ71" s="173">
        <f t="shared" si="38"/>
        <v>0</v>
      </c>
      <c r="DK71" s="173">
        <f t="shared" si="38"/>
        <v>0</v>
      </c>
      <c r="DL71" s="173">
        <f t="shared" si="38"/>
        <v>0</v>
      </c>
      <c r="DM71" s="173">
        <f t="shared" si="38"/>
        <v>0</v>
      </c>
      <c r="DN71" s="173">
        <f t="shared" si="38"/>
        <v>0</v>
      </c>
      <c r="DO71" s="173">
        <f t="shared" si="38"/>
        <v>0</v>
      </c>
      <c r="DP71" s="173">
        <f t="shared" si="38"/>
        <v>0</v>
      </c>
      <c r="DQ71" s="173">
        <f t="shared" si="38"/>
        <v>0</v>
      </c>
      <c r="DR71" s="173">
        <f t="shared" si="38"/>
        <v>0</v>
      </c>
      <c r="DS71" s="173">
        <f t="shared" si="38"/>
        <v>0</v>
      </c>
      <c r="DT71" s="173">
        <f t="shared" si="38"/>
        <v>0</v>
      </c>
      <c r="DU71" s="173">
        <f t="shared" si="38"/>
        <v>0</v>
      </c>
      <c r="DV71" s="173">
        <f t="shared" si="38"/>
        <v>0</v>
      </c>
      <c r="DW71" s="173">
        <f t="shared" si="38"/>
        <v>0</v>
      </c>
      <c r="DX71" s="173">
        <f t="shared" si="38"/>
        <v>0</v>
      </c>
      <c r="DY71" s="173">
        <f t="shared" si="38"/>
        <v>0</v>
      </c>
      <c r="DZ71" s="173">
        <f t="shared" si="38"/>
        <v>0</v>
      </c>
      <c r="EA71" s="173">
        <f t="shared" si="38"/>
        <v>0</v>
      </c>
      <c r="EB71" s="173">
        <f t="shared" si="38"/>
        <v>0</v>
      </c>
    </row>
    <row r="72" spans="1:132" x14ac:dyDescent="0.25">
      <c r="A72" s="176" t="s">
        <v>809</v>
      </c>
      <c r="B72" s="5"/>
      <c r="C72" s="5"/>
      <c r="F72" s="173">
        <f t="shared" ref="F72:F73" si="39">ROUND(SUM(G72:AD72),0)</f>
        <v>275</v>
      </c>
      <c r="G72" s="173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10</v>
      </c>
      <c r="H72" s="173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10</v>
      </c>
      <c r="I72" s="173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15</v>
      </c>
      <c r="J72" s="173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20</v>
      </c>
      <c r="K72" s="173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20</v>
      </c>
      <c r="L72" s="173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20</v>
      </c>
      <c r="M72" s="173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20</v>
      </c>
      <c r="N72" s="173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20</v>
      </c>
      <c r="O72" s="173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20</v>
      </c>
      <c r="P72" s="173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10</v>
      </c>
      <c r="Q72" s="173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10</v>
      </c>
      <c r="R72" s="173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5</v>
      </c>
      <c r="S72" s="173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5</v>
      </c>
      <c r="T72" s="173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5</v>
      </c>
      <c r="U72" s="173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5</v>
      </c>
      <c r="V72" s="173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5</v>
      </c>
      <c r="W72" s="173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5</v>
      </c>
      <c r="X72" s="173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5</v>
      </c>
      <c r="Y72" s="173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10</v>
      </c>
      <c r="Z72" s="173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15</v>
      </c>
      <c r="AA72" s="173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10</v>
      </c>
      <c r="AB72" s="173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10</v>
      </c>
      <c r="AC72" s="173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10</v>
      </c>
      <c r="AD72" s="173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10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8" t="s">
        <v>747</v>
      </c>
      <c r="AT72" s="189" t="str">
        <f t="shared" ref="AT72:AT80" si="40">AT61</f>
        <v>vides</v>
      </c>
      <c r="AV72" s="173">
        <f t="shared" si="36"/>
        <v>22</v>
      </c>
      <c r="AW72" s="173">
        <f t="shared" si="36"/>
        <v>22</v>
      </c>
      <c r="AX72" s="173">
        <f t="shared" si="36"/>
        <v>22</v>
      </c>
      <c r="AY72" s="173">
        <f t="shared" si="36"/>
        <v>22</v>
      </c>
      <c r="AZ72" s="173">
        <f t="shared" si="36"/>
        <v>22</v>
      </c>
      <c r="BA72" s="173">
        <f t="shared" si="36"/>
        <v>22</v>
      </c>
      <c r="BB72" s="173">
        <f t="shared" si="36"/>
        <v>22</v>
      </c>
      <c r="BC72" s="173">
        <f t="shared" si="36"/>
        <v>22</v>
      </c>
      <c r="BD72" s="173">
        <f t="shared" si="36"/>
        <v>22</v>
      </c>
      <c r="BE72" s="173">
        <f t="shared" si="36"/>
        <v>0</v>
      </c>
      <c r="BF72" s="173">
        <f t="shared" si="36"/>
        <v>0</v>
      </c>
      <c r="BG72" s="173">
        <f t="shared" si="36"/>
        <v>0</v>
      </c>
      <c r="BH72" s="173">
        <f t="shared" si="36"/>
        <v>0</v>
      </c>
      <c r="BI72" s="173">
        <f t="shared" si="36"/>
        <v>0</v>
      </c>
      <c r="BJ72" s="173">
        <f t="shared" si="36"/>
        <v>0</v>
      </c>
      <c r="BK72" s="173">
        <f t="shared" si="36"/>
        <v>0</v>
      </c>
      <c r="BL72" s="173">
        <f t="shared" si="36"/>
        <v>0</v>
      </c>
      <c r="BM72" s="173">
        <f t="shared" si="36"/>
        <v>0</v>
      </c>
      <c r="BN72" s="173">
        <f t="shared" si="36"/>
        <v>0</v>
      </c>
      <c r="BO72" s="173">
        <f t="shared" si="36"/>
        <v>22</v>
      </c>
      <c r="BP72" s="173">
        <f t="shared" si="36"/>
        <v>22</v>
      </c>
      <c r="BQ72" s="173">
        <f t="shared" si="36"/>
        <v>22</v>
      </c>
      <c r="BR72" s="173">
        <f t="shared" si="36"/>
        <v>22</v>
      </c>
      <c r="BS72" s="173">
        <f t="shared" si="36"/>
        <v>22</v>
      </c>
      <c r="BZ72" s="189" t="str">
        <f t="shared" ref="BZ72:BZ80" si="41">BZ61</f>
        <v>genisses -1an</v>
      </c>
      <c r="CB72" s="173">
        <f t="shared" si="37"/>
        <v>0</v>
      </c>
      <c r="CC72" s="173">
        <f t="shared" si="37"/>
        <v>0</v>
      </c>
      <c r="CD72" s="173">
        <f t="shared" si="37"/>
        <v>0</v>
      </c>
      <c r="CE72" s="173">
        <f t="shared" si="37"/>
        <v>0</v>
      </c>
      <c r="CF72" s="173">
        <f t="shared" si="37"/>
        <v>0</v>
      </c>
      <c r="CG72" s="173">
        <f t="shared" si="37"/>
        <v>21</v>
      </c>
      <c r="CH72" s="173">
        <f t="shared" si="37"/>
        <v>21</v>
      </c>
      <c r="CI72" s="173">
        <f t="shared" si="37"/>
        <v>21</v>
      </c>
      <c r="CJ72" s="173">
        <f t="shared" si="37"/>
        <v>21</v>
      </c>
      <c r="CK72" s="173">
        <f t="shared" si="37"/>
        <v>21</v>
      </c>
      <c r="CL72" s="173">
        <f t="shared" si="37"/>
        <v>21</v>
      </c>
      <c r="CM72" s="173">
        <f t="shared" si="37"/>
        <v>21</v>
      </c>
      <c r="CN72" s="173">
        <f t="shared" si="37"/>
        <v>21</v>
      </c>
      <c r="CO72" s="173">
        <f t="shared" si="37"/>
        <v>21</v>
      </c>
      <c r="CP72" s="173">
        <f t="shared" si="37"/>
        <v>21</v>
      </c>
      <c r="CQ72" s="173">
        <f t="shared" si="37"/>
        <v>21</v>
      </c>
      <c r="CR72" s="173">
        <f t="shared" si="37"/>
        <v>21</v>
      </c>
      <c r="CS72" s="173">
        <f t="shared" si="37"/>
        <v>21</v>
      </c>
      <c r="CT72" s="173">
        <f t="shared" si="37"/>
        <v>21</v>
      </c>
      <c r="CU72" s="173">
        <f t="shared" si="37"/>
        <v>21</v>
      </c>
      <c r="CV72" s="173">
        <f t="shared" si="37"/>
        <v>22</v>
      </c>
      <c r="CW72" s="173">
        <f t="shared" si="37"/>
        <v>22</v>
      </c>
      <c r="CX72" s="173">
        <f t="shared" si="37"/>
        <v>0</v>
      </c>
      <c r="CY72" s="173">
        <f t="shared" si="37"/>
        <v>0</v>
      </c>
      <c r="DC72" s="189" t="str">
        <f t="shared" ref="DC72:DC80" si="42">DC61</f>
        <v>lot2</v>
      </c>
      <c r="DE72" s="173">
        <f t="shared" si="38"/>
        <v>0</v>
      </c>
      <c r="DF72" s="173">
        <f t="shared" si="38"/>
        <v>0</v>
      </c>
      <c r="DG72" s="173">
        <f t="shared" si="38"/>
        <v>0</v>
      </c>
      <c r="DH72" s="173">
        <f t="shared" si="38"/>
        <v>0</v>
      </c>
      <c r="DI72" s="173">
        <f t="shared" si="38"/>
        <v>0</v>
      </c>
      <c r="DJ72" s="173">
        <f t="shared" si="38"/>
        <v>0</v>
      </c>
      <c r="DK72" s="173">
        <f t="shared" si="38"/>
        <v>0</v>
      </c>
      <c r="DL72" s="173">
        <f t="shared" si="38"/>
        <v>0</v>
      </c>
      <c r="DM72" s="173">
        <f t="shared" si="38"/>
        <v>0</v>
      </c>
      <c r="DN72" s="173">
        <f t="shared" si="38"/>
        <v>0</v>
      </c>
      <c r="DO72" s="173">
        <f t="shared" si="38"/>
        <v>0</v>
      </c>
      <c r="DP72" s="173">
        <f t="shared" si="38"/>
        <v>0</v>
      </c>
      <c r="DQ72" s="173">
        <f t="shared" si="38"/>
        <v>0</v>
      </c>
      <c r="DR72" s="173">
        <f t="shared" si="38"/>
        <v>0</v>
      </c>
      <c r="DS72" s="173">
        <f t="shared" si="38"/>
        <v>0</v>
      </c>
      <c r="DT72" s="173">
        <f t="shared" si="38"/>
        <v>0</v>
      </c>
      <c r="DU72" s="173">
        <f t="shared" si="38"/>
        <v>0</v>
      </c>
      <c r="DV72" s="173">
        <f t="shared" si="38"/>
        <v>0</v>
      </c>
      <c r="DW72" s="173">
        <f t="shared" si="38"/>
        <v>0</v>
      </c>
      <c r="DX72" s="173">
        <f t="shared" si="38"/>
        <v>0</v>
      </c>
      <c r="DY72" s="173">
        <f t="shared" si="38"/>
        <v>0</v>
      </c>
      <c r="DZ72" s="173">
        <f t="shared" si="38"/>
        <v>0</v>
      </c>
      <c r="EA72" s="173">
        <f t="shared" si="38"/>
        <v>0</v>
      </c>
      <c r="EB72" s="173">
        <f t="shared" si="38"/>
        <v>0</v>
      </c>
    </row>
    <row r="73" spans="1:132" x14ac:dyDescent="0.25">
      <c r="A73" s="176" t="s">
        <v>810</v>
      </c>
      <c r="B73" s="5"/>
      <c r="C73" s="5"/>
      <c r="F73" s="173">
        <f t="shared" si="39"/>
        <v>0</v>
      </c>
      <c r="G73" s="173">
        <f>IF(AND(Troupeau!$C$3="BV",Scénario!$K$87&gt;2),Protection!C25*([1]Protect!$B$22+[1]Protect!$B$23),0)</f>
        <v>0</v>
      </c>
      <c r="H73" s="173">
        <f>IF(AND(Troupeau!$C$3="BV",Scénario!$K$87&gt;2),Protection!D25*([1]Protect!$B$22+[1]Protect!$B$23),0)</f>
        <v>0</v>
      </c>
      <c r="I73" s="173">
        <f>IF(AND(Troupeau!$C$3="BV",Scénario!$K$87&gt;2),Protection!E25*([1]Protect!$B$22+[1]Protect!$B$23),0)</f>
        <v>0</v>
      </c>
      <c r="J73" s="173">
        <f>IF(AND(Troupeau!$C$3="BV",Scénario!$K$87&gt;2),Protection!F25*([1]Protect!$B$22+[1]Protect!$B$23),0)</f>
        <v>0</v>
      </c>
      <c r="K73" s="173">
        <f>IF(AND(Troupeau!$C$3="BV",Scénario!$K$87&gt;2),Protection!G25*([1]Protect!$B$22+[1]Protect!$B$23),0)</f>
        <v>0</v>
      </c>
      <c r="L73" s="173">
        <f>IF(AND(Troupeau!$C$3="BV",Scénario!$K$87&gt;2),Protection!H25*([1]Protect!$B$22+[1]Protect!$B$23),0)</f>
        <v>0</v>
      </c>
      <c r="M73" s="173">
        <f>IF(AND(Troupeau!$C$3="BV",Scénario!$K$87&gt;2),Protection!I25*([1]Protect!$B$22+[1]Protect!$B$23),0)</f>
        <v>0</v>
      </c>
      <c r="N73" s="173">
        <f>IF(AND(Troupeau!$C$3="BV",Scénario!$K$87&gt;2),Protection!J25*([1]Protect!$B$22+[1]Protect!$B$23),0)</f>
        <v>0</v>
      </c>
      <c r="O73" s="173">
        <f>IF(AND(Troupeau!$C$3="BV",Scénario!$K$87&gt;2),Protection!K25*([1]Protect!$B$22+[1]Protect!$B$23),0)</f>
        <v>0</v>
      </c>
      <c r="P73" s="173">
        <f>IF(AND(Troupeau!$C$3="BV",Scénario!$K$87&gt;2),Protection!L25*([1]Protect!$B$22+[1]Protect!$B$23),0)</f>
        <v>0</v>
      </c>
      <c r="Q73" s="173">
        <f>IF(AND(Troupeau!$C$3="BV",Scénario!$K$87&gt;2),Protection!M25*([1]Protect!$B$22+[1]Protect!$B$23),0)</f>
        <v>0</v>
      </c>
      <c r="R73" s="173">
        <f>IF(AND(Troupeau!$C$3="BV",Scénario!$K$87&gt;2),Protection!N25*([1]Protect!$B$22+[1]Protect!$B$23),0)</f>
        <v>0</v>
      </c>
      <c r="S73" s="173">
        <f>IF(AND(Troupeau!$C$3="BV",Scénario!$K$87&gt;2),Protection!O25*([1]Protect!$B$22+[1]Protect!$B$23),0)</f>
        <v>0</v>
      </c>
      <c r="T73" s="173">
        <f>IF(AND(Troupeau!$C$3="BV",Scénario!$K$87&gt;2),Protection!P25*([1]Protect!$B$22+[1]Protect!$B$23),0)</f>
        <v>0</v>
      </c>
      <c r="U73" s="173">
        <f>IF(AND(Troupeau!$C$3="BV",Scénario!$K$87&gt;2),Protection!Q25*([1]Protect!$B$22+[1]Protect!$B$23),0)</f>
        <v>0</v>
      </c>
      <c r="V73" s="173">
        <f>IF(AND(Troupeau!$C$3="BV",Scénario!$K$87&gt;2),Protection!R25*([1]Protect!$B$22+[1]Protect!$B$23),0)</f>
        <v>0</v>
      </c>
      <c r="W73" s="173">
        <f>IF(AND(Troupeau!$C$3="BV",Scénario!$K$87&gt;2),Protection!S25*([1]Protect!$B$22+[1]Protect!$B$23),0)</f>
        <v>0</v>
      </c>
      <c r="X73" s="173">
        <f>IF(AND(Troupeau!$C$3="BV",Scénario!$K$87&gt;2),Protection!T25*([1]Protect!$B$22+[1]Protect!$B$23),0)</f>
        <v>0</v>
      </c>
      <c r="Y73" s="173">
        <f>IF(AND(Troupeau!$C$3="BV",Scénario!$K$87&gt;2),Protection!U25*([1]Protect!$B$22+[1]Protect!$B$23),0)</f>
        <v>0</v>
      </c>
      <c r="Z73" s="173">
        <f>IF(AND(Troupeau!$C$3="BV",Scénario!$K$87&gt;2),Protection!V25*([1]Protect!$B$22+[1]Protect!$B$23),0)</f>
        <v>0</v>
      </c>
      <c r="AA73" s="173">
        <f>IF(AND(Troupeau!$C$3="BV",Scénario!$K$87&gt;2),Protection!W25*([1]Protect!$B$22+[1]Protect!$B$23),0)</f>
        <v>0</v>
      </c>
      <c r="AB73" s="173">
        <f>IF(AND(Troupeau!$C$3="BV",Scénario!$K$87&gt;2),Protection!X25*([1]Protect!$B$22+[1]Protect!$B$23),0)</f>
        <v>0</v>
      </c>
      <c r="AC73" s="173">
        <f>IF(AND(Troupeau!$C$3="BV",Scénario!$K$87&gt;2),Protection!Y25*([1]Protect!$B$22+[1]Protect!$B$23),0)</f>
        <v>0</v>
      </c>
      <c r="AD73" s="173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8" t="s">
        <v>747</v>
      </c>
      <c r="AT73" s="189" t="str">
        <f t="shared" si="40"/>
        <v>agnelles</v>
      </c>
      <c r="AV73" s="173">
        <f t="shared" si="36"/>
        <v>23</v>
      </c>
      <c r="AW73" s="173">
        <f t="shared" si="36"/>
        <v>23</v>
      </c>
      <c r="AX73" s="173">
        <f t="shared" si="36"/>
        <v>23</v>
      </c>
      <c r="AY73" s="173">
        <f t="shared" si="36"/>
        <v>23</v>
      </c>
      <c r="AZ73" s="173">
        <f t="shared" si="36"/>
        <v>23</v>
      </c>
      <c r="BA73" s="173">
        <f t="shared" si="36"/>
        <v>22</v>
      </c>
      <c r="BB73" s="173">
        <f t="shared" si="36"/>
        <v>22</v>
      </c>
      <c r="BC73" s="173">
        <f t="shared" si="36"/>
        <v>22</v>
      </c>
      <c r="BD73" s="173">
        <f t="shared" si="36"/>
        <v>22</v>
      </c>
      <c r="BE73" s="173">
        <f t="shared" si="36"/>
        <v>22</v>
      </c>
      <c r="BF73" s="173">
        <f t="shared" si="36"/>
        <v>22</v>
      </c>
      <c r="BG73" s="173">
        <f t="shared" si="36"/>
        <v>22</v>
      </c>
      <c r="BH73" s="173">
        <f t="shared" si="36"/>
        <v>22</v>
      </c>
      <c r="BI73" s="173">
        <f t="shared" si="36"/>
        <v>22</v>
      </c>
      <c r="BJ73" s="173">
        <f t="shared" si="36"/>
        <v>22</v>
      </c>
      <c r="BK73" s="173">
        <f t="shared" si="36"/>
        <v>22</v>
      </c>
      <c r="BL73" s="173">
        <f t="shared" si="36"/>
        <v>22</v>
      </c>
      <c r="BM73" s="173">
        <f t="shared" si="36"/>
        <v>22</v>
      </c>
      <c r="BN73" s="173">
        <f t="shared" si="36"/>
        <v>22</v>
      </c>
      <c r="BO73" s="173">
        <f t="shared" si="36"/>
        <v>0</v>
      </c>
      <c r="BP73" s="173">
        <f t="shared" si="36"/>
        <v>0</v>
      </c>
      <c r="BQ73" s="173">
        <f t="shared" si="36"/>
        <v>23</v>
      </c>
      <c r="BR73" s="173">
        <f t="shared" si="36"/>
        <v>23</v>
      </c>
      <c r="BS73" s="173">
        <f t="shared" si="36"/>
        <v>23</v>
      </c>
      <c r="BZ73" s="189" t="str">
        <f t="shared" si="41"/>
        <v>genisses +1an</v>
      </c>
      <c r="CB73" s="173">
        <f t="shared" si="37"/>
        <v>13</v>
      </c>
      <c r="CC73" s="173">
        <f t="shared" si="37"/>
        <v>13</v>
      </c>
      <c r="CD73" s="173">
        <f t="shared" si="37"/>
        <v>11</v>
      </c>
      <c r="CE73" s="173">
        <f t="shared" si="37"/>
        <v>11</v>
      </c>
      <c r="CF73" s="173">
        <f t="shared" si="37"/>
        <v>11</v>
      </c>
      <c r="CG73" s="173">
        <f t="shared" si="37"/>
        <v>11</v>
      </c>
      <c r="CH73" s="173">
        <f t="shared" si="37"/>
        <v>11</v>
      </c>
      <c r="CI73" s="173">
        <f t="shared" si="37"/>
        <v>11</v>
      </c>
      <c r="CJ73" s="173">
        <f t="shared" si="37"/>
        <v>11</v>
      </c>
      <c r="CK73" s="173">
        <f t="shared" si="37"/>
        <v>11</v>
      </c>
      <c r="CL73" s="173">
        <f t="shared" si="37"/>
        <v>11</v>
      </c>
      <c r="CM73" s="173">
        <f t="shared" si="37"/>
        <v>11</v>
      </c>
      <c r="CN73" s="173">
        <f t="shared" si="37"/>
        <v>11</v>
      </c>
      <c r="CO73" s="173">
        <f t="shared" si="37"/>
        <v>11</v>
      </c>
      <c r="CP73" s="173">
        <f t="shared" si="37"/>
        <v>11</v>
      </c>
      <c r="CQ73" s="173">
        <f t="shared" si="37"/>
        <v>11</v>
      </c>
      <c r="CR73" s="173">
        <f t="shared" si="37"/>
        <v>11</v>
      </c>
      <c r="CS73" s="173">
        <f t="shared" si="37"/>
        <v>11</v>
      </c>
      <c r="CT73" s="173">
        <f t="shared" si="37"/>
        <v>11</v>
      </c>
      <c r="CU73" s="173">
        <f t="shared" si="37"/>
        <v>11</v>
      </c>
      <c r="CV73" s="173">
        <f t="shared" si="37"/>
        <v>11</v>
      </c>
      <c r="CW73" s="173">
        <f t="shared" si="37"/>
        <v>11</v>
      </c>
      <c r="CX73" s="173">
        <f t="shared" si="37"/>
        <v>13</v>
      </c>
      <c r="CY73" s="173">
        <f t="shared" si="37"/>
        <v>13</v>
      </c>
      <c r="DC73" s="189" t="str">
        <f t="shared" si="42"/>
        <v>lot3</v>
      </c>
      <c r="DE73" s="173">
        <f t="shared" si="38"/>
        <v>0</v>
      </c>
      <c r="DF73" s="173">
        <f t="shared" si="38"/>
        <v>0</v>
      </c>
      <c r="DG73" s="173">
        <f t="shared" si="38"/>
        <v>0</v>
      </c>
      <c r="DH73" s="173">
        <f t="shared" si="38"/>
        <v>0</v>
      </c>
      <c r="DI73" s="173">
        <f t="shared" si="38"/>
        <v>0</v>
      </c>
      <c r="DJ73" s="173">
        <f t="shared" si="38"/>
        <v>0</v>
      </c>
      <c r="DK73" s="173">
        <f t="shared" si="38"/>
        <v>0</v>
      </c>
      <c r="DL73" s="173">
        <f t="shared" si="38"/>
        <v>0</v>
      </c>
      <c r="DM73" s="173">
        <f t="shared" si="38"/>
        <v>0</v>
      </c>
      <c r="DN73" s="173">
        <f t="shared" si="38"/>
        <v>0</v>
      </c>
      <c r="DO73" s="173">
        <f t="shared" si="38"/>
        <v>0</v>
      </c>
      <c r="DP73" s="173">
        <f t="shared" si="38"/>
        <v>0</v>
      </c>
      <c r="DQ73" s="173">
        <f t="shared" si="38"/>
        <v>0</v>
      </c>
      <c r="DR73" s="173">
        <f t="shared" si="38"/>
        <v>0</v>
      </c>
      <c r="DS73" s="173">
        <f t="shared" si="38"/>
        <v>0</v>
      </c>
      <c r="DT73" s="173">
        <f t="shared" si="38"/>
        <v>0</v>
      </c>
      <c r="DU73" s="173">
        <f t="shared" si="38"/>
        <v>0</v>
      </c>
      <c r="DV73" s="173">
        <f t="shared" si="38"/>
        <v>0</v>
      </c>
      <c r="DW73" s="173">
        <f t="shared" si="38"/>
        <v>0</v>
      </c>
      <c r="DX73" s="173">
        <f t="shared" si="38"/>
        <v>0</v>
      </c>
      <c r="DY73" s="173">
        <f t="shared" si="38"/>
        <v>0</v>
      </c>
      <c r="DZ73" s="173">
        <f t="shared" si="38"/>
        <v>0</v>
      </c>
      <c r="EA73" s="173">
        <f t="shared" si="38"/>
        <v>0</v>
      </c>
      <c r="EB73" s="173">
        <f t="shared" si="38"/>
        <v>0</v>
      </c>
    </row>
    <row r="74" spans="1:132" x14ac:dyDescent="0.25">
      <c r="A74" s="176" t="s">
        <v>811</v>
      </c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G74" s="5"/>
      <c r="AH74" s="5"/>
      <c r="AI74" s="5"/>
      <c r="AJ74" s="5"/>
      <c r="AK74" s="5"/>
      <c r="AL74" s="5"/>
      <c r="AM74" s="5"/>
      <c r="AN74" s="5"/>
      <c r="AR74" s="188" t="s">
        <v>747</v>
      </c>
      <c r="AT74" s="189" t="str">
        <f t="shared" si="40"/>
        <v>beliers</v>
      </c>
      <c r="AV74" s="173">
        <f t="shared" si="36"/>
        <v>22</v>
      </c>
      <c r="AW74" s="173">
        <f t="shared" si="36"/>
        <v>22</v>
      </c>
      <c r="AX74" s="173">
        <f t="shared" si="36"/>
        <v>22</v>
      </c>
      <c r="AY74" s="173">
        <f t="shared" si="36"/>
        <v>22</v>
      </c>
      <c r="AZ74" s="173">
        <f t="shared" si="36"/>
        <v>22</v>
      </c>
      <c r="BA74" s="173">
        <f t="shared" si="36"/>
        <v>22</v>
      </c>
      <c r="BB74" s="173">
        <f t="shared" si="36"/>
        <v>22</v>
      </c>
      <c r="BC74" s="173">
        <f t="shared" si="36"/>
        <v>22</v>
      </c>
      <c r="BD74" s="173">
        <f t="shared" si="36"/>
        <v>22</v>
      </c>
      <c r="BE74" s="173">
        <f t="shared" si="36"/>
        <v>0</v>
      </c>
      <c r="BF74" s="173">
        <f t="shared" si="36"/>
        <v>0</v>
      </c>
      <c r="BG74" s="173">
        <f t="shared" si="36"/>
        <v>0</v>
      </c>
      <c r="BH74" s="173">
        <f t="shared" si="36"/>
        <v>0</v>
      </c>
      <c r="BI74" s="173">
        <f t="shared" si="36"/>
        <v>0</v>
      </c>
      <c r="BJ74" s="173">
        <f t="shared" si="36"/>
        <v>0</v>
      </c>
      <c r="BK74" s="173">
        <f t="shared" si="36"/>
        <v>0</v>
      </c>
      <c r="BL74" s="173">
        <f t="shared" si="36"/>
        <v>0</v>
      </c>
      <c r="BM74" s="173">
        <f t="shared" si="36"/>
        <v>0</v>
      </c>
      <c r="BN74" s="173">
        <f t="shared" si="36"/>
        <v>0</v>
      </c>
      <c r="BO74" s="173">
        <f t="shared" si="36"/>
        <v>22</v>
      </c>
      <c r="BP74" s="173">
        <f t="shared" si="36"/>
        <v>22</v>
      </c>
      <c r="BQ74" s="173">
        <f t="shared" si="36"/>
        <v>22</v>
      </c>
      <c r="BR74" s="173">
        <f t="shared" si="36"/>
        <v>22</v>
      </c>
      <c r="BS74" s="173">
        <f t="shared" si="36"/>
        <v>22</v>
      </c>
      <c r="BZ74" s="189" t="str">
        <f t="shared" si="41"/>
        <v>lot4</v>
      </c>
      <c r="CB74" s="173">
        <f t="shared" si="37"/>
        <v>0</v>
      </c>
      <c r="CC74" s="173">
        <f t="shared" si="37"/>
        <v>0</v>
      </c>
      <c r="CD74" s="173">
        <f t="shared" si="37"/>
        <v>0</v>
      </c>
      <c r="CE74" s="173">
        <f t="shared" si="37"/>
        <v>0</v>
      </c>
      <c r="CF74" s="173">
        <f t="shared" si="37"/>
        <v>0</v>
      </c>
      <c r="CG74" s="173">
        <f t="shared" si="37"/>
        <v>0</v>
      </c>
      <c r="CH74" s="173">
        <f t="shared" si="37"/>
        <v>0</v>
      </c>
      <c r="CI74" s="173">
        <f t="shared" si="37"/>
        <v>0</v>
      </c>
      <c r="CJ74" s="173">
        <f t="shared" si="37"/>
        <v>0</v>
      </c>
      <c r="CK74" s="173">
        <f t="shared" si="37"/>
        <v>0</v>
      </c>
      <c r="CL74" s="173">
        <f t="shared" si="37"/>
        <v>0</v>
      </c>
      <c r="CM74" s="173">
        <f t="shared" si="37"/>
        <v>0</v>
      </c>
      <c r="CN74" s="173">
        <f t="shared" si="37"/>
        <v>0</v>
      </c>
      <c r="CO74" s="173">
        <f t="shared" si="37"/>
        <v>0</v>
      </c>
      <c r="CP74" s="173">
        <f t="shared" si="37"/>
        <v>0</v>
      </c>
      <c r="CQ74" s="173">
        <f t="shared" si="37"/>
        <v>0</v>
      </c>
      <c r="CR74" s="173">
        <f t="shared" si="37"/>
        <v>0</v>
      </c>
      <c r="CS74" s="173">
        <f t="shared" si="37"/>
        <v>0</v>
      </c>
      <c r="CT74" s="173">
        <f t="shared" si="37"/>
        <v>0</v>
      </c>
      <c r="CU74" s="173">
        <f t="shared" si="37"/>
        <v>0</v>
      </c>
      <c r="CV74" s="173">
        <f t="shared" si="37"/>
        <v>0</v>
      </c>
      <c r="CW74" s="173">
        <f t="shared" si="37"/>
        <v>0</v>
      </c>
      <c r="CX74" s="173">
        <f t="shared" si="37"/>
        <v>0</v>
      </c>
      <c r="CY74" s="173">
        <f t="shared" si="37"/>
        <v>0</v>
      </c>
      <c r="DC74" s="189" t="str">
        <f t="shared" si="42"/>
        <v>lot4</v>
      </c>
      <c r="DE74" s="173">
        <f t="shared" si="38"/>
        <v>0</v>
      </c>
      <c r="DF74" s="173">
        <f t="shared" si="38"/>
        <v>0</v>
      </c>
      <c r="DG74" s="173">
        <f t="shared" si="38"/>
        <v>0</v>
      </c>
      <c r="DH74" s="173">
        <f t="shared" si="38"/>
        <v>0</v>
      </c>
      <c r="DI74" s="173">
        <f t="shared" si="38"/>
        <v>0</v>
      </c>
      <c r="DJ74" s="173">
        <f t="shared" si="38"/>
        <v>0</v>
      </c>
      <c r="DK74" s="173">
        <f t="shared" si="38"/>
        <v>0</v>
      </c>
      <c r="DL74" s="173">
        <f t="shared" si="38"/>
        <v>0</v>
      </c>
      <c r="DM74" s="173">
        <f t="shared" si="38"/>
        <v>0</v>
      </c>
      <c r="DN74" s="173">
        <f t="shared" si="38"/>
        <v>0</v>
      </c>
      <c r="DO74" s="173">
        <f t="shared" si="38"/>
        <v>0</v>
      </c>
      <c r="DP74" s="173">
        <f t="shared" si="38"/>
        <v>0</v>
      </c>
      <c r="DQ74" s="173">
        <f t="shared" si="38"/>
        <v>0</v>
      </c>
      <c r="DR74" s="173">
        <f t="shared" si="38"/>
        <v>0</v>
      </c>
      <c r="DS74" s="173">
        <f t="shared" si="38"/>
        <v>0</v>
      </c>
      <c r="DT74" s="173">
        <f t="shared" si="38"/>
        <v>0</v>
      </c>
      <c r="DU74" s="173">
        <f t="shared" si="38"/>
        <v>0</v>
      </c>
      <c r="DV74" s="173">
        <f t="shared" si="38"/>
        <v>0</v>
      </c>
      <c r="DW74" s="173">
        <f t="shared" si="38"/>
        <v>0</v>
      </c>
      <c r="DX74" s="173">
        <f t="shared" si="38"/>
        <v>0</v>
      </c>
      <c r="DY74" s="173">
        <f t="shared" si="38"/>
        <v>0</v>
      </c>
      <c r="DZ74" s="173">
        <f t="shared" si="38"/>
        <v>0</v>
      </c>
      <c r="EA74" s="173">
        <f t="shared" si="38"/>
        <v>0</v>
      </c>
      <c r="EB74" s="173">
        <f t="shared" si="38"/>
        <v>0</v>
      </c>
    </row>
    <row r="75" spans="1:132" x14ac:dyDescent="0.25">
      <c r="A75" s="176" t="s">
        <v>1417</v>
      </c>
      <c r="F75" s="198">
        <f>IF(Protection!$AJ$8=0,0,SUM(G75:AD75))</f>
        <v>84</v>
      </c>
      <c r="G75" s="198">
        <f>IF(Protection!C195=0,0,[1]Protect!$B$9*Protection!C195*14)</f>
        <v>3.5</v>
      </c>
      <c r="H75" s="198">
        <f>IF(Protection!D195=0,0,[1]Protect!$B$9*Protection!D195*14)</f>
        <v>3.5</v>
      </c>
      <c r="I75" s="198">
        <f>IF(Protection!E195=0,0,[1]Protect!$B$9*Protection!E195*14)</f>
        <v>3.5</v>
      </c>
      <c r="J75" s="198">
        <f>IF(Protection!F195=0,0,[1]Protect!$B$9*Protection!F195*14)</f>
        <v>3.5</v>
      </c>
      <c r="K75" s="198">
        <f>IF(Protection!G195=0,0,[1]Protect!$B$9*Protection!G195*14)</f>
        <v>3.5</v>
      </c>
      <c r="L75" s="198">
        <f>IF(Protection!H195=0,0,[1]Protect!$B$9*Protection!H195*14)</f>
        <v>3.5</v>
      </c>
      <c r="M75" s="198">
        <f>IF(Protection!I195=0,0,[1]Protect!$B$9*Protection!I195*14)</f>
        <v>3.5</v>
      </c>
      <c r="N75" s="198">
        <f>IF(Protection!J195=0,0,[1]Protect!$B$9*Protection!J195*14)</f>
        <v>3.5</v>
      </c>
      <c r="O75" s="198">
        <f>IF(Protection!K195=0,0,[1]Protect!$B$9*Protection!K195*14)</f>
        <v>3.5</v>
      </c>
      <c r="P75" s="198">
        <f>IF(Protection!L195=0,0,[1]Protect!$B$9*Protection!L195*14)</f>
        <v>3.5</v>
      </c>
      <c r="Q75" s="198">
        <f>IF(Protection!M195=0,0,[1]Protect!$B$9*Protection!M195*14)</f>
        <v>3.5</v>
      </c>
      <c r="R75" s="198">
        <f>IF(Protection!N195=0,0,[1]Protect!$B$9*Protection!N195*14)</f>
        <v>3.5</v>
      </c>
      <c r="S75" s="198">
        <f>IF(Protection!O195=0,0,[1]Protect!$B$9*Protection!O195*14)</f>
        <v>3.5</v>
      </c>
      <c r="T75" s="198">
        <f>IF(Protection!P195=0,0,[1]Protect!$B$9*Protection!P195*14)</f>
        <v>3.5</v>
      </c>
      <c r="U75" s="198">
        <f>IF(Protection!Q195=0,0,[1]Protect!$B$9*Protection!Q195*14)</f>
        <v>3.5</v>
      </c>
      <c r="V75" s="198">
        <f>IF(Protection!R195=0,0,[1]Protect!$B$9*Protection!R195*14)</f>
        <v>3.5</v>
      </c>
      <c r="W75" s="198">
        <f>IF(Protection!S195=0,0,[1]Protect!$B$9*Protection!S195*14)</f>
        <v>3.5</v>
      </c>
      <c r="X75" s="198">
        <f>IF(Protection!T195=0,0,[1]Protect!$B$9*Protection!T195*14)</f>
        <v>3.5</v>
      </c>
      <c r="Y75" s="198">
        <f>IF(Protection!U195=0,0,[1]Protect!$B$9*Protection!U195*14)</f>
        <v>3.5</v>
      </c>
      <c r="Z75" s="198">
        <f>IF(Protection!V195=0,0,[1]Protect!$B$9*Protection!V195*14)</f>
        <v>3.5</v>
      </c>
      <c r="AA75" s="198">
        <f>IF(Protection!W195=0,0,[1]Protect!$B$9*Protection!W195*14)</f>
        <v>3.5</v>
      </c>
      <c r="AB75" s="198">
        <f>IF(Protection!X195=0,0,[1]Protect!$B$9*Protection!X195*14)</f>
        <v>3.5</v>
      </c>
      <c r="AC75" s="198">
        <f>IF(Protection!Y195=0,0,[1]Protect!$B$9*Protection!Y195*14)</f>
        <v>3.5</v>
      </c>
      <c r="AD75" s="198">
        <f>IF(Protection!Z195=0,0,[1]Protect!$B$9*Protection!Z195*14)</f>
        <v>3.5</v>
      </c>
      <c r="AF75" s="17"/>
      <c r="AG75" s="86"/>
      <c r="AH75" s="86"/>
      <c r="AI75" s="5"/>
      <c r="AJ75" s="5"/>
      <c r="AK75" s="5"/>
      <c r="AL75" s="5"/>
      <c r="AM75" s="5"/>
      <c r="AN75" s="5"/>
      <c r="AR75" s="188"/>
      <c r="AT75" s="189" t="str">
        <f t="shared" si="40"/>
        <v>lot5</v>
      </c>
      <c r="AV75" s="173">
        <f t="shared" si="36"/>
        <v>0</v>
      </c>
      <c r="AW75" s="173">
        <f t="shared" si="36"/>
        <v>0</v>
      </c>
      <c r="AX75" s="173">
        <f t="shared" si="36"/>
        <v>0</v>
      </c>
      <c r="AY75" s="173">
        <f t="shared" si="36"/>
        <v>0</v>
      </c>
      <c r="AZ75" s="173">
        <f t="shared" si="36"/>
        <v>0</v>
      </c>
      <c r="BA75" s="173">
        <f t="shared" si="36"/>
        <v>0</v>
      </c>
      <c r="BB75" s="173">
        <f t="shared" si="36"/>
        <v>0</v>
      </c>
      <c r="BC75" s="173">
        <f t="shared" si="36"/>
        <v>0</v>
      </c>
      <c r="BD75" s="173">
        <f t="shared" si="36"/>
        <v>0</v>
      </c>
      <c r="BE75" s="173">
        <f t="shared" si="36"/>
        <v>0</v>
      </c>
      <c r="BF75" s="173">
        <f t="shared" si="36"/>
        <v>0</v>
      </c>
      <c r="BG75" s="173">
        <f t="shared" si="36"/>
        <v>0</v>
      </c>
      <c r="BH75" s="173">
        <f t="shared" si="36"/>
        <v>0</v>
      </c>
      <c r="BI75" s="173">
        <f t="shared" si="36"/>
        <v>0</v>
      </c>
      <c r="BJ75" s="173">
        <f t="shared" si="36"/>
        <v>0</v>
      </c>
      <c r="BK75" s="173">
        <f t="shared" si="36"/>
        <v>0</v>
      </c>
      <c r="BL75" s="173">
        <f t="shared" si="36"/>
        <v>0</v>
      </c>
      <c r="BM75" s="173">
        <f t="shared" si="36"/>
        <v>0</v>
      </c>
      <c r="BN75" s="173">
        <f t="shared" si="36"/>
        <v>0</v>
      </c>
      <c r="BO75" s="173">
        <f t="shared" si="36"/>
        <v>0</v>
      </c>
      <c r="BP75" s="173">
        <f t="shared" si="36"/>
        <v>0</v>
      </c>
      <c r="BQ75" s="173">
        <f t="shared" si="36"/>
        <v>0</v>
      </c>
      <c r="BR75" s="173">
        <f t="shared" si="36"/>
        <v>0</v>
      </c>
      <c r="BS75" s="173">
        <f t="shared" si="36"/>
        <v>0</v>
      </c>
      <c r="BZ75" s="189" t="str">
        <f t="shared" si="41"/>
        <v>lot5</v>
      </c>
      <c r="CB75" s="173">
        <f t="shared" si="37"/>
        <v>0</v>
      </c>
      <c r="CC75" s="173">
        <f t="shared" si="37"/>
        <v>0</v>
      </c>
      <c r="CD75" s="173">
        <f t="shared" si="37"/>
        <v>0</v>
      </c>
      <c r="CE75" s="173">
        <f t="shared" si="37"/>
        <v>0</v>
      </c>
      <c r="CF75" s="173">
        <f t="shared" si="37"/>
        <v>0</v>
      </c>
      <c r="CG75" s="173">
        <f t="shared" si="37"/>
        <v>0</v>
      </c>
      <c r="CH75" s="173">
        <f t="shared" si="37"/>
        <v>0</v>
      </c>
      <c r="CI75" s="173">
        <f t="shared" si="37"/>
        <v>0</v>
      </c>
      <c r="CJ75" s="173">
        <f t="shared" si="37"/>
        <v>0</v>
      </c>
      <c r="CK75" s="173">
        <f t="shared" si="37"/>
        <v>0</v>
      </c>
      <c r="CL75" s="173">
        <f t="shared" si="37"/>
        <v>0</v>
      </c>
      <c r="CM75" s="173">
        <f t="shared" si="37"/>
        <v>0</v>
      </c>
      <c r="CN75" s="173">
        <f t="shared" si="37"/>
        <v>0</v>
      </c>
      <c r="CO75" s="173">
        <f t="shared" si="37"/>
        <v>0</v>
      </c>
      <c r="CP75" s="173">
        <f t="shared" si="37"/>
        <v>0</v>
      </c>
      <c r="CQ75" s="173">
        <f t="shared" si="37"/>
        <v>0</v>
      </c>
      <c r="CR75" s="173">
        <f t="shared" si="37"/>
        <v>0</v>
      </c>
      <c r="CS75" s="173">
        <f t="shared" si="37"/>
        <v>0</v>
      </c>
      <c r="CT75" s="173">
        <f t="shared" si="37"/>
        <v>0</v>
      </c>
      <c r="CU75" s="173">
        <f t="shared" si="37"/>
        <v>0</v>
      </c>
      <c r="CV75" s="173">
        <f t="shared" si="37"/>
        <v>0</v>
      </c>
      <c r="CW75" s="173">
        <f t="shared" si="37"/>
        <v>0</v>
      </c>
      <c r="CX75" s="173">
        <f t="shared" si="37"/>
        <v>0</v>
      </c>
      <c r="CY75" s="173">
        <f t="shared" si="37"/>
        <v>0</v>
      </c>
      <c r="DC75" s="189" t="str">
        <f t="shared" si="42"/>
        <v>lot5</v>
      </c>
      <c r="DE75" s="173">
        <f t="shared" si="38"/>
        <v>0</v>
      </c>
      <c r="DF75" s="173">
        <f t="shared" si="38"/>
        <v>0</v>
      </c>
      <c r="DG75" s="173">
        <f t="shared" si="38"/>
        <v>0</v>
      </c>
      <c r="DH75" s="173">
        <f t="shared" si="38"/>
        <v>0</v>
      </c>
      <c r="DI75" s="173">
        <f t="shared" si="38"/>
        <v>0</v>
      </c>
      <c r="DJ75" s="173">
        <f t="shared" si="38"/>
        <v>0</v>
      </c>
      <c r="DK75" s="173">
        <f t="shared" si="38"/>
        <v>0</v>
      </c>
      <c r="DL75" s="173">
        <f t="shared" si="38"/>
        <v>0</v>
      </c>
      <c r="DM75" s="173">
        <f t="shared" si="38"/>
        <v>0</v>
      </c>
      <c r="DN75" s="173">
        <f t="shared" si="38"/>
        <v>0</v>
      </c>
      <c r="DO75" s="173">
        <f t="shared" si="38"/>
        <v>0</v>
      </c>
      <c r="DP75" s="173">
        <f t="shared" si="38"/>
        <v>0</v>
      </c>
      <c r="DQ75" s="173">
        <f t="shared" si="38"/>
        <v>0</v>
      </c>
      <c r="DR75" s="173">
        <f t="shared" si="38"/>
        <v>0</v>
      </c>
      <c r="DS75" s="173">
        <f t="shared" si="38"/>
        <v>0</v>
      </c>
      <c r="DT75" s="173">
        <f t="shared" si="38"/>
        <v>0</v>
      </c>
      <c r="DU75" s="173">
        <f t="shared" si="38"/>
        <v>0</v>
      </c>
      <c r="DV75" s="173">
        <f t="shared" si="38"/>
        <v>0</v>
      </c>
      <c r="DW75" s="173">
        <f t="shared" si="38"/>
        <v>0</v>
      </c>
      <c r="DX75" s="173">
        <f t="shared" si="38"/>
        <v>0</v>
      </c>
      <c r="DY75" s="173">
        <f t="shared" si="38"/>
        <v>0</v>
      </c>
      <c r="DZ75" s="173">
        <f t="shared" si="38"/>
        <v>0</v>
      </c>
      <c r="EA75" s="173">
        <f t="shared" si="38"/>
        <v>0</v>
      </c>
      <c r="EB75" s="173">
        <f t="shared" si="38"/>
        <v>0</v>
      </c>
    </row>
    <row r="76" spans="1:132" x14ac:dyDescent="0.25">
      <c r="A76" s="176" t="s">
        <v>1418</v>
      </c>
      <c r="F76" s="198">
        <f>IF(Protection!$AJ$8=0,0,SUM(G76:AD76))</f>
        <v>49</v>
      </c>
      <c r="G76" s="198">
        <f>IF(Protection!C196=0,0,[1]Protect!$B$9*Protection!C196*14)</f>
        <v>0</v>
      </c>
      <c r="H76" s="198">
        <f>IF(Protection!D196=0,0,[1]Protect!$B$9*Protection!D196*14)</f>
        <v>0</v>
      </c>
      <c r="I76" s="198">
        <f>IF(Protection!E196=0,0,[1]Protect!$B$9*Protection!E196*14)</f>
        <v>0</v>
      </c>
      <c r="J76" s="198">
        <f>IF(Protection!F196=0,0,[1]Protect!$B$9*Protection!F196*14)</f>
        <v>0</v>
      </c>
      <c r="K76" s="198">
        <f>IF(Protection!G196=0,0,[1]Protect!$B$9*Protection!G196*14)</f>
        <v>0</v>
      </c>
      <c r="L76" s="198">
        <f>IF(Protection!H196=0,0,[1]Protect!$B$9*Protection!H196*14)</f>
        <v>0</v>
      </c>
      <c r="M76" s="198">
        <f>IF(Protection!I196=0,0,[1]Protect!$B$9*Protection!I196*14)</f>
        <v>0</v>
      </c>
      <c r="N76" s="198">
        <f>IF(Protection!J196=0,0,[1]Protect!$B$9*Protection!J196*14)</f>
        <v>0</v>
      </c>
      <c r="O76" s="198">
        <f>IF(Protection!K196=0,0,[1]Protect!$B$9*Protection!K196*14)</f>
        <v>0</v>
      </c>
      <c r="P76" s="198">
        <f>IF(Protection!L196=0,0,[1]Protect!$B$9*Protection!L196*14)</f>
        <v>0</v>
      </c>
      <c r="Q76" s="198">
        <f>IF(Protection!M196=0,0,[1]Protect!$B$9*Protection!M196*14)</f>
        <v>0</v>
      </c>
      <c r="R76" s="198">
        <f>IF(Protection!N196=0,0,[1]Protect!$B$9*Protection!N196*14)</f>
        <v>7</v>
      </c>
      <c r="S76" s="198">
        <f>IF(Protection!O196=0,0,[1]Protect!$B$9*Protection!O196*14)</f>
        <v>7</v>
      </c>
      <c r="T76" s="198">
        <f>IF(Protection!P196=0,0,[1]Protect!$B$9*Protection!P196*14)</f>
        <v>7</v>
      </c>
      <c r="U76" s="198">
        <f>IF(Protection!Q196=0,0,[1]Protect!$B$9*Protection!Q196*14)</f>
        <v>7</v>
      </c>
      <c r="V76" s="198">
        <f>IF(Protection!R196=0,0,[1]Protect!$B$9*Protection!R196*14)</f>
        <v>7</v>
      </c>
      <c r="W76" s="198">
        <f>IF(Protection!S196=0,0,[1]Protect!$B$9*Protection!S196*14)</f>
        <v>7</v>
      </c>
      <c r="X76" s="198">
        <f>IF(Protection!T196=0,0,[1]Protect!$B$9*Protection!T196*14)</f>
        <v>7</v>
      </c>
      <c r="Y76" s="198">
        <f>IF(Protection!U196=0,0,[1]Protect!$B$9*Protection!U196*14)</f>
        <v>0</v>
      </c>
      <c r="Z76" s="198">
        <f>IF(Protection!V196=0,0,[1]Protect!$B$9*Protection!V196*14)</f>
        <v>0</v>
      </c>
      <c r="AA76" s="198">
        <f>IF(Protection!W196=0,0,[1]Protect!$B$9*Protection!W196*14)</f>
        <v>0</v>
      </c>
      <c r="AB76" s="198">
        <f>IF(Protection!X196=0,0,[1]Protect!$B$9*Protection!X196*14)</f>
        <v>0</v>
      </c>
      <c r="AC76" s="198">
        <f>IF(Protection!Y196=0,0,[1]Protect!$B$9*Protection!Y196*14)</f>
        <v>0</v>
      </c>
      <c r="AD76" s="198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8" t="s">
        <v>747</v>
      </c>
      <c r="AT76" s="189" t="str">
        <f t="shared" si="40"/>
        <v>lot6</v>
      </c>
      <c r="AV76" s="173">
        <f t="shared" si="36"/>
        <v>0</v>
      </c>
      <c r="AW76" s="173">
        <f t="shared" si="36"/>
        <v>0</v>
      </c>
      <c r="AX76" s="173">
        <f t="shared" si="36"/>
        <v>0</v>
      </c>
      <c r="AY76" s="173">
        <f t="shared" si="36"/>
        <v>0</v>
      </c>
      <c r="AZ76" s="173">
        <f t="shared" si="36"/>
        <v>0</v>
      </c>
      <c r="BA76" s="173">
        <f t="shared" si="36"/>
        <v>0</v>
      </c>
      <c r="BB76" s="173">
        <f t="shared" si="36"/>
        <v>0</v>
      </c>
      <c r="BC76" s="173">
        <f t="shared" si="36"/>
        <v>0</v>
      </c>
      <c r="BD76" s="173">
        <f t="shared" si="36"/>
        <v>0</v>
      </c>
      <c r="BE76" s="173">
        <f t="shared" si="36"/>
        <v>0</v>
      </c>
      <c r="BF76" s="173">
        <f t="shared" si="36"/>
        <v>0</v>
      </c>
      <c r="BG76" s="173">
        <f t="shared" si="36"/>
        <v>0</v>
      </c>
      <c r="BH76" s="173">
        <f t="shared" si="36"/>
        <v>0</v>
      </c>
      <c r="BI76" s="173">
        <f t="shared" si="36"/>
        <v>0</v>
      </c>
      <c r="BJ76" s="173">
        <f t="shared" si="36"/>
        <v>0</v>
      </c>
      <c r="BK76" s="173">
        <f t="shared" si="36"/>
        <v>0</v>
      </c>
      <c r="BL76" s="173">
        <f t="shared" si="36"/>
        <v>0</v>
      </c>
      <c r="BM76" s="173">
        <f t="shared" si="36"/>
        <v>0</v>
      </c>
      <c r="BN76" s="173">
        <f t="shared" si="36"/>
        <v>0</v>
      </c>
      <c r="BO76" s="173">
        <f t="shared" si="36"/>
        <v>0</v>
      </c>
      <c r="BP76" s="173">
        <f t="shared" si="36"/>
        <v>0</v>
      </c>
      <c r="BQ76" s="173">
        <f t="shared" si="36"/>
        <v>0</v>
      </c>
      <c r="BR76" s="173">
        <f t="shared" si="36"/>
        <v>0</v>
      </c>
      <c r="BS76" s="173">
        <f t="shared" si="36"/>
        <v>0</v>
      </c>
      <c r="BZ76" s="189" t="str">
        <f t="shared" si="41"/>
        <v>lot6</v>
      </c>
      <c r="CB76" s="173">
        <f t="shared" si="37"/>
        <v>0</v>
      </c>
      <c r="CC76" s="173">
        <f t="shared" si="37"/>
        <v>0</v>
      </c>
      <c r="CD76" s="173">
        <f t="shared" si="37"/>
        <v>0</v>
      </c>
      <c r="CE76" s="173">
        <f t="shared" si="37"/>
        <v>0</v>
      </c>
      <c r="CF76" s="173">
        <f t="shared" si="37"/>
        <v>0</v>
      </c>
      <c r="CG76" s="173">
        <f t="shared" si="37"/>
        <v>0</v>
      </c>
      <c r="CH76" s="173">
        <f t="shared" si="37"/>
        <v>0</v>
      </c>
      <c r="CI76" s="173">
        <f t="shared" si="37"/>
        <v>0</v>
      </c>
      <c r="CJ76" s="173">
        <f t="shared" si="37"/>
        <v>0</v>
      </c>
      <c r="CK76" s="173">
        <f t="shared" si="37"/>
        <v>0</v>
      </c>
      <c r="CL76" s="173">
        <f t="shared" si="37"/>
        <v>0</v>
      </c>
      <c r="CM76" s="173">
        <f t="shared" si="37"/>
        <v>0</v>
      </c>
      <c r="CN76" s="173">
        <f t="shared" si="37"/>
        <v>0</v>
      </c>
      <c r="CO76" s="173">
        <f t="shared" si="37"/>
        <v>0</v>
      </c>
      <c r="CP76" s="173">
        <f t="shared" si="37"/>
        <v>0</v>
      </c>
      <c r="CQ76" s="173">
        <f t="shared" si="37"/>
        <v>0</v>
      </c>
      <c r="CR76" s="173">
        <f t="shared" si="37"/>
        <v>0</v>
      </c>
      <c r="CS76" s="173">
        <f t="shared" si="37"/>
        <v>0</v>
      </c>
      <c r="CT76" s="173">
        <f t="shared" si="37"/>
        <v>0</v>
      </c>
      <c r="CU76" s="173">
        <f t="shared" si="37"/>
        <v>0</v>
      </c>
      <c r="CV76" s="173">
        <f t="shared" si="37"/>
        <v>0</v>
      </c>
      <c r="CW76" s="173">
        <f t="shared" si="37"/>
        <v>0</v>
      </c>
      <c r="CX76" s="173">
        <f t="shared" si="37"/>
        <v>0</v>
      </c>
      <c r="CY76" s="173">
        <f t="shared" si="37"/>
        <v>0</v>
      </c>
      <c r="DC76" s="189" t="str">
        <f t="shared" si="42"/>
        <v>lot6</v>
      </c>
      <c r="DE76" s="173">
        <f t="shared" si="38"/>
        <v>0</v>
      </c>
      <c r="DF76" s="173">
        <f t="shared" si="38"/>
        <v>0</v>
      </c>
      <c r="DG76" s="173">
        <f t="shared" si="38"/>
        <v>0</v>
      </c>
      <c r="DH76" s="173">
        <f t="shared" si="38"/>
        <v>0</v>
      </c>
      <c r="DI76" s="173">
        <f t="shared" si="38"/>
        <v>0</v>
      </c>
      <c r="DJ76" s="173">
        <f t="shared" si="38"/>
        <v>0</v>
      </c>
      <c r="DK76" s="173">
        <f t="shared" si="38"/>
        <v>0</v>
      </c>
      <c r="DL76" s="173">
        <f t="shared" si="38"/>
        <v>0</v>
      </c>
      <c r="DM76" s="173">
        <f t="shared" si="38"/>
        <v>0</v>
      </c>
      <c r="DN76" s="173">
        <f t="shared" si="38"/>
        <v>0</v>
      </c>
      <c r="DO76" s="173">
        <f t="shared" si="38"/>
        <v>0</v>
      </c>
      <c r="DP76" s="173">
        <f t="shared" si="38"/>
        <v>0</v>
      </c>
      <c r="DQ76" s="173">
        <f t="shared" si="38"/>
        <v>0</v>
      </c>
      <c r="DR76" s="173">
        <f t="shared" si="38"/>
        <v>0</v>
      </c>
      <c r="DS76" s="173">
        <f t="shared" si="38"/>
        <v>0</v>
      </c>
      <c r="DT76" s="173">
        <f t="shared" si="38"/>
        <v>0</v>
      </c>
      <c r="DU76" s="173">
        <f t="shared" si="38"/>
        <v>0</v>
      </c>
      <c r="DV76" s="173">
        <f t="shared" si="38"/>
        <v>0</v>
      </c>
      <c r="DW76" s="173">
        <f t="shared" si="38"/>
        <v>0</v>
      </c>
      <c r="DX76" s="173">
        <f t="shared" si="38"/>
        <v>0</v>
      </c>
      <c r="DY76" s="173">
        <f t="shared" si="38"/>
        <v>0</v>
      </c>
      <c r="DZ76" s="173">
        <f t="shared" si="38"/>
        <v>0</v>
      </c>
      <c r="EA76" s="173">
        <f t="shared" si="38"/>
        <v>0</v>
      </c>
      <c r="EB76" s="173">
        <f t="shared" si="38"/>
        <v>0</v>
      </c>
    </row>
    <row r="77" spans="1:132" x14ac:dyDescent="0.25">
      <c r="F77" s="278">
        <f>IF(Protection!$AJ$8=0,0,SUM(G77:AD77))</f>
        <v>408</v>
      </c>
      <c r="G77" s="46">
        <f t="shared" ref="G77:AD77" si="43">+SUM(G69:G76)</f>
        <v>13.5</v>
      </c>
      <c r="H77" s="46">
        <f t="shared" si="43"/>
        <v>13.5</v>
      </c>
      <c r="I77" s="46">
        <f t="shared" si="43"/>
        <v>18.5</v>
      </c>
      <c r="J77" s="46">
        <f t="shared" si="43"/>
        <v>23.5</v>
      </c>
      <c r="K77" s="46">
        <f t="shared" si="43"/>
        <v>23.5</v>
      </c>
      <c r="L77" s="46">
        <f t="shared" si="43"/>
        <v>23.5</v>
      </c>
      <c r="M77" s="46">
        <f t="shared" si="43"/>
        <v>23.5</v>
      </c>
      <c r="N77" s="46">
        <f t="shared" si="43"/>
        <v>23.5</v>
      </c>
      <c r="O77" s="46">
        <f t="shared" si="43"/>
        <v>23.5</v>
      </c>
      <c r="P77" s="46">
        <f t="shared" si="43"/>
        <v>13.5</v>
      </c>
      <c r="Q77" s="46">
        <f t="shared" si="43"/>
        <v>13.5</v>
      </c>
      <c r="R77" s="46">
        <f t="shared" si="43"/>
        <v>15.5</v>
      </c>
      <c r="S77" s="46">
        <f t="shared" si="43"/>
        <v>15.5</v>
      </c>
      <c r="T77" s="46">
        <f t="shared" si="43"/>
        <v>15.5</v>
      </c>
      <c r="U77" s="46">
        <f t="shared" si="43"/>
        <v>15.5</v>
      </c>
      <c r="V77" s="46">
        <f t="shared" si="43"/>
        <v>15.5</v>
      </c>
      <c r="W77" s="46">
        <f t="shared" si="43"/>
        <v>15.5</v>
      </c>
      <c r="X77" s="46">
        <f t="shared" si="43"/>
        <v>15.5</v>
      </c>
      <c r="Y77" s="46">
        <f t="shared" si="43"/>
        <v>13.5</v>
      </c>
      <c r="Z77" s="46">
        <f t="shared" si="43"/>
        <v>18.5</v>
      </c>
      <c r="AA77" s="46">
        <f t="shared" si="43"/>
        <v>13.5</v>
      </c>
      <c r="AB77" s="46">
        <f t="shared" si="43"/>
        <v>13.5</v>
      </c>
      <c r="AC77" s="46">
        <f t="shared" si="43"/>
        <v>13.5</v>
      </c>
      <c r="AD77" s="46">
        <f t="shared" si="43"/>
        <v>13.5</v>
      </c>
      <c r="AG77" s="5"/>
      <c r="AH77" s="5"/>
      <c r="AI77" s="5"/>
      <c r="AJ77" s="5"/>
      <c r="AK77" s="5"/>
      <c r="AL77" s="5"/>
      <c r="AM77" s="5"/>
      <c r="AN77" s="5"/>
      <c r="AR77" s="188" t="s">
        <v>747</v>
      </c>
      <c r="AT77" s="189" t="str">
        <f t="shared" si="40"/>
        <v>lot7</v>
      </c>
      <c r="AV77" s="173">
        <f t="shared" si="36"/>
        <v>0</v>
      </c>
      <c r="AW77" s="173">
        <f t="shared" si="36"/>
        <v>0</v>
      </c>
      <c r="AX77" s="173">
        <f t="shared" si="36"/>
        <v>0</v>
      </c>
      <c r="AY77" s="173">
        <f t="shared" si="36"/>
        <v>0</v>
      </c>
      <c r="AZ77" s="173">
        <f t="shared" si="36"/>
        <v>0</v>
      </c>
      <c r="BA77" s="173">
        <f t="shared" si="36"/>
        <v>0</v>
      </c>
      <c r="BB77" s="173">
        <f t="shared" si="36"/>
        <v>0</v>
      </c>
      <c r="BC77" s="173">
        <f t="shared" si="36"/>
        <v>0</v>
      </c>
      <c r="BD77" s="173">
        <f t="shared" si="36"/>
        <v>0</v>
      </c>
      <c r="BE77" s="173">
        <f t="shared" si="36"/>
        <v>0</v>
      </c>
      <c r="BF77" s="173">
        <f t="shared" si="36"/>
        <v>0</v>
      </c>
      <c r="BG77" s="173">
        <f t="shared" si="36"/>
        <v>0</v>
      </c>
      <c r="BH77" s="173">
        <f t="shared" si="36"/>
        <v>0</v>
      </c>
      <c r="BI77" s="173">
        <f t="shared" si="36"/>
        <v>0</v>
      </c>
      <c r="BJ77" s="173">
        <f t="shared" si="36"/>
        <v>0</v>
      </c>
      <c r="BK77" s="173">
        <f t="shared" si="36"/>
        <v>0</v>
      </c>
      <c r="BL77" s="173">
        <f t="shared" si="36"/>
        <v>0</v>
      </c>
      <c r="BM77" s="173">
        <f t="shared" si="36"/>
        <v>0</v>
      </c>
      <c r="BN77" s="173">
        <f t="shared" si="36"/>
        <v>0</v>
      </c>
      <c r="BO77" s="173">
        <f t="shared" si="36"/>
        <v>0</v>
      </c>
      <c r="BP77" s="173">
        <f t="shared" si="36"/>
        <v>0</v>
      </c>
      <c r="BQ77" s="173">
        <f t="shared" si="36"/>
        <v>0</v>
      </c>
      <c r="BR77" s="173">
        <f t="shared" si="36"/>
        <v>0</v>
      </c>
      <c r="BS77" s="173">
        <f t="shared" si="36"/>
        <v>0</v>
      </c>
      <c r="BZ77" s="189" t="str">
        <f t="shared" si="41"/>
        <v>lot7</v>
      </c>
      <c r="CB77" s="173">
        <f t="shared" si="37"/>
        <v>0</v>
      </c>
      <c r="CC77" s="173">
        <f t="shared" si="37"/>
        <v>0</v>
      </c>
      <c r="CD77" s="173">
        <f t="shared" si="37"/>
        <v>0</v>
      </c>
      <c r="CE77" s="173">
        <f t="shared" si="37"/>
        <v>0</v>
      </c>
      <c r="CF77" s="173">
        <f t="shared" si="37"/>
        <v>0</v>
      </c>
      <c r="CG77" s="173">
        <f t="shared" si="37"/>
        <v>0</v>
      </c>
      <c r="CH77" s="173">
        <f t="shared" si="37"/>
        <v>0</v>
      </c>
      <c r="CI77" s="173">
        <f t="shared" si="37"/>
        <v>0</v>
      </c>
      <c r="CJ77" s="173">
        <f t="shared" si="37"/>
        <v>0</v>
      </c>
      <c r="CK77" s="173">
        <f t="shared" si="37"/>
        <v>0</v>
      </c>
      <c r="CL77" s="173">
        <f t="shared" si="37"/>
        <v>0</v>
      </c>
      <c r="CM77" s="173">
        <f t="shared" si="37"/>
        <v>0</v>
      </c>
      <c r="CN77" s="173">
        <f t="shared" si="37"/>
        <v>0</v>
      </c>
      <c r="CO77" s="173">
        <f t="shared" si="37"/>
        <v>0</v>
      </c>
      <c r="CP77" s="173">
        <f t="shared" si="37"/>
        <v>0</v>
      </c>
      <c r="CQ77" s="173">
        <f t="shared" si="37"/>
        <v>0</v>
      </c>
      <c r="CR77" s="173">
        <f t="shared" si="37"/>
        <v>0</v>
      </c>
      <c r="CS77" s="173">
        <f t="shared" si="37"/>
        <v>0</v>
      </c>
      <c r="CT77" s="173">
        <f t="shared" si="37"/>
        <v>0</v>
      </c>
      <c r="CU77" s="173">
        <f t="shared" si="37"/>
        <v>0</v>
      </c>
      <c r="CV77" s="173">
        <f t="shared" si="37"/>
        <v>0</v>
      </c>
      <c r="CW77" s="173">
        <f t="shared" si="37"/>
        <v>0</v>
      </c>
      <c r="CX77" s="173">
        <f t="shared" si="37"/>
        <v>0</v>
      </c>
      <c r="CY77" s="173">
        <f t="shared" si="37"/>
        <v>0</v>
      </c>
      <c r="DC77" s="189" t="str">
        <f t="shared" si="42"/>
        <v>lot7</v>
      </c>
      <c r="DE77" s="173">
        <f t="shared" si="38"/>
        <v>0</v>
      </c>
      <c r="DF77" s="173">
        <f t="shared" si="38"/>
        <v>0</v>
      </c>
      <c r="DG77" s="173">
        <f t="shared" si="38"/>
        <v>0</v>
      </c>
      <c r="DH77" s="173">
        <f t="shared" si="38"/>
        <v>0</v>
      </c>
      <c r="DI77" s="173">
        <f t="shared" si="38"/>
        <v>0</v>
      </c>
      <c r="DJ77" s="173">
        <f t="shared" si="38"/>
        <v>0</v>
      </c>
      <c r="DK77" s="173">
        <f t="shared" si="38"/>
        <v>0</v>
      </c>
      <c r="DL77" s="173">
        <f t="shared" si="38"/>
        <v>0</v>
      </c>
      <c r="DM77" s="173">
        <f t="shared" si="38"/>
        <v>0</v>
      </c>
      <c r="DN77" s="173">
        <f t="shared" si="38"/>
        <v>0</v>
      </c>
      <c r="DO77" s="173">
        <f t="shared" si="38"/>
        <v>0</v>
      </c>
      <c r="DP77" s="173">
        <f t="shared" si="38"/>
        <v>0</v>
      </c>
      <c r="DQ77" s="173">
        <f t="shared" si="38"/>
        <v>0</v>
      </c>
      <c r="DR77" s="173">
        <f t="shared" si="38"/>
        <v>0</v>
      </c>
      <c r="DS77" s="173">
        <f t="shared" si="38"/>
        <v>0</v>
      </c>
      <c r="DT77" s="173">
        <f t="shared" si="38"/>
        <v>0</v>
      </c>
      <c r="DU77" s="173">
        <f t="shared" si="38"/>
        <v>0</v>
      </c>
      <c r="DV77" s="173">
        <f t="shared" si="38"/>
        <v>0</v>
      </c>
      <c r="DW77" s="173">
        <f t="shared" si="38"/>
        <v>0</v>
      </c>
      <c r="DX77" s="173">
        <f t="shared" si="38"/>
        <v>0</v>
      </c>
      <c r="DY77" s="173">
        <f t="shared" si="38"/>
        <v>0</v>
      </c>
      <c r="DZ77" s="173">
        <f t="shared" si="38"/>
        <v>0</v>
      </c>
      <c r="EA77" s="173">
        <f t="shared" si="38"/>
        <v>0</v>
      </c>
      <c r="EB77" s="173">
        <f t="shared" si="38"/>
        <v>0</v>
      </c>
    </row>
    <row r="78" spans="1:132" x14ac:dyDescent="0.25">
      <c r="A78" s="171"/>
      <c r="B78" s="171"/>
      <c r="F78"/>
      <c r="AG78" s="199"/>
      <c r="AH78" s="5"/>
      <c r="AI78" s="5"/>
      <c r="AJ78" s="5"/>
      <c r="AK78" s="5"/>
      <c r="AL78" s="5"/>
      <c r="AM78" s="5"/>
      <c r="AN78" s="5"/>
      <c r="AR78" s="188" t="s">
        <v>747</v>
      </c>
      <c r="AT78" s="189" t="str">
        <f t="shared" si="40"/>
        <v>lot8</v>
      </c>
      <c r="AV78" s="173">
        <f t="shared" si="36"/>
        <v>0</v>
      </c>
      <c r="AW78" s="173">
        <f t="shared" si="36"/>
        <v>0</v>
      </c>
      <c r="AX78" s="173">
        <f t="shared" si="36"/>
        <v>0</v>
      </c>
      <c r="AY78" s="173">
        <f t="shared" si="36"/>
        <v>0</v>
      </c>
      <c r="AZ78" s="173">
        <f t="shared" si="36"/>
        <v>0</v>
      </c>
      <c r="BA78" s="173">
        <f t="shared" si="36"/>
        <v>0</v>
      </c>
      <c r="BB78" s="173">
        <f t="shared" si="36"/>
        <v>0</v>
      </c>
      <c r="BC78" s="173">
        <f t="shared" si="36"/>
        <v>0</v>
      </c>
      <c r="BD78" s="173">
        <f t="shared" si="36"/>
        <v>0</v>
      </c>
      <c r="BE78" s="173">
        <f t="shared" si="36"/>
        <v>0</v>
      </c>
      <c r="BF78" s="173">
        <f t="shared" si="36"/>
        <v>0</v>
      </c>
      <c r="BG78" s="173">
        <f t="shared" si="36"/>
        <v>0</v>
      </c>
      <c r="BH78" s="173">
        <f t="shared" si="36"/>
        <v>0</v>
      </c>
      <c r="BI78" s="173">
        <f t="shared" si="36"/>
        <v>0</v>
      </c>
      <c r="BJ78" s="173">
        <f t="shared" si="36"/>
        <v>0</v>
      </c>
      <c r="BK78" s="173">
        <f t="shared" si="36"/>
        <v>0</v>
      </c>
      <c r="BL78" s="173">
        <f t="shared" si="36"/>
        <v>0</v>
      </c>
      <c r="BM78" s="173">
        <f t="shared" si="36"/>
        <v>0</v>
      </c>
      <c r="BN78" s="173">
        <f t="shared" si="36"/>
        <v>0</v>
      </c>
      <c r="BO78" s="173">
        <f t="shared" si="36"/>
        <v>0</v>
      </c>
      <c r="BP78" s="173">
        <f t="shared" si="36"/>
        <v>0</v>
      </c>
      <c r="BQ78" s="173">
        <f t="shared" si="36"/>
        <v>0</v>
      </c>
      <c r="BR78" s="173">
        <f t="shared" si="36"/>
        <v>0</v>
      </c>
      <c r="BS78" s="173">
        <f t="shared" si="36"/>
        <v>0</v>
      </c>
      <c r="BZ78" s="189" t="str">
        <f t="shared" si="41"/>
        <v>lot8</v>
      </c>
      <c r="CB78" s="173">
        <f t="shared" si="37"/>
        <v>0</v>
      </c>
      <c r="CC78" s="173">
        <f t="shared" si="37"/>
        <v>0</v>
      </c>
      <c r="CD78" s="173">
        <f t="shared" si="37"/>
        <v>0</v>
      </c>
      <c r="CE78" s="173">
        <f t="shared" si="37"/>
        <v>0</v>
      </c>
      <c r="CF78" s="173">
        <f t="shared" si="37"/>
        <v>0</v>
      </c>
      <c r="CG78" s="173">
        <f t="shared" si="37"/>
        <v>0</v>
      </c>
      <c r="CH78" s="173">
        <f t="shared" si="37"/>
        <v>0</v>
      </c>
      <c r="CI78" s="173">
        <f t="shared" si="37"/>
        <v>0</v>
      </c>
      <c r="CJ78" s="173">
        <f t="shared" si="37"/>
        <v>0</v>
      </c>
      <c r="CK78" s="173">
        <f t="shared" si="37"/>
        <v>0</v>
      </c>
      <c r="CL78" s="173">
        <f t="shared" si="37"/>
        <v>0</v>
      </c>
      <c r="CM78" s="173">
        <f t="shared" si="37"/>
        <v>0</v>
      </c>
      <c r="CN78" s="173">
        <f t="shared" si="37"/>
        <v>0</v>
      </c>
      <c r="CO78" s="173">
        <f t="shared" si="37"/>
        <v>0</v>
      </c>
      <c r="CP78" s="173">
        <f t="shared" si="37"/>
        <v>0</v>
      </c>
      <c r="CQ78" s="173">
        <f t="shared" si="37"/>
        <v>0</v>
      </c>
      <c r="CR78" s="173">
        <f t="shared" si="37"/>
        <v>0</v>
      </c>
      <c r="CS78" s="173">
        <f t="shared" si="37"/>
        <v>0</v>
      </c>
      <c r="CT78" s="173">
        <f t="shared" si="37"/>
        <v>0</v>
      </c>
      <c r="CU78" s="173">
        <f t="shared" si="37"/>
        <v>0</v>
      </c>
      <c r="CV78" s="173">
        <f t="shared" si="37"/>
        <v>0</v>
      </c>
      <c r="CW78" s="173">
        <f t="shared" si="37"/>
        <v>0</v>
      </c>
      <c r="CX78" s="173">
        <f t="shared" si="37"/>
        <v>0</v>
      </c>
      <c r="CY78" s="173">
        <f t="shared" si="37"/>
        <v>0</v>
      </c>
      <c r="DC78" s="189" t="str">
        <f t="shared" si="42"/>
        <v>lot8</v>
      </c>
      <c r="DE78" s="173">
        <f t="shared" si="38"/>
        <v>0</v>
      </c>
      <c r="DF78" s="173">
        <f t="shared" si="38"/>
        <v>0</v>
      </c>
      <c r="DG78" s="173">
        <f t="shared" si="38"/>
        <v>0</v>
      </c>
      <c r="DH78" s="173">
        <f t="shared" si="38"/>
        <v>0</v>
      </c>
      <c r="DI78" s="173">
        <f t="shared" si="38"/>
        <v>0</v>
      </c>
      <c r="DJ78" s="173">
        <f t="shared" si="38"/>
        <v>0</v>
      </c>
      <c r="DK78" s="173">
        <f t="shared" si="38"/>
        <v>0</v>
      </c>
      <c r="DL78" s="173">
        <f t="shared" si="38"/>
        <v>0</v>
      </c>
      <c r="DM78" s="173">
        <f t="shared" si="38"/>
        <v>0</v>
      </c>
      <c r="DN78" s="173">
        <f t="shared" si="38"/>
        <v>0</v>
      </c>
      <c r="DO78" s="173">
        <f t="shared" si="38"/>
        <v>0</v>
      </c>
      <c r="DP78" s="173">
        <f t="shared" si="38"/>
        <v>0</v>
      </c>
      <c r="DQ78" s="173">
        <f t="shared" si="38"/>
        <v>0</v>
      </c>
      <c r="DR78" s="173">
        <f t="shared" si="38"/>
        <v>0</v>
      </c>
      <c r="DS78" s="173">
        <f t="shared" si="38"/>
        <v>0</v>
      </c>
      <c r="DT78" s="173">
        <f t="shared" si="38"/>
        <v>0</v>
      </c>
      <c r="DU78" s="173">
        <f t="shared" si="38"/>
        <v>0</v>
      </c>
      <c r="DV78" s="173">
        <f t="shared" si="38"/>
        <v>0</v>
      </c>
      <c r="DW78" s="173">
        <f t="shared" si="38"/>
        <v>0</v>
      </c>
      <c r="DX78" s="173">
        <f t="shared" si="38"/>
        <v>0</v>
      </c>
      <c r="DY78" s="173">
        <f t="shared" si="38"/>
        <v>0</v>
      </c>
      <c r="DZ78" s="173">
        <f t="shared" si="38"/>
        <v>0</v>
      </c>
      <c r="EA78" s="173">
        <f t="shared" si="38"/>
        <v>0</v>
      </c>
      <c r="EB78" s="173">
        <f t="shared" si="38"/>
        <v>0</v>
      </c>
    </row>
    <row r="79" spans="1:132" x14ac:dyDescent="0.25">
      <c r="A79" s="171"/>
      <c r="B79" s="171" t="s">
        <v>812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9"/>
      <c r="AH79" s="5"/>
      <c r="AI79" s="5"/>
      <c r="AJ79" s="5"/>
      <c r="AK79" s="5"/>
      <c r="AL79" s="5"/>
      <c r="AM79" s="5"/>
      <c r="AN79" s="5"/>
      <c r="AR79" s="188" t="s">
        <v>747</v>
      </c>
      <c r="AT79" s="189" t="str">
        <f t="shared" si="40"/>
        <v>lot9</v>
      </c>
      <c r="AV79" s="173">
        <f t="shared" si="36"/>
        <v>0</v>
      </c>
      <c r="AW79" s="173">
        <f t="shared" si="36"/>
        <v>0</v>
      </c>
      <c r="AX79" s="173">
        <f t="shared" si="36"/>
        <v>0</v>
      </c>
      <c r="AY79" s="173">
        <f t="shared" si="36"/>
        <v>0</v>
      </c>
      <c r="AZ79" s="173">
        <f t="shared" si="36"/>
        <v>0</v>
      </c>
      <c r="BA79" s="173">
        <f t="shared" si="36"/>
        <v>0</v>
      </c>
      <c r="BB79" s="173">
        <f t="shared" si="36"/>
        <v>0</v>
      </c>
      <c r="BC79" s="173">
        <f t="shared" si="36"/>
        <v>0</v>
      </c>
      <c r="BD79" s="173">
        <f t="shared" si="36"/>
        <v>0</v>
      </c>
      <c r="BE79" s="173">
        <f t="shared" si="36"/>
        <v>0</v>
      </c>
      <c r="BF79" s="173">
        <f t="shared" si="36"/>
        <v>0</v>
      </c>
      <c r="BG79" s="173">
        <f t="shared" si="36"/>
        <v>0</v>
      </c>
      <c r="BH79" s="173">
        <f t="shared" si="36"/>
        <v>0</v>
      </c>
      <c r="BI79" s="173">
        <f t="shared" si="36"/>
        <v>0</v>
      </c>
      <c r="BJ79" s="173">
        <f t="shared" si="36"/>
        <v>0</v>
      </c>
      <c r="BK79" s="173">
        <f t="shared" si="36"/>
        <v>0</v>
      </c>
      <c r="BL79" s="173">
        <f t="shared" si="36"/>
        <v>0</v>
      </c>
      <c r="BM79" s="173">
        <f t="shared" si="36"/>
        <v>0</v>
      </c>
      <c r="BN79" s="173">
        <f t="shared" si="36"/>
        <v>0</v>
      </c>
      <c r="BO79" s="173">
        <f t="shared" si="36"/>
        <v>0</v>
      </c>
      <c r="BP79" s="173">
        <f t="shared" si="36"/>
        <v>0</v>
      </c>
      <c r="BQ79" s="173">
        <f t="shared" si="36"/>
        <v>0</v>
      </c>
      <c r="BR79" s="173">
        <f t="shared" si="36"/>
        <v>0</v>
      </c>
      <c r="BS79" s="173">
        <f t="shared" si="36"/>
        <v>0</v>
      </c>
      <c r="BZ79" s="189" t="str">
        <f t="shared" si="41"/>
        <v>lot9</v>
      </c>
      <c r="CB79" s="173">
        <f t="shared" si="37"/>
        <v>0</v>
      </c>
      <c r="CC79" s="173">
        <f t="shared" si="37"/>
        <v>0</v>
      </c>
      <c r="CD79" s="173">
        <f t="shared" si="37"/>
        <v>0</v>
      </c>
      <c r="CE79" s="173">
        <f t="shared" si="37"/>
        <v>0</v>
      </c>
      <c r="CF79" s="173">
        <f t="shared" si="37"/>
        <v>0</v>
      </c>
      <c r="CG79" s="173">
        <f t="shared" si="37"/>
        <v>0</v>
      </c>
      <c r="CH79" s="173">
        <f t="shared" si="37"/>
        <v>0</v>
      </c>
      <c r="CI79" s="173">
        <f t="shared" si="37"/>
        <v>0</v>
      </c>
      <c r="CJ79" s="173">
        <f t="shared" si="37"/>
        <v>0</v>
      </c>
      <c r="CK79" s="173">
        <f t="shared" si="37"/>
        <v>0</v>
      </c>
      <c r="CL79" s="173">
        <f t="shared" si="37"/>
        <v>0</v>
      </c>
      <c r="CM79" s="173">
        <f t="shared" si="37"/>
        <v>0</v>
      </c>
      <c r="CN79" s="173">
        <f t="shared" si="37"/>
        <v>0</v>
      </c>
      <c r="CO79" s="173">
        <f t="shared" si="37"/>
        <v>0</v>
      </c>
      <c r="CP79" s="173">
        <f t="shared" si="37"/>
        <v>0</v>
      </c>
      <c r="CQ79" s="173">
        <f t="shared" si="37"/>
        <v>0</v>
      </c>
      <c r="CR79" s="173">
        <f t="shared" si="37"/>
        <v>0</v>
      </c>
      <c r="CS79" s="173">
        <f t="shared" si="37"/>
        <v>0</v>
      </c>
      <c r="CT79" s="173">
        <f t="shared" si="37"/>
        <v>0</v>
      </c>
      <c r="CU79" s="173">
        <f t="shared" si="37"/>
        <v>0</v>
      </c>
      <c r="CV79" s="173">
        <f t="shared" si="37"/>
        <v>0</v>
      </c>
      <c r="CW79" s="173">
        <f t="shared" si="37"/>
        <v>0</v>
      </c>
      <c r="CX79" s="173">
        <f t="shared" si="37"/>
        <v>0</v>
      </c>
      <c r="CY79" s="173">
        <f t="shared" si="37"/>
        <v>0</v>
      </c>
      <c r="DC79" s="189" t="str">
        <f t="shared" si="42"/>
        <v>lot9</v>
      </c>
      <c r="DE79" s="173">
        <f t="shared" si="38"/>
        <v>0</v>
      </c>
      <c r="DF79" s="173">
        <f t="shared" si="38"/>
        <v>0</v>
      </c>
      <c r="DG79" s="173">
        <f t="shared" si="38"/>
        <v>0</v>
      </c>
      <c r="DH79" s="173">
        <f t="shared" si="38"/>
        <v>0</v>
      </c>
      <c r="DI79" s="173">
        <f t="shared" si="38"/>
        <v>0</v>
      </c>
      <c r="DJ79" s="173">
        <f t="shared" si="38"/>
        <v>0</v>
      </c>
      <c r="DK79" s="173">
        <f t="shared" si="38"/>
        <v>0</v>
      </c>
      <c r="DL79" s="173">
        <f t="shared" si="38"/>
        <v>0</v>
      </c>
      <c r="DM79" s="173">
        <f t="shared" si="38"/>
        <v>0</v>
      </c>
      <c r="DN79" s="173">
        <f t="shared" si="38"/>
        <v>0</v>
      </c>
      <c r="DO79" s="173">
        <f t="shared" si="38"/>
        <v>0</v>
      </c>
      <c r="DP79" s="173">
        <f t="shared" si="38"/>
        <v>0</v>
      </c>
      <c r="DQ79" s="173">
        <f t="shared" si="38"/>
        <v>0</v>
      </c>
      <c r="DR79" s="173">
        <f t="shared" si="38"/>
        <v>0</v>
      </c>
      <c r="DS79" s="173">
        <f t="shared" si="38"/>
        <v>0</v>
      </c>
      <c r="DT79" s="173">
        <f t="shared" si="38"/>
        <v>0</v>
      </c>
      <c r="DU79" s="173">
        <f t="shared" si="38"/>
        <v>0</v>
      </c>
      <c r="DV79" s="173">
        <f t="shared" si="38"/>
        <v>0</v>
      </c>
      <c r="DW79" s="173">
        <f t="shared" si="38"/>
        <v>0</v>
      </c>
      <c r="DX79" s="173">
        <f t="shared" si="38"/>
        <v>0</v>
      </c>
      <c r="DY79" s="173">
        <f t="shared" si="38"/>
        <v>0</v>
      </c>
      <c r="DZ79" s="173">
        <f t="shared" si="38"/>
        <v>0</v>
      </c>
      <c r="EA79" s="173">
        <f t="shared" si="38"/>
        <v>0</v>
      </c>
      <c r="EB79" s="173">
        <f t="shared" si="38"/>
        <v>0</v>
      </c>
    </row>
    <row r="80" spans="1:132" x14ac:dyDescent="0.25">
      <c r="A80" s="23" t="s">
        <v>813</v>
      </c>
      <c r="B80" s="171" t="s">
        <v>814</v>
      </c>
      <c r="C80" s="171" t="s">
        <v>815</v>
      </c>
      <c r="D80" s="172"/>
      <c r="E80" s="172"/>
      <c r="I80" s="199"/>
      <c r="J80" s="199"/>
      <c r="K80" s="199"/>
      <c r="L80" s="199"/>
      <c r="M80" s="199"/>
      <c r="N80" s="199"/>
      <c r="O80" s="199"/>
      <c r="P80" s="199"/>
      <c r="Q80" s="199"/>
      <c r="R80" s="199"/>
      <c r="S80" s="199"/>
      <c r="T80" s="199"/>
      <c r="U80" s="199"/>
      <c r="V80" s="199"/>
      <c r="W80" s="199"/>
      <c r="X80" s="199"/>
      <c r="Y80" s="199"/>
      <c r="Z80" s="199"/>
      <c r="AA80" s="199"/>
      <c r="AB80" s="199"/>
      <c r="AC80" s="199"/>
      <c r="AD80" s="199"/>
      <c r="AG80" s="5"/>
      <c r="AH80" s="5"/>
      <c r="AI80" s="5"/>
      <c r="AJ80" s="5"/>
      <c r="AK80" s="5"/>
      <c r="AL80" s="5"/>
      <c r="AM80" s="5"/>
      <c r="AN80" s="5"/>
      <c r="AR80" s="188" t="s">
        <v>747</v>
      </c>
      <c r="AT80" s="189" t="str">
        <f t="shared" si="40"/>
        <v>lot10</v>
      </c>
      <c r="AV80" s="173">
        <f t="shared" si="36"/>
        <v>0</v>
      </c>
      <c r="AW80" s="173">
        <f t="shared" si="36"/>
        <v>0</v>
      </c>
      <c r="AX80" s="173">
        <f t="shared" si="36"/>
        <v>0</v>
      </c>
      <c r="AY80" s="173">
        <f t="shared" si="36"/>
        <v>0</v>
      </c>
      <c r="AZ80" s="173">
        <f t="shared" si="36"/>
        <v>0</v>
      </c>
      <c r="BA80" s="173">
        <f t="shared" si="36"/>
        <v>0</v>
      </c>
      <c r="BB80" s="173">
        <f t="shared" si="36"/>
        <v>0</v>
      </c>
      <c r="BC80" s="173">
        <f t="shared" si="36"/>
        <v>0</v>
      </c>
      <c r="BD80" s="173">
        <f t="shared" si="36"/>
        <v>0</v>
      </c>
      <c r="BE80" s="173">
        <f t="shared" si="36"/>
        <v>0</v>
      </c>
      <c r="BF80" s="173">
        <f t="shared" si="36"/>
        <v>0</v>
      </c>
      <c r="BG80" s="173">
        <f t="shared" si="36"/>
        <v>0</v>
      </c>
      <c r="BH80" s="173">
        <f t="shared" si="36"/>
        <v>0</v>
      </c>
      <c r="BI80" s="173">
        <f t="shared" si="36"/>
        <v>0</v>
      </c>
      <c r="BJ80" s="173">
        <f t="shared" si="36"/>
        <v>0</v>
      </c>
      <c r="BK80" s="173">
        <f t="shared" si="36"/>
        <v>0</v>
      </c>
      <c r="BL80" s="173">
        <f t="shared" si="36"/>
        <v>0</v>
      </c>
      <c r="BM80" s="173">
        <f t="shared" si="36"/>
        <v>0</v>
      </c>
      <c r="BN80" s="173">
        <f t="shared" si="36"/>
        <v>0</v>
      </c>
      <c r="BO80" s="173">
        <f t="shared" si="36"/>
        <v>0</v>
      </c>
      <c r="BP80" s="173">
        <f t="shared" si="36"/>
        <v>0</v>
      </c>
      <c r="BQ80" s="173">
        <f t="shared" si="36"/>
        <v>0</v>
      </c>
      <c r="BR80" s="173">
        <f t="shared" si="36"/>
        <v>0</v>
      </c>
      <c r="BS80" s="173">
        <f t="shared" si="36"/>
        <v>0</v>
      </c>
      <c r="BZ80" s="189" t="str">
        <f t="shared" si="41"/>
        <v>lot10</v>
      </c>
      <c r="CB80" s="173">
        <f t="shared" si="37"/>
        <v>0</v>
      </c>
      <c r="CC80" s="173">
        <f t="shared" si="37"/>
        <v>0</v>
      </c>
      <c r="CD80" s="173">
        <f t="shared" si="37"/>
        <v>0</v>
      </c>
      <c r="CE80" s="173">
        <f t="shared" si="37"/>
        <v>0</v>
      </c>
      <c r="CF80" s="173">
        <f t="shared" si="37"/>
        <v>0</v>
      </c>
      <c r="CG80" s="173">
        <f t="shared" si="37"/>
        <v>0</v>
      </c>
      <c r="CH80" s="173">
        <f t="shared" si="37"/>
        <v>0</v>
      </c>
      <c r="CI80" s="173">
        <f t="shared" si="37"/>
        <v>0</v>
      </c>
      <c r="CJ80" s="173">
        <f t="shared" si="37"/>
        <v>0</v>
      </c>
      <c r="CK80" s="173">
        <f t="shared" si="37"/>
        <v>0</v>
      </c>
      <c r="CL80" s="173">
        <f t="shared" si="37"/>
        <v>0</v>
      </c>
      <c r="CM80" s="173">
        <f t="shared" si="37"/>
        <v>0</v>
      </c>
      <c r="CN80" s="173">
        <f t="shared" si="37"/>
        <v>0</v>
      </c>
      <c r="CO80" s="173">
        <f t="shared" si="37"/>
        <v>0</v>
      </c>
      <c r="CP80" s="173">
        <f t="shared" si="37"/>
        <v>0</v>
      </c>
      <c r="CQ80" s="173">
        <f t="shared" si="37"/>
        <v>0</v>
      </c>
      <c r="CR80" s="173">
        <f t="shared" si="37"/>
        <v>0</v>
      </c>
      <c r="CS80" s="173">
        <f t="shared" si="37"/>
        <v>0</v>
      </c>
      <c r="CT80" s="173">
        <f t="shared" si="37"/>
        <v>0</v>
      </c>
      <c r="CU80" s="173">
        <f t="shared" si="37"/>
        <v>0</v>
      </c>
      <c r="CV80" s="173">
        <f t="shared" si="37"/>
        <v>0</v>
      </c>
      <c r="CW80" s="173">
        <f t="shared" si="37"/>
        <v>0</v>
      </c>
      <c r="CX80" s="173">
        <f t="shared" si="37"/>
        <v>0</v>
      </c>
      <c r="CY80" s="173">
        <f t="shared" si="37"/>
        <v>0</v>
      </c>
      <c r="DC80" s="189" t="str">
        <f t="shared" si="42"/>
        <v>lot10</v>
      </c>
      <c r="DE80" s="173">
        <f t="shared" si="38"/>
        <v>0</v>
      </c>
      <c r="DF80" s="173">
        <f t="shared" si="38"/>
        <v>0</v>
      </c>
      <c r="DG80" s="173">
        <f t="shared" si="38"/>
        <v>0</v>
      </c>
      <c r="DH80" s="173">
        <f t="shared" si="38"/>
        <v>0</v>
      </c>
      <c r="DI80" s="173">
        <f t="shared" si="38"/>
        <v>0</v>
      </c>
      <c r="DJ80" s="173">
        <f t="shared" si="38"/>
        <v>0</v>
      </c>
      <c r="DK80" s="173">
        <f t="shared" si="38"/>
        <v>0</v>
      </c>
      <c r="DL80" s="173">
        <f t="shared" si="38"/>
        <v>0</v>
      </c>
      <c r="DM80" s="173">
        <f t="shared" si="38"/>
        <v>0</v>
      </c>
      <c r="DN80" s="173">
        <f t="shared" si="38"/>
        <v>0</v>
      </c>
      <c r="DO80" s="173">
        <f t="shared" si="38"/>
        <v>0</v>
      </c>
      <c r="DP80" s="173">
        <f t="shared" si="38"/>
        <v>0</v>
      </c>
      <c r="DQ80" s="173">
        <f t="shared" si="38"/>
        <v>0</v>
      </c>
      <c r="DR80" s="173">
        <f t="shared" si="38"/>
        <v>0</v>
      </c>
      <c r="DS80" s="173">
        <f t="shared" si="38"/>
        <v>0</v>
      </c>
      <c r="DT80" s="173">
        <f t="shared" si="38"/>
        <v>0</v>
      </c>
      <c r="DU80" s="173">
        <f t="shared" si="38"/>
        <v>0</v>
      </c>
      <c r="DV80" s="173">
        <f t="shared" si="38"/>
        <v>0</v>
      </c>
      <c r="DW80" s="173">
        <f t="shared" si="38"/>
        <v>0</v>
      </c>
      <c r="DX80" s="173">
        <f t="shared" si="38"/>
        <v>0</v>
      </c>
      <c r="DY80" s="173">
        <f t="shared" si="38"/>
        <v>0</v>
      </c>
      <c r="DZ80" s="173">
        <f t="shared" si="38"/>
        <v>0</v>
      </c>
      <c r="EA80" s="173">
        <f t="shared" si="38"/>
        <v>0</v>
      </c>
      <c r="EB80" s="173">
        <f t="shared" si="38"/>
        <v>0</v>
      </c>
    </row>
    <row r="81" spans="1:132" x14ac:dyDescent="0.25">
      <c r="A81" s="5" t="s">
        <v>816</v>
      </c>
      <c r="B81" s="177">
        <f>ROUND(Protection!AJ8/[1]Protect!$B$11,2)</f>
        <v>1.43</v>
      </c>
      <c r="C81" s="190">
        <f>[1]Protect!$B$10</f>
        <v>4</v>
      </c>
      <c r="D81" s="172"/>
      <c r="E81" s="172"/>
      <c r="F81" s="173">
        <f>ROUND(C81*B81*8,0)</f>
        <v>46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8" t="s">
        <v>747</v>
      </c>
      <c r="AT81" s="19" t="s">
        <v>817</v>
      </c>
      <c r="AV81" s="173">
        <f>COUNTIF(AV$71:AV$80,23)</f>
        <v>2</v>
      </c>
      <c r="AW81" s="173">
        <f t="shared" ref="AW81:BS81" si="44">COUNTIF(AW$71:AW$80,23)</f>
        <v>2</v>
      </c>
      <c r="AX81" s="173">
        <f t="shared" si="44"/>
        <v>2</v>
      </c>
      <c r="AY81" s="173">
        <f t="shared" si="44"/>
        <v>1</v>
      </c>
      <c r="AZ81" s="173">
        <f t="shared" si="44"/>
        <v>1</v>
      </c>
      <c r="BA81" s="173">
        <f t="shared" si="44"/>
        <v>0</v>
      </c>
      <c r="BB81" s="173">
        <f t="shared" si="44"/>
        <v>0</v>
      </c>
      <c r="BC81" s="173">
        <f t="shared" si="44"/>
        <v>0</v>
      </c>
      <c r="BD81" s="173">
        <f t="shared" si="44"/>
        <v>0</v>
      </c>
      <c r="BE81" s="173">
        <f t="shared" si="44"/>
        <v>0</v>
      </c>
      <c r="BF81" s="173">
        <f t="shared" si="44"/>
        <v>0</v>
      </c>
      <c r="BG81" s="173">
        <f t="shared" si="44"/>
        <v>0</v>
      </c>
      <c r="BH81" s="173">
        <f t="shared" si="44"/>
        <v>0</v>
      </c>
      <c r="BI81" s="173">
        <f t="shared" si="44"/>
        <v>0</v>
      </c>
      <c r="BJ81" s="173">
        <f t="shared" si="44"/>
        <v>0</v>
      </c>
      <c r="BK81" s="173">
        <f t="shared" si="44"/>
        <v>0</v>
      </c>
      <c r="BL81" s="173">
        <f t="shared" si="44"/>
        <v>0</v>
      </c>
      <c r="BM81" s="173">
        <f t="shared" si="44"/>
        <v>0</v>
      </c>
      <c r="BN81" s="173">
        <f t="shared" si="44"/>
        <v>0</v>
      </c>
      <c r="BO81" s="173">
        <f t="shared" si="44"/>
        <v>0</v>
      </c>
      <c r="BP81" s="173">
        <f t="shared" si="44"/>
        <v>1</v>
      </c>
      <c r="BQ81" s="173">
        <f t="shared" si="44"/>
        <v>2</v>
      </c>
      <c r="BR81" s="173">
        <f t="shared" si="44"/>
        <v>2</v>
      </c>
      <c r="BS81" s="173">
        <f t="shared" si="44"/>
        <v>2</v>
      </c>
      <c r="BZ81" s="19" t="s">
        <v>817</v>
      </c>
      <c r="CB81" s="173">
        <f>COUNTIF(CB$71:CB$80,23)</f>
        <v>1</v>
      </c>
      <c r="CC81" s="173">
        <f>COUNTIF(CC$71:CC$80,23)</f>
        <v>1</v>
      </c>
      <c r="CD81" s="173">
        <f t="shared" ref="CD81:CY81" si="45">COUNTIF(CD$71:CD$80,23)</f>
        <v>1</v>
      </c>
      <c r="CE81" s="173">
        <f t="shared" si="45"/>
        <v>1</v>
      </c>
      <c r="CF81" s="173">
        <f t="shared" si="45"/>
        <v>1</v>
      </c>
      <c r="CG81" s="173">
        <f t="shared" si="45"/>
        <v>1</v>
      </c>
      <c r="CH81" s="173">
        <f t="shared" si="45"/>
        <v>0</v>
      </c>
      <c r="CI81" s="173">
        <f t="shared" si="45"/>
        <v>0</v>
      </c>
      <c r="CJ81" s="173">
        <f t="shared" si="45"/>
        <v>0</v>
      </c>
      <c r="CK81" s="173">
        <f t="shared" si="45"/>
        <v>0</v>
      </c>
      <c r="CL81" s="173">
        <f t="shared" si="45"/>
        <v>0</v>
      </c>
      <c r="CM81" s="173">
        <f t="shared" si="45"/>
        <v>0</v>
      </c>
      <c r="CN81" s="173">
        <f t="shared" si="45"/>
        <v>0</v>
      </c>
      <c r="CO81" s="173">
        <f t="shared" si="45"/>
        <v>0</v>
      </c>
      <c r="CP81" s="173">
        <f t="shared" si="45"/>
        <v>0</v>
      </c>
      <c r="CQ81" s="173">
        <f t="shared" si="45"/>
        <v>0</v>
      </c>
      <c r="CR81" s="173">
        <f t="shared" si="45"/>
        <v>0</v>
      </c>
      <c r="CS81" s="173">
        <f t="shared" si="45"/>
        <v>0</v>
      </c>
      <c r="CT81" s="173">
        <f t="shared" si="45"/>
        <v>0</v>
      </c>
      <c r="CU81" s="173">
        <f t="shared" si="45"/>
        <v>0</v>
      </c>
      <c r="CV81" s="173">
        <f t="shared" si="45"/>
        <v>0</v>
      </c>
      <c r="CW81" s="173">
        <f t="shared" si="45"/>
        <v>0</v>
      </c>
      <c r="CX81" s="173">
        <f t="shared" si="45"/>
        <v>1</v>
      </c>
      <c r="CY81" s="173">
        <f t="shared" si="45"/>
        <v>1</v>
      </c>
      <c r="DC81" s="19" t="s">
        <v>817</v>
      </c>
      <c r="DE81" s="173">
        <f>COUNTIF(DE$71:DE$80,23)</f>
        <v>0</v>
      </c>
      <c r="DF81" s="173">
        <f>COUNTIF(DF$71:DF$80,23)</f>
        <v>0</v>
      </c>
      <c r="DG81" s="173">
        <f t="shared" ref="DG81:EB81" si="46">COUNTIF(DG$71:DG$80,23)</f>
        <v>0</v>
      </c>
      <c r="DH81" s="173">
        <f t="shared" si="46"/>
        <v>0</v>
      </c>
      <c r="DI81" s="173">
        <f t="shared" si="46"/>
        <v>0</v>
      </c>
      <c r="DJ81" s="173">
        <f t="shared" si="46"/>
        <v>0</v>
      </c>
      <c r="DK81" s="173">
        <f t="shared" si="46"/>
        <v>0</v>
      </c>
      <c r="DL81" s="173">
        <f t="shared" si="46"/>
        <v>0</v>
      </c>
      <c r="DM81" s="173">
        <f t="shared" si="46"/>
        <v>0</v>
      </c>
      <c r="DN81" s="173">
        <f t="shared" si="46"/>
        <v>0</v>
      </c>
      <c r="DO81" s="173">
        <f t="shared" si="46"/>
        <v>0</v>
      </c>
      <c r="DP81" s="173">
        <f t="shared" si="46"/>
        <v>0</v>
      </c>
      <c r="DQ81" s="173">
        <f t="shared" si="46"/>
        <v>0</v>
      </c>
      <c r="DR81" s="173">
        <f t="shared" si="46"/>
        <v>0</v>
      </c>
      <c r="DS81" s="173">
        <f t="shared" si="46"/>
        <v>0</v>
      </c>
      <c r="DT81" s="173">
        <f t="shared" si="46"/>
        <v>0</v>
      </c>
      <c r="DU81" s="173">
        <f t="shared" si="46"/>
        <v>0</v>
      </c>
      <c r="DV81" s="173">
        <f t="shared" si="46"/>
        <v>0</v>
      </c>
      <c r="DW81" s="173">
        <f t="shared" si="46"/>
        <v>0</v>
      </c>
      <c r="DX81" s="173">
        <f t="shared" si="46"/>
        <v>0</v>
      </c>
      <c r="DY81" s="173">
        <f t="shared" si="46"/>
        <v>0</v>
      </c>
      <c r="DZ81" s="173">
        <f t="shared" si="46"/>
        <v>0</v>
      </c>
      <c r="EA81" s="173">
        <f t="shared" si="46"/>
        <v>0</v>
      </c>
      <c r="EB81" s="173">
        <f t="shared" si="46"/>
        <v>0</v>
      </c>
    </row>
    <row r="82" spans="1:132" x14ac:dyDescent="0.25">
      <c r="B82" t="s">
        <v>818</v>
      </c>
      <c r="C82" t="s">
        <v>819</v>
      </c>
      <c r="G82" s="199"/>
      <c r="H82" s="199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8" t="s">
        <v>747</v>
      </c>
      <c r="AT82" s="19" t="s">
        <v>820</v>
      </c>
      <c r="AV82" s="173">
        <f>COUNTIF(AV$71:AV$80,13)</f>
        <v>0</v>
      </c>
      <c r="AW82" s="173">
        <f t="shared" ref="AW82:BS82" si="47">COUNTIF(AW$71:AW$80,13)</f>
        <v>0</v>
      </c>
      <c r="AX82" s="173">
        <f t="shared" si="47"/>
        <v>0</v>
      </c>
      <c r="AY82" s="173">
        <f t="shared" si="47"/>
        <v>0</v>
      </c>
      <c r="AZ82" s="173">
        <f t="shared" si="47"/>
        <v>0</v>
      </c>
      <c r="BA82" s="173">
        <f t="shared" si="47"/>
        <v>0</v>
      </c>
      <c r="BB82" s="173">
        <f t="shared" si="47"/>
        <v>0</v>
      </c>
      <c r="BC82" s="173">
        <f t="shared" si="47"/>
        <v>0</v>
      </c>
      <c r="BD82" s="173">
        <f t="shared" si="47"/>
        <v>0</v>
      </c>
      <c r="BE82" s="173">
        <f t="shared" si="47"/>
        <v>0</v>
      </c>
      <c r="BF82" s="173">
        <f t="shared" si="47"/>
        <v>0</v>
      </c>
      <c r="BG82" s="173">
        <f t="shared" si="47"/>
        <v>0</v>
      </c>
      <c r="BH82" s="173">
        <f t="shared" si="47"/>
        <v>0</v>
      </c>
      <c r="BI82" s="173">
        <f t="shared" si="47"/>
        <v>0</v>
      </c>
      <c r="BJ82" s="173">
        <f t="shared" si="47"/>
        <v>0</v>
      </c>
      <c r="BK82" s="173">
        <f t="shared" si="47"/>
        <v>0</v>
      </c>
      <c r="BL82" s="173">
        <f t="shared" si="47"/>
        <v>0</v>
      </c>
      <c r="BM82" s="173">
        <f t="shared" si="47"/>
        <v>0</v>
      </c>
      <c r="BN82" s="173">
        <f t="shared" si="47"/>
        <v>0</v>
      </c>
      <c r="BO82" s="173">
        <f t="shared" si="47"/>
        <v>0</v>
      </c>
      <c r="BP82" s="173">
        <f t="shared" si="47"/>
        <v>0</v>
      </c>
      <c r="BQ82" s="173">
        <f t="shared" si="47"/>
        <v>0</v>
      </c>
      <c r="BR82" s="173">
        <f t="shared" si="47"/>
        <v>0</v>
      </c>
      <c r="BS82" s="173">
        <f t="shared" si="47"/>
        <v>0</v>
      </c>
      <c r="BZ82" s="19" t="s">
        <v>820</v>
      </c>
      <c r="CB82" s="173">
        <f>COUNTIF(CB$71:CB$80,13)</f>
        <v>1</v>
      </c>
      <c r="CC82" s="173">
        <f t="shared" ref="CC82:CY82" si="48">COUNTIF(CC$71:CC$80,13)</f>
        <v>1</v>
      </c>
      <c r="CD82" s="173">
        <f t="shared" si="48"/>
        <v>0</v>
      </c>
      <c r="CE82" s="173">
        <f t="shared" si="48"/>
        <v>0</v>
      </c>
      <c r="CF82" s="173">
        <f t="shared" si="48"/>
        <v>0</v>
      </c>
      <c r="CG82" s="173">
        <f t="shared" si="48"/>
        <v>0</v>
      </c>
      <c r="CH82" s="173">
        <f t="shared" si="48"/>
        <v>0</v>
      </c>
      <c r="CI82" s="173">
        <f t="shared" si="48"/>
        <v>0</v>
      </c>
      <c r="CJ82" s="173">
        <f t="shared" si="48"/>
        <v>0</v>
      </c>
      <c r="CK82" s="173">
        <f t="shared" si="48"/>
        <v>0</v>
      </c>
      <c r="CL82" s="173">
        <f t="shared" si="48"/>
        <v>0</v>
      </c>
      <c r="CM82" s="173">
        <f t="shared" si="48"/>
        <v>0</v>
      </c>
      <c r="CN82" s="173">
        <f t="shared" si="48"/>
        <v>0</v>
      </c>
      <c r="CO82" s="173">
        <f t="shared" si="48"/>
        <v>0</v>
      </c>
      <c r="CP82" s="173">
        <f t="shared" si="48"/>
        <v>0</v>
      </c>
      <c r="CQ82" s="173">
        <f t="shared" si="48"/>
        <v>0</v>
      </c>
      <c r="CR82" s="173">
        <f t="shared" si="48"/>
        <v>0</v>
      </c>
      <c r="CS82" s="173">
        <f t="shared" si="48"/>
        <v>0</v>
      </c>
      <c r="CT82" s="173">
        <f t="shared" si="48"/>
        <v>0</v>
      </c>
      <c r="CU82" s="173">
        <f t="shared" si="48"/>
        <v>0</v>
      </c>
      <c r="CV82" s="173">
        <f t="shared" si="48"/>
        <v>0</v>
      </c>
      <c r="CW82" s="173">
        <f t="shared" si="48"/>
        <v>0</v>
      </c>
      <c r="CX82" s="173">
        <f t="shared" si="48"/>
        <v>1</v>
      </c>
      <c r="CY82" s="173">
        <f t="shared" si="48"/>
        <v>1</v>
      </c>
      <c r="DC82" s="19" t="s">
        <v>820</v>
      </c>
      <c r="DE82" s="173">
        <f>COUNTIF(DE$71:DE$80,13)</f>
        <v>0</v>
      </c>
      <c r="DF82" s="173">
        <f t="shared" ref="DF82:EB82" si="49">COUNTIF(DF$71:DF$80,13)</f>
        <v>0</v>
      </c>
      <c r="DG82" s="173">
        <f t="shared" si="49"/>
        <v>0</v>
      </c>
      <c r="DH82" s="173">
        <f t="shared" si="49"/>
        <v>0</v>
      </c>
      <c r="DI82" s="173">
        <f t="shared" si="49"/>
        <v>0</v>
      </c>
      <c r="DJ82" s="173">
        <f t="shared" si="49"/>
        <v>0</v>
      </c>
      <c r="DK82" s="173">
        <f t="shared" si="49"/>
        <v>0</v>
      </c>
      <c r="DL82" s="173">
        <f t="shared" si="49"/>
        <v>0</v>
      </c>
      <c r="DM82" s="173">
        <f t="shared" si="49"/>
        <v>0</v>
      </c>
      <c r="DN82" s="173">
        <f t="shared" si="49"/>
        <v>0</v>
      </c>
      <c r="DO82" s="173">
        <f t="shared" si="49"/>
        <v>0</v>
      </c>
      <c r="DP82" s="173">
        <f t="shared" si="49"/>
        <v>0</v>
      </c>
      <c r="DQ82" s="173">
        <f t="shared" si="49"/>
        <v>0</v>
      </c>
      <c r="DR82" s="173">
        <f t="shared" si="49"/>
        <v>0</v>
      </c>
      <c r="DS82" s="173">
        <f t="shared" si="49"/>
        <v>0</v>
      </c>
      <c r="DT82" s="173">
        <f t="shared" si="49"/>
        <v>0</v>
      </c>
      <c r="DU82" s="173">
        <f t="shared" si="49"/>
        <v>0</v>
      </c>
      <c r="DV82" s="173">
        <f t="shared" si="49"/>
        <v>0</v>
      </c>
      <c r="DW82" s="173">
        <f t="shared" si="49"/>
        <v>0</v>
      </c>
      <c r="DX82" s="173">
        <f t="shared" si="49"/>
        <v>0</v>
      </c>
      <c r="DY82" s="173">
        <f t="shared" si="49"/>
        <v>0</v>
      </c>
      <c r="DZ82" s="173">
        <f t="shared" si="49"/>
        <v>0</v>
      </c>
      <c r="EA82" s="173">
        <f t="shared" si="49"/>
        <v>0</v>
      </c>
      <c r="EB82" s="173">
        <f t="shared" si="49"/>
        <v>0</v>
      </c>
    </row>
    <row r="83" spans="1:132" x14ac:dyDescent="0.25">
      <c r="A83" s="5" t="s">
        <v>821</v>
      </c>
      <c r="B83" s="177">
        <f>Protection!AK25/1000</f>
        <v>9.3650000000000002</v>
      </c>
      <c r="C83" s="190">
        <f>[1]Protect!$B$24+[1]Protect!$B$26</f>
        <v>0.33</v>
      </c>
      <c r="D83" s="172"/>
      <c r="E83" s="172"/>
      <c r="F83" s="173">
        <f>ROUND(B83*C83,1)</f>
        <v>3.1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8" t="s">
        <v>747</v>
      </c>
      <c r="AT83" s="19" t="s">
        <v>822</v>
      </c>
      <c r="AV83" s="173">
        <f>COUNTIF(AV$71:AV$80,22)</f>
        <v>2</v>
      </c>
      <c r="AW83" s="173">
        <f t="shared" ref="AW83:BS83" si="50">COUNTIF(AW$71:AW$80,22)</f>
        <v>2</v>
      </c>
      <c r="AX83" s="173">
        <f t="shared" si="50"/>
        <v>2</v>
      </c>
      <c r="AY83" s="173">
        <f t="shared" si="50"/>
        <v>3</v>
      </c>
      <c r="AZ83" s="173">
        <f t="shared" si="50"/>
        <v>3</v>
      </c>
      <c r="BA83" s="173">
        <f t="shared" si="50"/>
        <v>4</v>
      </c>
      <c r="BB83" s="173">
        <f t="shared" si="50"/>
        <v>4</v>
      </c>
      <c r="BC83" s="173">
        <f t="shared" si="50"/>
        <v>4</v>
      </c>
      <c r="BD83" s="173">
        <f t="shared" si="50"/>
        <v>4</v>
      </c>
      <c r="BE83" s="173">
        <f t="shared" si="50"/>
        <v>2</v>
      </c>
      <c r="BF83" s="173">
        <f t="shared" si="50"/>
        <v>2</v>
      </c>
      <c r="BG83" s="173">
        <f t="shared" si="50"/>
        <v>1</v>
      </c>
      <c r="BH83" s="173">
        <f t="shared" si="50"/>
        <v>1</v>
      </c>
      <c r="BI83" s="173">
        <f t="shared" si="50"/>
        <v>1</v>
      </c>
      <c r="BJ83" s="173">
        <f t="shared" si="50"/>
        <v>1</v>
      </c>
      <c r="BK83" s="173">
        <f t="shared" si="50"/>
        <v>1</v>
      </c>
      <c r="BL83" s="173">
        <f t="shared" si="50"/>
        <v>1</v>
      </c>
      <c r="BM83" s="173">
        <f t="shared" si="50"/>
        <v>1</v>
      </c>
      <c r="BN83" s="173">
        <f t="shared" si="50"/>
        <v>2</v>
      </c>
      <c r="BO83" s="173">
        <f t="shared" si="50"/>
        <v>3</v>
      </c>
      <c r="BP83" s="173">
        <f t="shared" si="50"/>
        <v>2</v>
      </c>
      <c r="BQ83" s="173">
        <f t="shared" si="50"/>
        <v>2</v>
      </c>
      <c r="BR83" s="173">
        <f t="shared" si="50"/>
        <v>2</v>
      </c>
      <c r="BS83" s="173">
        <f t="shared" si="50"/>
        <v>2</v>
      </c>
      <c r="BZ83" s="19" t="s">
        <v>822</v>
      </c>
      <c r="CB83" s="173">
        <f>COUNTIF(CB$71:CB$80,22)</f>
        <v>0</v>
      </c>
      <c r="CC83" s="173">
        <f t="shared" ref="CC83:CY83" si="51">COUNTIF(CC$71:CC$80,22)</f>
        <v>0</v>
      </c>
      <c r="CD83" s="173">
        <f t="shared" si="51"/>
        <v>0</v>
      </c>
      <c r="CE83" s="173">
        <f t="shared" si="51"/>
        <v>0</v>
      </c>
      <c r="CF83" s="173">
        <f t="shared" si="51"/>
        <v>0</v>
      </c>
      <c r="CG83" s="173">
        <f t="shared" si="51"/>
        <v>0</v>
      </c>
      <c r="CH83" s="173">
        <f t="shared" si="51"/>
        <v>1</v>
      </c>
      <c r="CI83" s="173">
        <f t="shared" si="51"/>
        <v>1</v>
      </c>
      <c r="CJ83" s="173">
        <f t="shared" si="51"/>
        <v>1</v>
      </c>
      <c r="CK83" s="173">
        <f t="shared" si="51"/>
        <v>1</v>
      </c>
      <c r="CL83" s="173">
        <f t="shared" si="51"/>
        <v>0</v>
      </c>
      <c r="CM83" s="173">
        <f t="shared" si="51"/>
        <v>0</v>
      </c>
      <c r="CN83" s="173">
        <f t="shared" si="51"/>
        <v>0</v>
      </c>
      <c r="CO83" s="173">
        <f t="shared" si="51"/>
        <v>0</v>
      </c>
      <c r="CP83" s="173">
        <f t="shared" si="51"/>
        <v>0</v>
      </c>
      <c r="CQ83" s="173">
        <f t="shared" si="51"/>
        <v>0</v>
      </c>
      <c r="CR83" s="173">
        <f t="shared" si="51"/>
        <v>0</v>
      </c>
      <c r="CS83" s="173">
        <f t="shared" si="51"/>
        <v>0</v>
      </c>
      <c r="CT83" s="173">
        <f t="shared" si="51"/>
        <v>1</v>
      </c>
      <c r="CU83" s="173">
        <f t="shared" si="51"/>
        <v>1</v>
      </c>
      <c r="CV83" s="173">
        <f t="shared" si="51"/>
        <v>2</v>
      </c>
      <c r="CW83" s="173">
        <f t="shared" si="51"/>
        <v>2</v>
      </c>
      <c r="CX83" s="173">
        <f t="shared" si="51"/>
        <v>0</v>
      </c>
      <c r="CY83" s="173">
        <f t="shared" si="51"/>
        <v>0</v>
      </c>
      <c r="DC83" s="19" t="s">
        <v>822</v>
      </c>
      <c r="DE83" s="173">
        <f>COUNTIF(DE$71:DE$80,22)</f>
        <v>0</v>
      </c>
      <c r="DF83" s="173">
        <f t="shared" ref="DF83:EB83" si="52">COUNTIF(DF$71:DF$80,22)</f>
        <v>0</v>
      </c>
      <c r="DG83" s="173">
        <f t="shared" si="52"/>
        <v>0</v>
      </c>
      <c r="DH83" s="173">
        <f t="shared" si="52"/>
        <v>0</v>
      </c>
      <c r="DI83" s="173">
        <f t="shared" si="52"/>
        <v>0</v>
      </c>
      <c r="DJ83" s="173">
        <f t="shared" si="52"/>
        <v>0</v>
      </c>
      <c r="DK83" s="173">
        <f t="shared" si="52"/>
        <v>0</v>
      </c>
      <c r="DL83" s="173">
        <f t="shared" si="52"/>
        <v>0</v>
      </c>
      <c r="DM83" s="173">
        <f t="shared" si="52"/>
        <v>0</v>
      </c>
      <c r="DN83" s="173">
        <f t="shared" si="52"/>
        <v>0</v>
      </c>
      <c r="DO83" s="173">
        <f t="shared" si="52"/>
        <v>0</v>
      </c>
      <c r="DP83" s="173">
        <f t="shared" si="52"/>
        <v>0</v>
      </c>
      <c r="DQ83" s="173">
        <f t="shared" si="52"/>
        <v>0</v>
      </c>
      <c r="DR83" s="173">
        <f t="shared" si="52"/>
        <v>0</v>
      </c>
      <c r="DS83" s="173">
        <f t="shared" si="52"/>
        <v>0</v>
      </c>
      <c r="DT83" s="173">
        <f t="shared" si="52"/>
        <v>0</v>
      </c>
      <c r="DU83" s="173">
        <f t="shared" si="52"/>
        <v>0</v>
      </c>
      <c r="DV83" s="173">
        <f t="shared" si="52"/>
        <v>0</v>
      </c>
      <c r="DW83" s="173">
        <f t="shared" si="52"/>
        <v>0</v>
      </c>
      <c r="DX83" s="173">
        <f t="shared" si="52"/>
        <v>0</v>
      </c>
      <c r="DY83" s="173">
        <f t="shared" si="52"/>
        <v>0</v>
      </c>
      <c r="DZ83" s="173">
        <f t="shared" si="52"/>
        <v>0</v>
      </c>
      <c r="EA83" s="173">
        <f>COUNTIF(EA$71:EA$80,22)</f>
        <v>0</v>
      </c>
      <c r="EB83" s="173">
        <f t="shared" si="52"/>
        <v>0</v>
      </c>
    </row>
    <row r="84" spans="1:132" x14ac:dyDescent="0.25">
      <c r="A84" s="5" t="s">
        <v>823</v>
      </c>
      <c r="B84" s="5"/>
      <c r="C84" s="190">
        <f>[1]Protect!$B$25*8</f>
        <v>8</v>
      </c>
      <c r="D84" s="172"/>
      <c r="E84" s="172"/>
      <c r="F84" s="173">
        <f>ROUND(B83*C84/10,1)</f>
        <v>7.5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8" t="s">
        <v>747</v>
      </c>
      <c r="AT84" s="19" t="s">
        <v>824</v>
      </c>
      <c r="AV84" s="173">
        <f>COUNTIF(AV$71:AV$80,12)</f>
        <v>0</v>
      </c>
      <c r="AW84" s="173">
        <f t="shared" ref="AW84:BS84" si="53">COUNTIF(AW$71:AW$80,12)</f>
        <v>0</v>
      </c>
      <c r="AX84" s="173">
        <f t="shared" si="53"/>
        <v>0</v>
      </c>
      <c r="AY84" s="173">
        <f t="shared" si="53"/>
        <v>0</v>
      </c>
      <c r="AZ84" s="173">
        <f t="shared" si="53"/>
        <v>0</v>
      </c>
      <c r="BA84" s="173">
        <f t="shared" si="53"/>
        <v>0</v>
      </c>
      <c r="BB84" s="173">
        <f t="shared" si="53"/>
        <v>0</v>
      </c>
      <c r="BC84" s="173">
        <f t="shared" si="53"/>
        <v>0</v>
      </c>
      <c r="BD84" s="173">
        <f t="shared" si="53"/>
        <v>0</v>
      </c>
      <c r="BE84" s="173">
        <f t="shared" si="53"/>
        <v>0</v>
      </c>
      <c r="BF84" s="173">
        <f t="shared" si="53"/>
        <v>0</v>
      </c>
      <c r="BG84" s="173">
        <f t="shared" si="53"/>
        <v>0</v>
      </c>
      <c r="BH84" s="173">
        <f t="shared" si="53"/>
        <v>0</v>
      </c>
      <c r="BI84" s="173">
        <f t="shared" si="53"/>
        <v>0</v>
      </c>
      <c r="BJ84" s="173">
        <f t="shared" si="53"/>
        <v>0</v>
      </c>
      <c r="BK84" s="173">
        <f t="shared" si="53"/>
        <v>0</v>
      </c>
      <c r="BL84" s="173">
        <f t="shared" si="53"/>
        <v>0</v>
      </c>
      <c r="BM84" s="173">
        <f t="shared" si="53"/>
        <v>0</v>
      </c>
      <c r="BN84" s="173">
        <f t="shared" si="53"/>
        <v>0</v>
      </c>
      <c r="BO84" s="173">
        <f t="shared" si="53"/>
        <v>0</v>
      </c>
      <c r="BP84" s="173">
        <f t="shared" si="53"/>
        <v>0</v>
      </c>
      <c r="BQ84" s="173">
        <f t="shared" si="53"/>
        <v>0</v>
      </c>
      <c r="BR84" s="173">
        <f t="shared" si="53"/>
        <v>0</v>
      </c>
      <c r="BS84" s="173">
        <f t="shared" si="53"/>
        <v>0</v>
      </c>
      <c r="BZ84" s="19" t="s">
        <v>824</v>
      </c>
      <c r="CB84" s="173">
        <f>COUNTIF(CB$71:CB$80,12)</f>
        <v>0</v>
      </c>
      <c r="CC84" s="173">
        <f t="shared" ref="CC84:CY84" si="54">COUNTIF(CC$71:CC$80,12)</f>
        <v>0</v>
      </c>
      <c r="CD84" s="173">
        <f t="shared" si="54"/>
        <v>0</v>
      </c>
      <c r="CE84" s="173">
        <f t="shared" si="54"/>
        <v>0</v>
      </c>
      <c r="CF84" s="173">
        <f t="shared" si="54"/>
        <v>0</v>
      </c>
      <c r="CG84" s="173">
        <f t="shared" si="54"/>
        <v>0</v>
      </c>
      <c r="CH84" s="173">
        <f t="shared" si="54"/>
        <v>0</v>
      </c>
      <c r="CI84" s="173">
        <f t="shared" si="54"/>
        <v>0</v>
      </c>
      <c r="CJ84" s="173">
        <f t="shared" si="54"/>
        <v>0</v>
      </c>
      <c r="CK84" s="173">
        <f t="shared" si="54"/>
        <v>0</v>
      </c>
      <c r="CL84" s="173">
        <f t="shared" si="54"/>
        <v>0</v>
      </c>
      <c r="CM84" s="173">
        <f t="shared" si="54"/>
        <v>0</v>
      </c>
      <c r="CN84" s="173">
        <f t="shared" si="54"/>
        <v>0</v>
      </c>
      <c r="CO84" s="173">
        <f t="shared" si="54"/>
        <v>0</v>
      </c>
      <c r="CP84" s="173">
        <f t="shared" si="54"/>
        <v>0</v>
      </c>
      <c r="CQ84" s="173">
        <f t="shared" si="54"/>
        <v>0</v>
      </c>
      <c r="CR84" s="173">
        <f t="shared" si="54"/>
        <v>0</v>
      </c>
      <c r="CS84" s="173">
        <f t="shared" si="54"/>
        <v>0</v>
      </c>
      <c r="CT84" s="173">
        <f t="shared" si="54"/>
        <v>0</v>
      </c>
      <c r="CU84" s="173">
        <f t="shared" si="54"/>
        <v>0</v>
      </c>
      <c r="CV84" s="173">
        <f t="shared" si="54"/>
        <v>0</v>
      </c>
      <c r="CW84" s="173">
        <f t="shared" si="54"/>
        <v>0</v>
      </c>
      <c r="CX84" s="173">
        <f t="shared" si="54"/>
        <v>0</v>
      </c>
      <c r="CY84" s="173">
        <f t="shared" si="54"/>
        <v>0</v>
      </c>
      <c r="DC84" s="19" t="s">
        <v>824</v>
      </c>
      <c r="DE84" s="173">
        <f>COUNTIF(DE$71:DE$80,12)</f>
        <v>0</v>
      </c>
      <c r="DF84" s="173">
        <f t="shared" ref="DF84:EB84" si="55">COUNTIF(DF$71:DF$80,12)</f>
        <v>0</v>
      </c>
      <c r="DG84" s="173">
        <f t="shared" si="55"/>
        <v>0</v>
      </c>
      <c r="DH84" s="173">
        <f t="shared" si="55"/>
        <v>0</v>
      </c>
      <c r="DI84" s="173">
        <f t="shared" si="55"/>
        <v>0</v>
      </c>
      <c r="DJ84" s="173">
        <f t="shared" si="55"/>
        <v>0</v>
      </c>
      <c r="DK84" s="173">
        <f t="shared" si="55"/>
        <v>0</v>
      </c>
      <c r="DL84" s="173">
        <f t="shared" si="55"/>
        <v>0</v>
      </c>
      <c r="DM84" s="173">
        <f t="shared" si="55"/>
        <v>0</v>
      </c>
      <c r="DN84" s="173">
        <f t="shared" si="55"/>
        <v>0</v>
      </c>
      <c r="DO84" s="173">
        <f t="shared" si="55"/>
        <v>0</v>
      </c>
      <c r="DP84" s="173">
        <f t="shared" si="55"/>
        <v>0</v>
      </c>
      <c r="DQ84" s="173">
        <f t="shared" si="55"/>
        <v>0</v>
      </c>
      <c r="DR84" s="173">
        <f t="shared" si="55"/>
        <v>0</v>
      </c>
      <c r="DS84" s="173">
        <f t="shared" si="55"/>
        <v>0</v>
      </c>
      <c r="DT84" s="173">
        <f t="shared" si="55"/>
        <v>0</v>
      </c>
      <c r="DU84" s="173">
        <f t="shared" si="55"/>
        <v>0</v>
      </c>
      <c r="DV84" s="173">
        <f t="shared" si="55"/>
        <v>0</v>
      </c>
      <c r="DW84" s="173">
        <f t="shared" si="55"/>
        <v>0</v>
      </c>
      <c r="DX84" s="173">
        <f t="shared" si="55"/>
        <v>0</v>
      </c>
      <c r="DY84" s="173">
        <f t="shared" si="55"/>
        <v>0</v>
      </c>
      <c r="DZ84" s="173">
        <f t="shared" si="55"/>
        <v>0</v>
      </c>
      <c r="EA84" s="173">
        <f t="shared" si="55"/>
        <v>0</v>
      </c>
      <c r="EB84" s="173">
        <f t="shared" si="55"/>
        <v>0</v>
      </c>
    </row>
    <row r="85" spans="1:132" x14ac:dyDescent="0.25">
      <c r="A85" s="23"/>
      <c r="B85" s="176" t="s">
        <v>825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8" t="s">
        <v>747</v>
      </c>
      <c r="AT85" s="40" t="s">
        <v>826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22</v>
      </c>
      <c r="BB85" s="62">
        <f t="shared" si="56"/>
        <v>22</v>
      </c>
      <c r="BC85" s="62">
        <f t="shared" si="56"/>
        <v>22</v>
      </c>
      <c r="BD85" s="62">
        <f t="shared" si="56"/>
        <v>22</v>
      </c>
      <c r="BE85" s="62">
        <f t="shared" si="56"/>
        <v>22</v>
      </c>
      <c r="BF85" s="62">
        <f t="shared" si="56"/>
        <v>22</v>
      </c>
      <c r="BG85" s="62">
        <f t="shared" si="56"/>
        <v>22</v>
      </c>
      <c r="BH85" s="62">
        <f t="shared" si="56"/>
        <v>22</v>
      </c>
      <c r="BI85" s="62">
        <f t="shared" si="56"/>
        <v>22</v>
      </c>
      <c r="BJ85" s="62">
        <f t="shared" si="56"/>
        <v>22</v>
      </c>
      <c r="BK85" s="62">
        <f t="shared" si="56"/>
        <v>22</v>
      </c>
      <c r="BL85" s="62">
        <f t="shared" si="56"/>
        <v>22</v>
      </c>
      <c r="BM85" s="62">
        <f t="shared" si="56"/>
        <v>22</v>
      </c>
      <c r="BN85" s="62">
        <f t="shared" si="56"/>
        <v>22</v>
      </c>
      <c r="BO85" s="62">
        <f t="shared" si="56"/>
        <v>22</v>
      </c>
      <c r="BP85" s="62">
        <f t="shared" si="56"/>
        <v>23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826</v>
      </c>
      <c r="CB85" s="62">
        <f>IF(CB81&gt;0,23,IF(CB82&gt;0,13,IF(CB83&gt;0,22,IF(CB84&gt;0,12,0))))</f>
        <v>23</v>
      </c>
      <c r="CC85" s="62">
        <f t="shared" ref="CC85:CY85" si="57">IF(CC81&gt;0,23,IF(CC82&gt;0,13,IF(CC83&gt;0,22,IF(CC84&gt;0,12,0))))</f>
        <v>23</v>
      </c>
      <c r="CD85" s="62">
        <f t="shared" si="57"/>
        <v>23</v>
      </c>
      <c r="CE85" s="62">
        <f t="shared" si="57"/>
        <v>23</v>
      </c>
      <c r="CF85" s="62">
        <f t="shared" si="57"/>
        <v>23</v>
      </c>
      <c r="CG85" s="62">
        <f t="shared" si="57"/>
        <v>23</v>
      </c>
      <c r="CH85" s="62">
        <f t="shared" si="57"/>
        <v>22</v>
      </c>
      <c r="CI85" s="62">
        <f t="shared" si="57"/>
        <v>22</v>
      </c>
      <c r="CJ85" s="62">
        <f t="shared" si="57"/>
        <v>22</v>
      </c>
      <c r="CK85" s="62">
        <f t="shared" si="57"/>
        <v>22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22</v>
      </c>
      <c r="CU85" s="62">
        <f t="shared" si="57"/>
        <v>22</v>
      </c>
      <c r="CV85" s="62">
        <f t="shared" si="57"/>
        <v>22</v>
      </c>
      <c r="CW85" s="62">
        <f t="shared" si="57"/>
        <v>22</v>
      </c>
      <c r="CX85" s="62">
        <f t="shared" si="57"/>
        <v>23</v>
      </c>
      <c r="CY85" s="62">
        <f t="shared" si="57"/>
        <v>23</v>
      </c>
      <c r="DC85" s="40" t="s">
        <v>826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6" t="s">
        <v>827</v>
      </c>
      <c r="B86" s="177">
        <f>IF(Scénario!K94=0,0,Scénario!K94/Scénario!K56*Scénario!K54)</f>
        <v>1.4000000000000001</v>
      </c>
      <c r="C86" s="176"/>
      <c r="D86" s="176"/>
      <c r="E86" s="176"/>
      <c r="F86" s="173">
        <f>B86*[1]Eco!$B$108*[1]Eco!$B$109</f>
        <v>336.00000000000006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8" t="s">
        <v>747</v>
      </c>
      <c r="AT86" s="40" t="s">
        <v>828</v>
      </c>
      <c r="AV86" s="190">
        <f>IF(AV85=0,0,HLOOKUP(AV85,[1]Trav!$C$39:$G$59,$AU$105))</f>
        <v>42</v>
      </c>
      <c r="AW86" s="190">
        <f>IF(AW85=0,0,HLOOKUP(AW85,[1]Trav!$C$39:$G$59,$AU$105))</f>
        <v>42</v>
      </c>
      <c r="AX86" s="190">
        <f>IF(AX85=0,0,HLOOKUP(AX85,[1]Trav!$C$39:$G$59,$AU$105))</f>
        <v>42</v>
      </c>
      <c r="AY86" s="190">
        <f>IF(AY85=0,0,HLOOKUP(AY85,[1]Trav!$C$39:$G$59,$AU$105))</f>
        <v>42</v>
      </c>
      <c r="AZ86" s="190">
        <f>IF(AZ85=0,0,HLOOKUP(AZ85,[1]Trav!$C$39:$G$59,$AU$105))</f>
        <v>42</v>
      </c>
      <c r="BA86" s="190">
        <f>IF(BA85=0,0,HLOOKUP(BA85,[1]Trav!$C$39:$G$59,$AU$105))</f>
        <v>21</v>
      </c>
      <c r="BB86" s="190">
        <f>IF(BB85=0,0,HLOOKUP(BB85,[1]Trav!$C$39:$G$59,$AU$105))</f>
        <v>21</v>
      </c>
      <c r="BC86" s="190">
        <f>IF(BC85=0,0,HLOOKUP(BC85,[1]Trav!$C$39:$G$59,$AU$105))</f>
        <v>21</v>
      </c>
      <c r="BD86" s="190">
        <f>IF(BD85=0,0,HLOOKUP(BD85,[1]Trav!$C$39:$G$59,$AU$105))</f>
        <v>21</v>
      </c>
      <c r="BE86" s="190">
        <f>IF(BE85=0,0,HLOOKUP(BE85,[1]Trav!$C$39:$G$59,$AU$105))</f>
        <v>21</v>
      </c>
      <c r="BF86" s="190">
        <f>IF(BF85=0,0,HLOOKUP(BF85,[1]Trav!$C$39:$G$59,$AU$105))</f>
        <v>21</v>
      </c>
      <c r="BG86" s="190">
        <f>IF(BG85=0,0,HLOOKUP(BG85,[1]Trav!$C$39:$G$59,$AU$105))</f>
        <v>21</v>
      </c>
      <c r="BH86" s="190">
        <f>IF(BH85=0,0,HLOOKUP(BH85,[1]Trav!$C$39:$G$59,$AU$105))</f>
        <v>21</v>
      </c>
      <c r="BI86" s="190">
        <f>IF(BI85=0,0,HLOOKUP(BI85,[1]Trav!$C$39:$G$59,$AU$105))</f>
        <v>21</v>
      </c>
      <c r="BJ86" s="190">
        <f>IF(BJ85=0,0,HLOOKUP(BJ85,[1]Trav!$C$39:$G$59,$AU$105))</f>
        <v>21</v>
      </c>
      <c r="BK86" s="190">
        <f>IF(BK85=0,0,HLOOKUP(BK85,[1]Trav!$C$39:$G$59,$AU$105))</f>
        <v>21</v>
      </c>
      <c r="BL86" s="190">
        <f>IF(BL85=0,0,HLOOKUP(BL85,[1]Trav!$C$39:$G$59,$AU$105))</f>
        <v>21</v>
      </c>
      <c r="BM86" s="190">
        <f>IF(BM85=0,0,HLOOKUP(BM85,[1]Trav!$C$39:$G$59,$AU$105))</f>
        <v>21</v>
      </c>
      <c r="BN86" s="190">
        <f>IF(BN85=0,0,HLOOKUP(BN85,[1]Trav!$C$39:$G$59,$AU$105))</f>
        <v>21</v>
      </c>
      <c r="BO86" s="190">
        <f>IF(BO85=0,0,HLOOKUP(BO85,[1]Trav!$C$39:$G$59,$AU$105))</f>
        <v>21</v>
      </c>
      <c r="BP86" s="190">
        <f>IF(BP85=0,0,HLOOKUP(BP85,[1]Trav!$C$39:$G$59,$AU$105))</f>
        <v>42</v>
      </c>
      <c r="BQ86" s="190">
        <f>IF(BQ85=0,0,HLOOKUP(BQ85,[1]Trav!$C$39:$G$59,$AU$105))</f>
        <v>42</v>
      </c>
      <c r="BR86" s="190">
        <f>IF(BR85=0,0,HLOOKUP(BR85,[1]Trav!$C$39:$G$59,$AU$105))</f>
        <v>42</v>
      </c>
      <c r="BS86" s="190">
        <f>IF(BS85=0,0,HLOOKUP(BS85,[1]Trav!$C$39:$G$59,$AU$105))</f>
        <v>42</v>
      </c>
      <c r="BZ86" s="40" t="s">
        <v>828</v>
      </c>
      <c r="CB86" s="190">
        <f>IF(CB85=0,0,HLOOKUP(CB85,[1]Trav!$C$39:$G$59,$AU$105))</f>
        <v>42</v>
      </c>
      <c r="CC86" s="190">
        <f>IF(CC85=0,0,HLOOKUP(CC85,[1]Trav!$C$39:$G$59,$AU$105))</f>
        <v>42</v>
      </c>
      <c r="CD86" s="190">
        <f>IF(CD85=0,0,HLOOKUP(CD85,[1]Trav!$C$39:$G$59,$AU$105))</f>
        <v>42</v>
      </c>
      <c r="CE86" s="190">
        <f>IF(CE85=0,0,HLOOKUP(CE85,[1]Trav!$C$39:$G$59,$AU$105))</f>
        <v>42</v>
      </c>
      <c r="CF86" s="190">
        <f>IF(CF85=0,0,HLOOKUP(CF85,[1]Trav!$C$39:$G$59,$AU$105))</f>
        <v>42</v>
      </c>
      <c r="CG86" s="190">
        <f>IF(CG85=0,0,HLOOKUP(CG85,[1]Trav!$C$39:$G$59,$AU$105))</f>
        <v>42</v>
      </c>
      <c r="CH86" s="190">
        <f>IF(CH85=0,0,HLOOKUP(CH85,[1]Trav!$C$39:$G$59,$AU$105))</f>
        <v>21</v>
      </c>
      <c r="CI86" s="190">
        <f>IF(CI85=0,0,HLOOKUP(CI85,[1]Trav!$C$39:$G$59,$AU$105))</f>
        <v>21</v>
      </c>
      <c r="CJ86" s="190">
        <f>IF(CJ85=0,0,HLOOKUP(CJ85,[1]Trav!$C$39:$G$59,$AU$105))</f>
        <v>21</v>
      </c>
      <c r="CK86" s="190">
        <f>IF(CK85=0,0,HLOOKUP(CK85,[1]Trav!$C$39:$G$59,$AU$105))</f>
        <v>21</v>
      </c>
      <c r="CL86" s="190">
        <f>IF(CL85=0,0,HLOOKUP(CL85,[1]Trav!$C$39:$G$59,$AU$105))</f>
        <v>0</v>
      </c>
      <c r="CM86" s="190">
        <f>IF(CM85=0,0,HLOOKUP(CM85,[1]Trav!$C$39:$G$59,$AU$105))</f>
        <v>0</v>
      </c>
      <c r="CN86" s="190">
        <f>IF(CN85=0,0,HLOOKUP(CN85,[1]Trav!$C$39:$G$59,$AU$105))</f>
        <v>0</v>
      </c>
      <c r="CO86" s="190">
        <f>IF(CO85=0,0,HLOOKUP(CO85,[1]Trav!$C$39:$G$59,$AU$105))</f>
        <v>0</v>
      </c>
      <c r="CP86" s="190">
        <f>IF(CP85=0,0,HLOOKUP(CP85,[1]Trav!$C$39:$G$59,$AU$105))</f>
        <v>0</v>
      </c>
      <c r="CQ86" s="190">
        <f>IF(CQ85=0,0,HLOOKUP(CQ85,[1]Trav!$C$39:$G$59,$AU$105))</f>
        <v>0</v>
      </c>
      <c r="CR86" s="190">
        <f>IF(CR85=0,0,HLOOKUP(CR85,[1]Trav!$C$39:$G$59,$AU$105))</f>
        <v>0</v>
      </c>
      <c r="CS86" s="190">
        <f>IF(CS85=0,0,HLOOKUP(CS85,[1]Trav!$C$39:$G$59,$AU$105))</f>
        <v>0</v>
      </c>
      <c r="CT86" s="190">
        <f>IF(CT85=0,0,HLOOKUP(CT85,[1]Trav!$C$39:$G$59,$AU$105))</f>
        <v>21</v>
      </c>
      <c r="CU86" s="190">
        <f>IF(CU85=0,0,HLOOKUP(CU85,[1]Trav!$C$39:$G$59,$AU$105))</f>
        <v>21</v>
      </c>
      <c r="CV86" s="190">
        <f>IF(CV85=0,0,HLOOKUP(CV85,[1]Trav!$C$39:$G$59,$AU$105))</f>
        <v>21</v>
      </c>
      <c r="CW86" s="190">
        <f>IF(CW85=0,0,HLOOKUP(CW85,[1]Trav!$C$39:$G$59,$AU$105))</f>
        <v>21</v>
      </c>
      <c r="CX86" s="190">
        <f>IF(CX85=0,0,HLOOKUP(CX85,[1]Trav!$C$39:$G$59,$AU$105))</f>
        <v>42</v>
      </c>
      <c r="CY86" s="190">
        <f>IF(CY85=0,0,HLOOKUP(CY85,[1]Trav!$C$39:$G$59,$AU$105))</f>
        <v>42</v>
      </c>
      <c r="DC86" s="40" t="s">
        <v>828</v>
      </c>
      <c r="DE86" s="190">
        <f>IF(DE85=0,0,HLOOKUP(DE85,[1]Trav!$C$39:$G$59,$AU$105))</f>
        <v>0</v>
      </c>
      <c r="DF86" s="190">
        <f>IF(DF85=0,0,HLOOKUP(DF85,[1]Trav!$C$39:$G$59,$AU$105))</f>
        <v>0</v>
      </c>
      <c r="DG86" s="190">
        <f>IF(DG85=0,0,HLOOKUP(DG85,[1]Trav!$C$39:$G$59,$AU$105))</f>
        <v>0</v>
      </c>
      <c r="DH86" s="190">
        <f>IF(DH85=0,0,HLOOKUP(DH85,[1]Trav!$C$39:$G$59,$AU$105))</f>
        <v>0</v>
      </c>
      <c r="DI86" s="190">
        <f>IF(DI85=0,0,HLOOKUP(DI85,[1]Trav!$C$39:$G$59,$AU$105))</f>
        <v>0</v>
      </c>
      <c r="DJ86" s="190">
        <f>IF(DJ85=0,0,HLOOKUP(DJ85,[1]Trav!$C$39:$G$59,$AU$105))</f>
        <v>0</v>
      </c>
      <c r="DK86" s="190">
        <f>IF(DK85=0,0,HLOOKUP(DK85,[1]Trav!$C$39:$G$59,$AU$105))</f>
        <v>0</v>
      </c>
      <c r="DL86" s="190">
        <f>IF(DL85=0,0,HLOOKUP(DL85,[1]Trav!$C$39:$G$59,$AU$105))</f>
        <v>0</v>
      </c>
      <c r="DM86" s="190">
        <f>IF(DM85=0,0,HLOOKUP(DM85,[1]Trav!$C$39:$G$59,$AU$105))</f>
        <v>0</v>
      </c>
      <c r="DN86" s="190">
        <f>IF(DN85=0,0,HLOOKUP(DN85,[1]Trav!$C$39:$G$59,$AU$105))</f>
        <v>0</v>
      </c>
      <c r="DO86" s="190">
        <f>IF(DO85=0,0,HLOOKUP(DO85,[1]Trav!$C$39:$G$59,$AU$105))</f>
        <v>0</v>
      </c>
      <c r="DP86" s="190">
        <f>IF(DP85=0,0,HLOOKUP(DP85,[1]Trav!$C$39:$G$59,$AU$105))</f>
        <v>0</v>
      </c>
      <c r="DQ86" s="190">
        <f>IF(DQ85=0,0,HLOOKUP(DQ85,[1]Trav!$C$39:$G$59,$AU$105))</f>
        <v>0</v>
      </c>
      <c r="DR86" s="190">
        <f>IF(DR85=0,0,HLOOKUP(DR85,[1]Trav!$C$39:$G$59,$AU$105))</f>
        <v>0</v>
      </c>
      <c r="DS86" s="190">
        <f>IF(DS85=0,0,HLOOKUP(DS85,[1]Trav!$C$39:$G$59,$AU$105))</f>
        <v>0</v>
      </c>
      <c r="DT86" s="190">
        <f>IF(DT85=0,0,HLOOKUP(DT85,[1]Trav!$C$39:$G$59,$AU$105))</f>
        <v>0</v>
      </c>
      <c r="DU86" s="190">
        <f>IF(DU85=0,0,HLOOKUP(DU85,[1]Trav!$C$39:$G$59,$AU$105))</f>
        <v>0</v>
      </c>
      <c r="DV86" s="190">
        <f>IF(DV85=0,0,HLOOKUP(DV85,[1]Trav!$C$39:$G$59,$AU$105))</f>
        <v>0</v>
      </c>
      <c r="DW86" s="190">
        <f>IF(DW85=0,0,HLOOKUP(DW85,[1]Trav!$C$39:$G$59,$AU$105))</f>
        <v>0</v>
      </c>
      <c r="DX86" s="190">
        <f>IF(DX85=0,0,HLOOKUP(DX85,[1]Trav!$C$39:$G$59,$AU$105))</f>
        <v>0</v>
      </c>
      <c r="DY86" s="190">
        <f>IF(DY85=0,0,HLOOKUP(DY85,[1]Trav!$C$39:$G$59,$AU$105))</f>
        <v>0</v>
      </c>
      <c r="DZ86" s="190">
        <f>IF(DZ85=0,0,HLOOKUP(DZ85,[1]Trav!$C$39:$G$59,$AU$105))</f>
        <v>0</v>
      </c>
      <c r="EA86" s="190">
        <f>IF(EA85=0,0,HLOOKUP(EA85,[1]Trav!$C$39:$G$59,$AU$105))</f>
        <v>0</v>
      </c>
      <c r="EB86" s="190">
        <f>IF(EB85=0,0,HLOOKUP(EB85,[1]Trav!$C$39:$G$59,$AU$105))</f>
        <v>0</v>
      </c>
    </row>
    <row r="87" spans="1:132" x14ac:dyDescent="0.25">
      <c r="A87" s="176" t="s">
        <v>1388</v>
      </c>
      <c r="B87" s="173">
        <f>Scénario!K76</f>
        <v>0</v>
      </c>
      <c r="C87" s="5"/>
      <c r="F87" s="173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8" t="s">
        <v>747</v>
      </c>
      <c r="AT87" s="40" t="s">
        <v>829</v>
      </c>
      <c r="AV87" s="190">
        <f>IF(AV85=0,0,HLOOKUP(AV85,[1]Trav!$C$62:$G$82,$AU$105))</f>
        <v>1.75</v>
      </c>
      <c r="AW87" s="190">
        <f>IF(AW85=0,0,HLOOKUP(AW85,[1]Trav!$C$62:$G$82,$AU$105))</f>
        <v>1.75</v>
      </c>
      <c r="AX87" s="190">
        <f>IF(AX85=0,0,HLOOKUP(AX85,[1]Trav!$C$62:$G$82,$AU$105))</f>
        <v>1.75</v>
      </c>
      <c r="AY87" s="190">
        <f>IF(AY85=0,0,HLOOKUP(AY85,[1]Trav!$C$62:$G$82,$AU$105))</f>
        <v>1.75</v>
      </c>
      <c r="AZ87" s="190">
        <f>IF(AZ85=0,0,HLOOKUP(AZ85,[1]Trav!$C$62:$G$82,$AU$105))</f>
        <v>1.75</v>
      </c>
      <c r="BA87" s="190">
        <f>IF(BA85=0,0,HLOOKUP(BA85,[1]Trav!$C$62:$G$82,$AU$105))</f>
        <v>1.75</v>
      </c>
      <c r="BB87" s="190">
        <f>IF(BB85=0,0,HLOOKUP(BB85,[1]Trav!$C$62:$G$82,$AU$105))</f>
        <v>1.75</v>
      </c>
      <c r="BC87" s="190">
        <f>IF(BC85=0,0,HLOOKUP(BC85,[1]Trav!$C$62:$G$82,$AU$105))</f>
        <v>1.75</v>
      </c>
      <c r="BD87" s="190">
        <f>IF(BD85=0,0,HLOOKUP(BD85,[1]Trav!$C$62:$G$82,$AU$105))</f>
        <v>1.75</v>
      </c>
      <c r="BE87" s="190">
        <f>IF(BE85=0,0,HLOOKUP(BE85,[1]Trav!$C$62:$G$82,$AU$105))</f>
        <v>1.75</v>
      </c>
      <c r="BF87" s="190">
        <f>IF(BF85=0,0,HLOOKUP(BF85,[1]Trav!$C$62:$G$82,$AU$105))</f>
        <v>1.75</v>
      </c>
      <c r="BG87" s="190">
        <f>IF(BG85=0,0,HLOOKUP(BG85,[1]Trav!$C$62:$G$82,$AU$105))</f>
        <v>1.75</v>
      </c>
      <c r="BH87" s="190">
        <f>IF(BH85=0,0,HLOOKUP(BH85,[1]Trav!$C$62:$G$82,$AU$105))</f>
        <v>1.75</v>
      </c>
      <c r="BI87" s="190">
        <f>IF(BI85=0,0,HLOOKUP(BI85,[1]Trav!$C$62:$G$82,$AU$105))</f>
        <v>1.75</v>
      </c>
      <c r="BJ87" s="190">
        <f>IF(BJ85=0,0,HLOOKUP(BJ85,[1]Trav!$C$62:$G$82,$AU$105))</f>
        <v>1.75</v>
      </c>
      <c r="BK87" s="190">
        <f>IF(BK85=0,0,HLOOKUP(BK85,[1]Trav!$C$62:$G$82,$AU$105))</f>
        <v>1.75</v>
      </c>
      <c r="BL87" s="190">
        <f>IF(BL85=0,0,HLOOKUP(BL85,[1]Trav!$C$62:$G$82,$AU$105))</f>
        <v>1.75</v>
      </c>
      <c r="BM87" s="190">
        <f>IF(BM85=0,0,HLOOKUP(BM85,[1]Trav!$C$62:$G$82,$AU$105))</f>
        <v>1.75</v>
      </c>
      <c r="BN87" s="190">
        <f>IF(BN85=0,0,HLOOKUP(BN85,[1]Trav!$C$62:$G$82,$AU$105))</f>
        <v>1.75</v>
      </c>
      <c r="BO87" s="190">
        <f>IF(BO85=0,0,HLOOKUP(BO85,[1]Trav!$C$62:$G$82,$AU$105))</f>
        <v>1.75</v>
      </c>
      <c r="BP87" s="190">
        <f>IF(BP85=0,0,HLOOKUP(BP85,[1]Trav!$C$62:$G$82,$AU$105))</f>
        <v>1.75</v>
      </c>
      <c r="BQ87" s="190">
        <f>IF(BQ85=0,0,HLOOKUP(BQ85,[1]Trav!$C$62:$G$82,$AU$105))</f>
        <v>1.75</v>
      </c>
      <c r="BR87" s="190">
        <f>IF(BR85=0,0,HLOOKUP(BR85,[1]Trav!$C$62:$G$82,$AU$105))</f>
        <v>1.75</v>
      </c>
      <c r="BS87" s="190">
        <f>IF(BS85=0,0,HLOOKUP(BS85,[1]Trav!$C$62:$G$82,$AU$105))</f>
        <v>1.75</v>
      </c>
      <c r="BZ87" s="40" t="s">
        <v>829</v>
      </c>
      <c r="CB87" s="190">
        <f>IF(CB85=0,0,HLOOKUP(CB85,[1]Trav!$C$62:$G$82,$AU$105))</f>
        <v>1.75</v>
      </c>
      <c r="CC87" s="190">
        <f>IF(CC85=0,0,HLOOKUP(CC85,[1]Trav!$C$62:$G$82,$AU$105))</f>
        <v>1.75</v>
      </c>
      <c r="CD87" s="190">
        <f>IF(CD85=0,0,HLOOKUP(CD85,[1]Trav!$C$62:$G$82,$AU$105))</f>
        <v>1.75</v>
      </c>
      <c r="CE87" s="190">
        <f>IF(CE85=0,0,HLOOKUP(CE85,[1]Trav!$C$62:$G$82,$AU$105))</f>
        <v>1.75</v>
      </c>
      <c r="CF87" s="190">
        <f>IF(CF85=0,0,HLOOKUP(CF85,[1]Trav!$C$62:$G$82,$AU$105))</f>
        <v>1.75</v>
      </c>
      <c r="CG87" s="190">
        <f>IF(CG85=0,0,HLOOKUP(CG85,[1]Trav!$C$62:$G$82,$AU$105))</f>
        <v>1.75</v>
      </c>
      <c r="CH87" s="190">
        <f>IF(CH85=0,0,HLOOKUP(CH85,[1]Trav!$C$62:$G$82,$AU$105))</f>
        <v>1.75</v>
      </c>
      <c r="CI87" s="190">
        <f>IF(CI85=0,0,HLOOKUP(CI85,[1]Trav!$C$62:$G$82,$AU$105))</f>
        <v>1.75</v>
      </c>
      <c r="CJ87" s="190">
        <f>IF(CJ85=0,0,HLOOKUP(CJ85,[1]Trav!$C$62:$G$82,$AU$105))</f>
        <v>1.75</v>
      </c>
      <c r="CK87" s="190">
        <f>IF(CK85=0,0,HLOOKUP(CK85,[1]Trav!$C$62:$G$82,$AU$105))</f>
        <v>1.75</v>
      </c>
      <c r="CL87" s="190">
        <f>IF(CL85=0,0,HLOOKUP(CL85,[1]Trav!$C$62:$G$82,$AU$105))</f>
        <v>0</v>
      </c>
      <c r="CM87" s="190">
        <f>IF(CM85=0,0,HLOOKUP(CM85,[1]Trav!$C$62:$G$82,$AU$105))</f>
        <v>0</v>
      </c>
      <c r="CN87" s="190">
        <f>IF(CN85=0,0,HLOOKUP(CN85,[1]Trav!$C$62:$G$82,$AU$105))</f>
        <v>0</v>
      </c>
      <c r="CO87" s="190">
        <f>IF(CO85=0,0,HLOOKUP(CO85,[1]Trav!$C$62:$G$82,$AU$105))</f>
        <v>0</v>
      </c>
      <c r="CP87" s="190">
        <f>IF(CP85=0,0,HLOOKUP(CP85,[1]Trav!$C$62:$G$82,$AU$105))</f>
        <v>0</v>
      </c>
      <c r="CQ87" s="190">
        <f>IF(CQ85=0,0,HLOOKUP(CQ85,[1]Trav!$C$62:$G$82,$AU$105))</f>
        <v>0</v>
      </c>
      <c r="CR87" s="190">
        <f>IF(CR85=0,0,HLOOKUP(CR85,[1]Trav!$C$62:$G$82,$AU$105))</f>
        <v>0</v>
      </c>
      <c r="CS87" s="190">
        <f>IF(CS85=0,0,HLOOKUP(CS85,[1]Trav!$C$62:$G$82,$AU$105))</f>
        <v>0</v>
      </c>
      <c r="CT87" s="190">
        <f>IF(CT85=0,0,HLOOKUP(CT85,[1]Trav!$C$62:$G$82,$AU$105))</f>
        <v>1.75</v>
      </c>
      <c r="CU87" s="190">
        <f>IF(CU85=0,0,HLOOKUP(CU85,[1]Trav!$C$62:$G$82,$AU$105))</f>
        <v>1.75</v>
      </c>
      <c r="CV87" s="190">
        <f>IF(CV85=0,0,HLOOKUP(CV85,[1]Trav!$C$62:$G$82,$AU$105))</f>
        <v>1.75</v>
      </c>
      <c r="CW87" s="190">
        <f>IF(CW85=0,0,HLOOKUP(CW85,[1]Trav!$C$62:$G$82,$AU$105))</f>
        <v>1.75</v>
      </c>
      <c r="CX87" s="190">
        <f>IF(CX85=0,0,HLOOKUP(CX85,[1]Trav!$C$62:$G$82,$AU$105))</f>
        <v>1.75</v>
      </c>
      <c r="CY87" s="190">
        <f>IF(CY85=0,0,HLOOKUP(CY85,[1]Trav!$C$62:$G$82,$AU$105))</f>
        <v>1.75</v>
      </c>
      <c r="DC87" s="40" t="s">
        <v>829</v>
      </c>
      <c r="DE87" s="190">
        <f>IF(DE85=0,0,HLOOKUP(DE85,[1]Trav!$C$62:$G$82,$AU$105))</f>
        <v>0</v>
      </c>
      <c r="DF87" s="190">
        <f>IF(DF85=0,0,HLOOKUP(DF85,[1]Trav!$C$62:$G$82,$AU$105))</f>
        <v>0</v>
      </c>
      <c r="DG87" s="190">
        <f>IF(DG85=0,0,HLOOKUP(DG85,[1]Trav!$C$62:$G$82,$AU$105))</f>
        <v>0</v>
      </c>
      <c r="DH87" s="190">
        <f>IF(DH85=0,0,HLOOKUP(DH85,[1]Trav!$C$62:$G$82,$AU$105))</f>
        <v>0</v>
      </c>
      <c r="DI87" s="190">
        <f>IF(DI85=0,0,HLOOKUP(DI85,[1]Trav!$C$62:$G$82,$AU$105))</f>
        <v>0</v>
      </c>
      <c r="DJ87" s="190">
        <f>IF(DJ85=0,0,HLOOKUP(DJ85,[1]Trav!$C$62:$G$82,$AU$105))</f>
        <v>0</v>
      </c>
      <c r="DK87" s="190">
        <f>IF(DK85=0,0,HLOOKUP(DK85,[1]Trav!$C$62:$G$82,$AU$105))</f>
        <v>0</v>
      </c>
      <c r="DL87" s="190">
        <f>IF(DL85=0,0,HLOOKUP(DL85,[1]Trav!$C$62:$G$82,$AU$105))</f>
        <v>0</v>
      </c>
      <c r="DM87" s="190">
        <f>IF(DM85=0,0,HLOOKUP(DM85,[1]Trav!$C$62:$G$82,$AU$105))</f>
        <v>0</v>
      </c>
      <c r="DN87" s="190">
        <f>IF(DN85=0,0,HLOOKUP(DN85,[1]Trav!$C$62:$G$82,$AU$105))</f>
        <v>0</v>
      </c>
      <c r="DO87" s="190">
        <f>IF(DO85=0,0,HLOOKUP(DO85,[1]Trav!$C$62:$G$82,$AU$105))</f>
        <v>0</v>
      </c>
      <c r="DP87" s="190">
        <f>IF(DP85=0,0,HLOOKUP(DP85,[1]Trav!$C$62:$G$82,$AU$105))</f>
        <v>0</v>
      </c>
      <c r="DQ87" s="190">
        <f>IF(DQ85=0,0,HLOOKUP(DQ85,[1]Trav!$C$62:$G$82,$AU$105))</f>
        <v>0</v>
      </c>
      <c r="DR87" s="190">
        <f>IF(DR85=0,0,HLOOKUP(DR85,[1]Trav!$C$62:$G$82,$AU$105))</f>
        <v>0</v>
      </c>
      <c r="DS87" s="190">
        <f>IF(DS85=0,0,HLOOKUP(DS85,[1]Trav!$C$62:$G$82,$AU$105))</f>
        <v>0</v>
      </c>
      <c r="DT87" s="190">
        <f>IF(DT85=0,0,HLOOKUP(DT85,[1]Trav!$C$62:$G$82,$AU$105))</f>
        <v>0</v>
      </c>
      <c r="DU87" s="190">
        <f>IF(DU85=0,0,HLOOKUP(DU85,[1]Trav!$C$62:$G$82,$AU$105))</f>
        <v>0</v>
      </c>
      <c r="DV87" s="190">
        <f>IF(DV85=0,0,HLOOKUP(DV85,[1]Trav!$C$62:$G$82,$AU$105))</f>
        <v>0</v>
      </c>
      <c r="DW87" s="190">
        <f>IF(DW85=0,0,HLOOKUP(DW85,[1]Trav!$C$62:$G$82,$AU$105))</f>
        <v>0</v>
      </c>
      <c r="DX87" s="190">
        <f>IF(DX85=0,0,HLOOKUP(DX85,[1]Trav!$C$62:$G$82,$AU$105))</f>
        <v>0</v>
      </c>
      <c r="DY87" s="190">
        <f>IF(DY85=0,0,HLOOKUP(DY85,[1]Trav!$C$62:$G$82,$AU$105))</f>
        <v>0</v>
      </c>
      <c r="DZ87" s="190">
        <f>IF(DZ85=0,0,HLOOKUP(DZ85,[1]Trav!$C$62:$G$82,$AU$105))</f>
        <v>0</v>
      </c>
      <c r="EA87" s="190">
        <f>IF(EA85=0,0,HLOOKUP(EA85,[1]Trav!$C$62:$G$82,$AU$105))</f>
        <v>0</v>
      </c>
      <c r="EB87" s="190">
        <f>IF(EB85=0,0,HLOOKUP(EB85,[1]Trav!$C$62:$G$82,$AU$105))</f>
        <v>0</v>
      </c>
    </row>
    <row r="88" spans="1:132" x14ac:dyDescent="0.25">
      <c r="A88" s="5"/>
      <c r="B88" s="5"/>
      <c r="C88" s="5"/>
      <c r="F88" s="172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830</v>
      </c>
      <c r="CB88" s="171"/>
      <c r="CC88" s="171"/>
      <c r="CD88" s="171"/>
      <c r="CE88" s="171"/>
      <c r="CF88" s="171"/>
      <c r="CG88" s="171"/>
      <c r="CH88" s="171"/>
      <c r="CI88" s="171"/>
      <c r="CJ88" s="171"/>
      <c r="CK88" s="171"/>
      <c r="CL88" s="171"/>
      <c r="CM88" s="171"/>
      <c r="CN88" s="171"/>
      <c r="CO88" s="171"/>
      <c r="CP88" s="171"/>
      <c r="CQ88" s="171"/>
      <c r="CR88" s="171"/>
      <c r="CS88" s="171"/>
      <c r="CT88" s="171"/>
      <c r="CU88" s="171"/>
      <c r="CV88" s="171"/>
      <c r="CW88" s="171"/>
      <c r="CX88" s="171"/>
      <c r="CY88" s="171"/>
      <c r="DB88" s="2"/>
      <c r="DE88" s="171"/>
      <c r="DF88" s="171"/>
      <c r="DG88" s="171"/>
      <c r="DH88" s="171"/>
      <c r="DI88" s="171"/>
      <c r="DJ88" s="171"/>
      <c r="DK88" s="171"/>
      <c r="DL88" s="171"/>
      <c r="DM88" s="171"/>
      <c r="DN88" s="171"/>
      <c r="DO88" s="171"/>
      <c r="DP88" s="171"/>
      <c r="DQ88" s="171"/>
      <c r="DR88" s="171"/>
      <c r="DS88" s="171"/>
      <c r="DT88" s="171"/>
      <c r="DU88" s="171"/>
      <c r="DV88" s="171"/>
      <c r="DW88" s="171"/>
      <c r="DX88" s="171"/>
      <c r="DY88" s="171"/>
      <c r="DZ88" s="171"/>
      <c r="EA88" s="171"/>
      <c r="EB88" s="171"/>
    </row>
    <row r="89" spans="1:132" x14ac:dyDescent="0.25">
      <c r="A89" s="5"/>
      <c r="B89" s="5"/>
      <c r="C89" s="5"/>
      <c r="F89" s="172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830</v>
      </c>
      <c r="BY89" s="2"/>
      <c r="BZ89" s="40"/>
      <c r="CB89" s="171"/>
      <c r="CC89" s="171"/>
      <c r="CD89" s="171"/>
      <c r="CE89" s="171"/>
      <c r="CF89" s="171"/>
      <c r="CG89" s="171"/>
      <c r="CH89" s="171"/>
      <c r="CI89" s="171"/>
      <c r="CJ89" s="171"/>
      <c r="CK89" s="171"/>
      <c r="CL89" s="171"/>
      <c r="CM89" s="171"/>
      <c r="CN89" s="171"/>
      <c r="CO89" s="171"/>
      <c r="CP89" s="171"/>
      <c r="CQ89" s="171"/>
      <c r="CR89" s="171"/>
      <c r="CS89" s="171"/>
      <c r="CT89" s="171"/>
      <c r="CU89" s="171"/>
      <c r="CV89" s="171"/>
      <c r="CW89" s="171"/>
      <c r="CX89" s="171"/>
      <c r="CY89" s="171"/>
      <c r="DB89" s="2"/>
      <c r="DC89" s="40" t="s">
        <v>830</v>
      </c>
      <c r="DE89" s="171"/>
      <c r="DF89" s="171"/>
      <c r="DG89" s="171"/>
      <c r="DH89" s="171"/>
      <c r="DI89" s="171"/>
      <c r="DJ89" s="171"/>
      <c r="DK89" s="171"/>
      <c r="DL89" s="171"/>
      <c r="DM89" s="171"/>
      <c r="DN89" s="171"/>
      <c r="DO89" s="171"/>
      <c r="DP89" s="171"/>
      <c r="DQ89" s="171"/>
      <c r="DR89" s="171"/>
      <c r="DS89" s="171"/>
      <c r="DT89" s="171"/>
      <c r="DU89" s="171"/>
      <c r="DV89" s="171"/>
      <c r="DW89" s="171"/>
      <c r="DX89" s="171"/>
      <c r="DY89" s="171"/>
      <c r="DZ89" s="171"/>
      <c r="EA89" s="171"/>
      <c r="EB89" s="171"/>
    </row>
    <row r="90" spans="1:132" x14ac:dyDescent="0.25">
      <c r="A90" s="23" t="s">
        <v>831</v>
      </c>
      <c r="B90" s="5" t="s">
        <v>832</v>
      </c>
      <c r="C90" s="5"/>
      <c r="D90" s="5" t="s">
        <v>833</v>
      </c>
      <c r="F90" s="172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9" t="str">
        <f t="shared" ref="AT90:AT93" si="59">AT26</f>
        <v>brebis</v>
      </c>
      <c r="AV90" s="173">
        <f t="shared" ref="AV90:BS95" si="60">IF(AV37&gt;1,AV4,0)</f>
        <v>264.3478260869565</v>
      </c>
      <c r="AW90" s="173">
        <f t="shared" si="60"/>
        <v>261.70434782608697</v>
      </c>
      <c r="AX90" s="173">
        <f t="shared" si="60"/>
        <v>259.06086956521739</v>
      </c>
      <c r="AY90" s="173">
        <f t="shared" si="60"/>
        <v>257.73913043478262</v>
      </c>
      <c r="AZ90" s="173">
        <f t="shared" si="60"/>
        <v>256.4173913043478</v>
      </c>
      <c r="BA90" s="173">
        <f t="shared" si="60"/>
        <v>255.09565217391304</v>
      </c>
      <c r="BB90" s="173">
        <f t="shared" si="60"/>
        <v>253.77391304347827</v>
      </c>
      <c r="BC90" s="173">
        <f t="shared" si="60"/>
        <v>252.45217391304348</v>
      </c>
      <c r="BD90" s="173">
        <f t="shared" si="60"/>
        <v>249.80869565217392</v>
      </c>
      <c r="BE90" s="173">
        <f t="shared" si="60"/>
        <v>255.09565217391304</v>
      </c>
      <c r="BF90" s="173">
        <f t="shared" si="60"/>
        <v>255.09565217391304</v>
      </c>
      <c r="BG90" s="173">
        <f t="shared" si="60"/>
        <v>0</v>
      </c>
      <c r="BH90" s="173">
        <f t="shared" si="60"/>
        <v>0</v>
      </c>
      <c r="BI90" s="173">
        <f t="shared" si="60"/>
        <v>0</v>
      </c>
      <c r="BJ90" s="173">
        <f t="shared" si="60"/>
        <v>0</v>
      </c>
      <c r="BK90" s="173">
        <f t="shared" si="60"/>
        <v>0</v>
      </c>
      <c r="BL90" s="173">
        <f t="shared" si="60"/>
        <v>0</v>
      </c>
      <c r="BM90" s="173">
        <f t="shared" si="60"/>
        <v>0</v>
      </c>
      <c r="BN90" s="173">
        <f t="shared" si="60"/>
        <v>255.09565217391304</v>
      </c>
      <c r="BO90" s="173">
        <f t="shared" si="60"/>
        <v>278.88695652173914</v>
      </c>
      <c r="BP90" s="173">
        <f t="shared" si="60"/>
        <v>278.88695652173914</v>
      </c>
      <c r="BQ90" s="173">
        <f t="shared" si="60"/>
        <v>264.3478260869565</v>
      </c>
      <c r="BR90" s="173">
        <f t="shared" si="60"/>
        <v>264.3478260869565</v>
      </c>
      <c r="BS90" s="173">
        <f t="shared" si="60"/>
        <v>264.3478260869565</v>
      </c>
      <c r="BY90" s="2"/>
      <c r="BZ90" s="189" t="str">
        <f t="shared" ref="BZ90:BZ93" si="61">BZ26</f>
        <v xml:space="preserve">vaches </v>
      </c>
      <c r="CB90" s="173">
        <f t="shared" ref="CB90:CY95" si="62">IF(CB37&gt;1,CB4,0)</f>
        <v>14.44</v>
      </c>
      <c r="CC90" s="173">
        <f t="shared" si="62"/>
        <v>14.44</v>
      </c>
      <c r="CD90" s="173">
        <f t="shared" si="62"/>
        <v>14.44</v>
      </c>
      <c r="CE90" s="173">
        <f t="shared" si="62"/>
        <v>14.44</v>
      </c>
      <c r="CF90" s="173">
        <f t="shared" si="62"/>
        <v>14.44</v>
      </c>
      <c r="CG90" s="173">
        <f t="shared" si="62"/>
        <v>14.44</v>
      </c>
      <c r="CH90" s="173">
        <f t="shared" si="62"/>
        <v>14.44</v>
      </c>
      <c r="CI90" s="173">
        <f t="shared" si="62"/>
        <v>14.44</v>
      </c>
      <c r="CJ90" s="173">
        <f t="shared" si="62"/>
        <v>14.44</v>
      </c>
      <c r="CK90" s="173">
        <f t="shared" si="62"/>
        <v>14.44</v>
      </c>
      <c r="CL90" s="173">
        <f t="shared" si="62"/>
        <v>0</v>
      </c>
      <c r="CM90" s="173">
        <f t="shared" si="62"/>
        <v>0</v>
      </c>
      <c r="CN90" s="173">
        <f t="shared" si="62"/>
        <v>0</v>
      </c>
      <c r="CO90" s="173">
        <f t="shared" si="62"/>
        <v>0</v>
      </c>
      <c r="CP90" s="173">
        <f t="shared" si="62"/>
        <v>0</v>
      </c>
      <c r="CQ90" s="173">
        <f t="shared" si="62"/>
        <v>0</v>
      </c>
      <c r="CR90" s="173">
        <f t="shared" si="62"/>
        <v>0</v>
      </c>
      <c r="CS90" s="173">
        <f t="shared" si="62"/>
        <v>0</v>
      </c>
      <c r="CT90" s="173">
        <f t="shared" si="62"/>
        <v>13.68</v>
      </c>
      <c r="CU90" s="173">
        <f t="shared" si="62"/>
        <v>13.68</v>
      </c>
      <c r="CV90" s="173">
        <f t="shared" si="62"/>
        <v>14.44</v>
      </c>
      <c r="CW90" s="173">
        <f t="shared" si="62"/>
        <v>14.44</v>
      </c>
      <c r="CX90" s="173">
        <f t="shared" si="62"/>
        <v>14.44</v>
      </c>
      <c r="CY90" s="173">
        <f t="shared" si="62"/>
        <v>14.44</v>
      </c>
      <c r="DB90" s="2"/>
      <c r="DC90" s="189" t="str">
        <f t="shared" ref="DC90:DC93" si="63">DC26</f>
        <v>lot1</v>
      </c>
      <c r="DE90" s="173">
        <f t="shared" ref="DE90:EB95" si="64">IF(DE37&gt;1,DE4,0)</f>
        <v>0</v>
      </c>
      <c r="DF90" s="173">
        <f t="shared" si="64"/>
        <v>0</v>
      </c>
      <c r="DG90" s="173">
        <f t="shared" si="64"/>
        <v>0</v>
      </c>
      <c r="DH90" s="173">
        <f t="shared" si="64"/>
        <v>0</v>
      </c>
      <c r="DI90" s="173">
        <f t="shared" si="64"/>
        <v>0</v>
      </c>
      <c r="DJ90" s="173">
        <f t="shared" si="64"/>
        <v>0</v>
      </c>
      <c r="DK90" s="173">
        <f t="shared" si="64"/>
        <v>0</v>
      </c>
      <c r="DL90" s="173">
        <f t="shared" si="64"/>
        <v>0</v>
      </c>
      <c r="DM90" s="173">
        <f t="shared" si="64"/>
        <v>0</v>
      </c>
      <c r="DN90" s="173">
        <f t="shared" si="64"/>
        <v>0</v>
      </c>
      <c r="DO90" s="173">
        <f t="shared" si="64"/>
        <v>0</v>
      </c>
      <c r="DP90" s="173">
        <f t="shared" si="64"/>
        <v>0</v>
      </c>
      <c r="DQ90" s="173">
        <f t="shared" si="64"/>
        <v>0</v>
      </c>
      <c r="DR90" s="173">
        <f t="shared" si="64"/>
        <v>0</v>
      </c>
      <c r="DS90" s="173">
        <f t="shared" si="64"/>
        <v>0</v>
      </c>
      <c r="DT90" s="173">
        <f t="shared" si="64"/>
        <v>0</v>
      </c>
      <c r="DU90" s="173">
        <f t="shared" si="64"/>
        <v>0</v>
      </c>
      <c r="DV90" s="173">
        <f t="shared" si="64"/>
        <v>0</v>
      </c>
      <c r="DW90" s="173">
        <f t="shared" si="64"/>
        <v>0</v>
      </c>
      <c r="DX90" s="173">
        <f t="shared" si="64"/>
        <v>0</v>
      </c>
      <c r="DY90" s="173">
        <f t="shared" si="64"/>
        <v>0</v>
      </c>
      <c r="DZ90" s="173">
        <f t="shared" si="64"/>
        <v>0</v>
      </c>
      <c r="EA90" s="173">
        <f t="shared" si="64"/>
        <v>0</v>
      </c>
      <c r="EB90" s="173">
        <f t="shared" si="64"/>
        <v>0</v>
      </c>
    </row>
    <row r="91" spans="1:132" x14ac:dyDescent="0.25">
      <c r="A91" s="5" t="s">
        <v>834</v>
      </c>
      <c r="B91" s="201">
        <f>F5+F9</f>
        <v>1792.0413913043478</v>
      </c>
      <c r="C91" s="5"/>
      <c r="D91" s="202">
        <f>B91/Troupeau!$B$17</f>
        <v>5.8948729977116701</v>
      </c>
      <c r="F91" s="172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9" t="str">
        <f t="shared" si="59"/>
        <v>vides</v>
      </c>
      <c r="AV91" s="173">
        <f t="shared" si="60"/>
        <v>25.11304347826087</v>
      </c>
      <c r="AW91" s="173">
        <f t="shared" si="60"/>
        <v>25.11304347826087</v>
      </c>
      <c r="AX91" s="173">
        <f t="shared" si="60"/>
        <v>25.11304347826087</v>
      </c>
      <c r="AY91" s="173">
        <f t="shared" si="60"/>
        <v>25.11304347826087</v>
      </c>
      <c r="AZ91" s="173">
        <f t="shared" si="60"/>
        <v>25.11304347826087</v>
      </c>
      <c r="BA91" s="173">
        <f t="shared" si="60"/>
        <v>25.11304347826087</v>
      </c>
      <c r="BB91" s="173">
        <f t="shared" si="60"/>
        <v>25.11304347826087</v>
      </c>
      <c r="BC91" s="173">
        <f t="shared" si="60"/>
        <v>25.11304347826087</v>
      </c>
      <c r="BD91" s="173">
        <f t="shared" si="60"/>
        <v>25.11304347826087</v>
      </c>
      <c r="BE91" s="173">
        <f t="shared" si="60"/>
        <v>0</v>
      </c>
      <c r="BF91" s="173">
        <f t="shared" si="60"/>
        <v>0</v>
      </c>
      <c r="BG91" s="173">
        <f t="shared" si="60"/>
        <v>0</v>
      </c>
      <c r="BH91" s="173">
        <f t="shared" si="60"/>
        <v>0</v>
      </c>
      <c r="BI91" s="173">
        <f t="shared" si="60"/>
        <v>0</v>
      </c>
      <c r="BJ91" s="173">
        <f t="shared" si="60"/>
        <v>0</v>
      </c>
      <c r="BK91" s="173">
        <f t="shared" si="60"/>
        <v>0</v>
      </c>
      <c r="BL91" s="173">
        <f t="shared" si="60"/>
        <v>0</v>
      </c>
      <c r="BM91" s="173">
        <f t="shared" si="60"/>
        <v>0</v>
      </c>
      <c r="BN91" s="173">
        <f t="shared" si="60"/>
        <v>0</v>
      </c>
      <c r="BO91" s="173">
        <f t="shared" si="60"/>
        <v>25.11304347826087</v>
      </c>
      <c r="BP91" s="173">
        <f t="shared" si="60"/>
        <v>25.11304347826087</v>
      </c>
      <c r="BQ91" s="173">
        <f t="shared" si="60"/>
        <v>25.11304347826087</v>
      </c>
      <c r="BR91" s="173">
        <f t="shared" si="60"/>
        <v>25.11304347826087</v>
      </c>
      <c r="BS91" s="173">
        <f t="shared" si="60"/>
        <v>25.11304347826087</v>
      </c>
      <c r="BY91" s="2"/>
      <c r="BZ91" s="189" t="str">
        <f t="shared" si="61"/>
        <v>genisses -1an</v>
      </c>
      <c r="CB91" s="173">
        <f t="shared" si="62"/>
        <v>0</v>
      </c>
      <c r="CC91" s="173">
        <f t="shared" si="62"/>
        <v>0</v>
      </c>
      <c r="CD91" s="173">
        <f t="shared" si="62"/>
        <v>0</v>
      </c>
      <c r="CE91" s="173">
        <f t="shared" si="62"/>
        <v>0</v>
      </c>
      <c r="CF91" s="173">
        <f t="shared" si="62"/>
        <v>0</v>
      </c>
      <c r="CG91" s="173">
        <f t="shared" si="62"/>
        <v>0</v>
      </c>
      <c r="CH91" s="173">
        <f t="shared" si="62"/>
        <v>0</v>
      </c>
      <c r="CI91" s="173">
        <f t="shared" si="62"/>
        <v>0</v>
      </c>
      <c r="CJ91" s="173">
        <f t="shared" si="62"/>
        <v>0</v>
      </c>
      <c r="CK91" s="173">
        <f t="shared" si="62"/>
        <v>0</v>
      </c>
      <c r="CL91" s="173">
        <f t="shared" si="62"/>
        <v>0</v>
      </c>
      <c r="CM91" s="173">
        <f t="shared" si="62"/>
        <v>0</v>
      </c>
      <c r="CN91" s="173">
        <f t="shared" si="62"/>
        <v>0</v>
      </c>
      <c r="CO91" s="173">
        <f t="shared" si="62"/>
        <v>0</v>
      </c>
      <c r="CP91" s="173">
        <f t="shared" si="62"/>
        <v>0</v>
      </c>
      <c r="CQ91" s="173">
        <f t="shared" si="62"/>
        <v>0</v>
      </c>
      <c r="CR91" s="173">
        <f t="shared" si="62"/>
        <v>0</v>
      </c>
      <c r="CS91" s="173">
        <f t="shared" si="62"/>
        <v>0</v>
      </c>
      <c r="CT91" s="173">
        <f t="shared" si="62"/>
        <v>0</v>
      </c>
      <c r="CU91" s="173">
        <f t="shared" si="62"/>
        <v>0</v>
      </c>
      <c r="CV91" s="173">
        <f t="shared" si="62"/>
        <v>1.52</v>
      </c>
      <c r="CW91" s="173">
        <f t="shared" si="62"/>
        <v>0.76</v>
      </c>
      <c r="CX91" s="173">
        <f t="shared" si="62"/>
        <v>0</v>
      </c>
      <c r="CY91" s="173">
        <f t="shared" si="62"/>
        <v>0</v>
      </c>
      <c r="DB91" s="2"/>
      <c r="DC91" s="189" t="str">
        <f t="shared" si="63"/>
        <v>lot2</v>
      </c>
      <c r="DE91" s="173">
        <f t="shared" si="64"/>
        <v>0</v>
      </c>
      <c r="DF91" s="173">
        <f t="shared" si="64"/>
        <v>0</v>
      </c>
      <c r="DG91" s="173">
        <f t="shared" si="64"/>
        <v>0</v>
      </c>
      <c r="DH91" s="173">
        <f t="shared" si="64"/>
        <v>0</v>
      </c>
      <c r="DI91" s="173">
        <f t="shared" si="64"/>
        <v>0</v>
      </c>
      <c r="DJ91" s="173">
        <f t="shared" si="64"/>
        <v>0</v>
      </c>
      <c r="DK91" s="173">
        <f t="shared" si="64"/>
        <v>0</v>
      </c>
      <c r="DL91" s="173">
        <f t="shared" si="64"/>
        <v>0</v>
      </c>
      <c r="DM91" s="173">
        <f t="shared" si="64"/>
        <v>0</v>
      </c>
      <c r="DN91" s="173">
        <f t="shared" si="64"/>
        <v>0</v>
      </c>
      <c r="DO91" s="173">
        <f t="shared" si="64"/>
        <v>0</v>
      </c>
      <c r="DP91" s="173">
        <f t="shared" si="64"/>
        <v>0</v>
      </c>
      <c r="DQ91" s="173">
        <f t="shared" si="64"/>
        <v>0</v>
      </c>
      <c r="DR91" s="173">
        <f t="shared" si="64"/>
        <v>0</v>
      </c>
      <c r="DS91" s="173">
        <f t="shared" si="64"/>
        <v>0</v>
      </c>
      <c r="DT91" s="173">
        <f t="shared" si="64"/>
        <v>0</v>
      </c>
      <c r="DU91" s="173">
        <f t="shared" si="64"/>
        <v>0</v>
      </c>
      <c r="DV91" s="173">
        <f t="shared" si="64"/>
        <v>0</v>
      </c>
      <c r="DW91" s="173">
        <f t="shared" si="64"/>
        <v>0</v>
      </c>
      <c r="DX91" s="173">
        <f t="shared" si="64"/>
        <v>0</v>
      </c>
      <c r="DY91" s="173">
        <f t="shared" si="64"/>
        <v>0</v>
      </c>
      <c r="DZ91" s="173">
        <f t="shared" si="64"/>
        <v>0</v>
      </c>
      <c r="EA91" s="173">
        <f t="shared" si="64"/>
        <v>0</v>
      </c>
      <c r="EB91" s="173">
        <f t="shared" si="64"/>
        <v>0</v>
      </c>
    </row>
    <row r="92" spans="1:132" x14ac:dyDescent="0.25">
      <c r="A92" s="5" t="s">
        <v>835</v>
      </c>
      <c r="B92" s="201">
        <f>F6+F10</f>
        <v>693</v>
      </c>
      <c r="C92" s="5"/>
      <c r="D92" s="202">
        <f>IF(B92=0,0,B92/Troupeau!$C$17)</f>
        <v>36.473684210526315</v>
      </c>
      <c r="F92" s="172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9" t="str">
        <f t="shared" si="59"/>
        <v>agnelles</v>
      </c>
      <c r="AV92" s="173">
        <f t="shared" si="60"/>
        <v>68.730434782608697</v>
      </c>
      <c r="AW92" s="173">
        <f t="shared" si="60"/>
        <v>68.730434782608697</v>
      </c>
      <c r="AX92" s="173">
        <f t="shared" si="60"/>
        <v>68.730434782608697</v>
      </c>
      <c r="AY92" s="173">
        <f t="shared" si="60"/>
        <v>68.730434782608697</v>
      </c>
      <c r="AZ92" s="173">
        <f t="shared" si="60"/>
        <v>68.730434782608697</v>
      </c>
      <c r="BA92" s="173">
        <f t="shared" si="60"/>
        <v>68.730434782608697</v>
      </c>
      <c r="BB92" s="173">
        <f t="shared" si="60"/>
        <v>68.730434782608697</v>
      </c>
      <c r="BC92" s="173">
        <f t="shared" si="60"/>
        <v>68.730434782608697</v>
      </c>
      <c r="BD92" s="173">
        <f t="shared" si="60"/>
        <v>68.730434782608697</v>
      </c>
      <c r="BE92" s="173">
        <f t="shared" si="60"/>
        <v>68.730434782608697</v>
      </c>
      <c r="BF92" s="173">
        <f t="shared" si="60"/>
        <v>68.730434782608697</v>
      </c>
      <c r="BG92" s="173">
        <f t="shared" si="60"/>
        <v>68.730434782608697</v>
      </c>
      <c r="BH92" s="173">
        <f t="shared" si="60"/>
        <v>68.730434782608697</v>
      </c>
      <c r="BI92" s="173">
        <f t="shared" si="60"/>
        <v>68.730434782608697</v>
      </c>
      <c r="BJ92" s="173">
        <f t="shared" si="60"/>
        <v>68.730434782608697</v>
      </c>
      <c r="BK92" s="173">
        <f t="shared" si="60"/>
        <v>68.730434782608697</v>
      </c>
      <c r="BL92" s="173">
        <f t="shared" si="60"/>
        <v>68.730434782608697</v>
      </c>
      <c r="BM92" s="173">
        <f t="shared" si="60"/>
        <v>68.730434782608697</v>
      </c>
      <c r="BN92" s="173">
        <f t="shared" si="60"/>
        <v>68.730434782608697</v>
      </c>
      <c r="BO92" s="173">
        <f t="shared" si="60"/>
        <v>0</v>
      </c>
      <c r="BP92" s="173">
        <f t="shared" si="60"/>
        <v>0</v>
      </c>
      <c r="BQ92" s="173">
        <f t="shared" si="60"/>
        <v>68.730434782608697</v>
      </c>
      <c r="BR92" s="173">
        <f t="shared" si="60"/>
        <v>68.730434782608697</v>
      </c>
      <c r="BS92" s="173">
        <f t="shared" si="60"/>
        <v>68.730434782608697</v>
      </c>
      <c r="BY92" s="2"/>
      <c r="BZ92" s="189" t="str">
        <f t="shared" si="61"/>
        <v>genisses +1an</v>
      </c>
      <c r="CB92" s="173">
        <f t="shared" si="62"/>
        <v>9.1199999999999992</v>
      </c>
      <c r="CC92" s="173">
        <f t="shared" si="62"/>
        <v>9.1199999999999992</v>
      </c>
      <c r="CD92" s="173">
        <f t="shared" si="62"/>
        <v>0</v>
      </c>
      <c r="CE92" s="173">
        <f t="shared" si="62"/>
        <v>0</v>
      </c>
      <c r="CF92" s="173">
        <f t="shared" si="62"/>
        <v>0</v>
      </c>
      <c r="CG92" s="173">
        <f t="shared" si="62"/>
        <v>0</v>
      </c>
      <c r="CH92" s="173">
        <f t="shared" si="62"/>
        <v>0</v>
      </c>
      <c r="CI92" s="173">
        <f t="shared" si="62"/>
        <v>0</v>
      </c>
      <c r="CJ92" s="173">
        <f t="shared" si="62"/>
        <v>0</v>
      </c>
      <c r="CK92" s="173">
        <f t="shared" si="62"/>
        <v>0</v>
      </c>
      <c r="CL92" s="173">
        <f t="shared" si="62"/>
        <v>0</v>
      </c>
      <c r="CM92" s="173">
        <f t="shared" si="62"/>
        <v>0</v>
      </c>
      <c r="CN92" s="173">
        <f t="shared" si="62"/>
        <v>0</v>
      </c>
      <c r="CO92" s="173">
        <f t="shared" si="62"/>
        <v>0</v>
      </c>
      <c r="CP92" s="173">
        <f t="shared" si="62"/>
        <v>0</v>
      </c>
      <c r="CQ92" s="173">
        <f t="shared" si="62"/>
        <v>0</v>
      </c>
      <c r="CR92" s="173">
        <f t="shared" si="62"/>
        <v>0</v>
      </c>
      <c r="CS92" s="173">
        <f t="shared" si="62"/>
        <v>0</v>
      </c>
      <c r="CT92" s="173">
        <f t="shared" si="62"/>
        <v>0</v>
      </c>
      <c r="CU92" s="173">
        <f t="shared" si="62"/>
        <v>0</v>
      </c>
      <c r="CV92" s="173">
        <f t="shared" si="62"/>
        <v>0</v>
      </c>
      <c r="CW92" s="173">
        <f t="shared" si="62"/>
        <v>0</v>
      </c>
      <c r="CX92" s="173">
        <f t="shared" si="62"/>
        <v>9.1199999999999992</v>
      </c>
      <c r="CY92" s="173">
        <f t="shared" si="62"/>
        <v>9.1199999999999992</v>
      </c>
      <c r="DB92" s="2"/>
      <c r="DC92" s="189" t="str">
        <f t="shared" si="63"/>
        <v>lot3</v>
      </c>
      <c r="DE92" s="173">
        <f t="shared" si="64"/>
        <v>0</v>
      </c>
      <c r="DF92" s="173">
        <f t="shared" si="64"/>
        <v>0</v>
      </c>
      <c r="DG92" s="173">
        <f t="shared" si="64"/>
        <v>0</v>
      </c>
      <c r="DH92" s="173">
        <f t="shared" si="64"/>
        <v>0</v>
      </c>
      <c r="DI92" s="173">
        <f t="shared" si="64"/>
        <v>0</v>
      </c>
      <c r="DJ92" s="173">
        <f t="shared" si="64"/>
        <v>0</v>
      </c>
      <c r="DK92" s="173">
        <f t="shared" si="64"/>
        <v>0</v>
      </c>
      <c r="DL92" s="173">
        <f t="shared" si="64"/>
        <v>0</v>
      </c>
      <c r="DM92" s="173">
        <f t="shared" si="64"/>
        <v>0</v>
      </c>
      <c r="DN92" s="173">
        <f t="shared" si="64"/>
        <v>0</v>
      </c>
      <c r="DO92" s="173">
        <f t="shared" si="64"/>
        <v>0</v>
      </c>
      <c r="DP92" s="173">
        <f t="shared" si="64"/>
        <v>0</v>
      </c>
      <c r="DQ92" s="173">
        <f t="shared" si="64"/>
        <v>0</v>
      </c>
      <c r="DR92" s="173">
        <f t="shared" si="64"/>
        <v>0</v>
      </c>
      <c r="DS92" s="173">
        <f t="shared" si="64"/>
        <v>0</v>
      </c>
      <c r="DT92" s="173">
        <f t="shared" si="64"/>
        <v>0</v>
      </c>
      <c r="DU92" s="173">
        <f t="shared" si="64"/>
        <v>0</v>
      </c>
      <c r="DV92" s="173">
        <f t="shared" si="64"/>
        <v>0</v>
      </c>
      <c r="DW92" s="173">
        <f t="shared" si="64"/>
        <v>0</v>
      </c>
      <c r="DX92" s="173">
        <f t="shared" si="64"/>
        <v>0</v>
      </c>
      <c r="DY92" s="173">
        <f t="shared" si="64"/>
        <v>0</v>
      </c>
      <c r="DZ92" s="173">
        <f t="shared" si="64"/>
        <v>0</v>
      </c>
      <c r="EA92" s="173">
        <f t="shared" si="64"/>
        <v>0</v>
      </c>
      <c r="EB92" s="173">
        <f t="shared" si="64"/>
        <v>0</v>
      </c>
    </row>
    <row r="93" spans="1:132" x14ac:dyDescent="0.25">
      <c r="A93" s="5" t="s">
        <v>836</v>
      </c>
      <c r="B93" s="201">
        <f>F7+F11</f>
        <v>0</v>
      </c>
      <c r="C93" s="23"/>
      <c r="D93" s="202">
        <f>IF(B93=0,0,B93/Troupeau!$D$17)</f>
        <v>0</v>
      </c>
      <c r="F93" s="172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9" t="str">
        <f t="shared" si="59"/>
        <v>beliers</v>
      </c>
      <c r="AV93" s="173">
        <f t="shared" si="60"/>
        <v>7.9304347826086961</v>
      </c>
      <c r="AW93" s="173">
        <f t="shared" si="60"/>
        <v>7.9304347826086961</v>
      </c>
      <c r="AX93" s="173">
        <f t="shared" si="60"/>
        <v>7.9304347826086961</v>
      </c>
      <c r="AY93" s="173">
        <f t="shared" si="60"/>
        <v>7.9304347826086961</v>
      </c>
      <c r="AZ93" s="173">
        <f t="shared" si="60"/>
        <v>7.9304347826086961</v>
      </c>
      <c r="BA93" s="173">
        <f t="shared" si="60"/>
        <v>7.9304347826086961</v>
      </c>
      <c r="BB93" s="173">
        <f t="shared" si="60"/>
        <v>7.9304347826086961</v>
      </c>
      <c r="BC93" s="173">
        <f t="shared" si="60"/>
        <v>7.9304347826086961</v>
      </c>
      <c r="BD93" s="173">
        <f t="shared" si="60"/>
        <v>7.9304347826086961</v>
      </c>
      <c r="BE93" s="173">
        <f t="shared" si="60"/>
        <v>0</v>
      </c>
      <c r="BF93" s="173">
        <f t="shared" si="60"/>
        <v>0</v>
      </c>
      <c r="BG93" s="173">
        <f t="shared" si="60"/>
        <v>0</v>
      </c>
      <c r="BH93" s="173">
        <f t="shared" si="60"/>
        <v>0</v>
      </c>
      <c r="BI93" s="173">
        <f t="shared" si="60"/>
        <v>0</v>
      </c>
      <c r="BJ93" s="173">
        <f t="shared" si="60"/>
        <v>0</v>
      </c>
      <c r="BK93" s="173">
        <f t="shared" si="60"/>
        <v>0</v>
      </c>
      <c r="BL93" s="173">
        <f t="shared" si="60"/>
        <v>0</v>
      </c>
      <c r="BM93" s="173">
        <f t="shared" si="60"/>
        <v>0</v>
      </c>
      <c r="BN93" s="173">
        <f t="shared" si="60"/>
        <v>0</v>
      </c>
      <c r="BO93" s="173">
        <f t="shared" si="60"/>
        <v>7.9304347826086961</v>
      </c>
      <c r="BP93" s="173">
        <f t="shared" si="60"/>
        <v>7.9304347826086961</v>
      </c>
      <c r="BQ93" s="173">
        <f t="shared" si="60"/>
        <v>7.9304347826086961</v>
      </c>
      <c r="BR93" s="173">
        <f t="shared" si="60"/>
        <v>7.9304347826086961</v>
      </c>
      <c r="BS93" s="173">
        <f t="shared" si="60"/>
        <v>7.9304347826086961</v>
      </c>
      <c r="BY93" s="2"/>
      <c r="BZ93" s="189" t="str">
        <f t="shared" si="61"/>
        <v>lot4</v>
      </c>
      <c r="CB93" s="173">
        <f t="shared" si="62"/>
        <v>0</v>
      </c>
      <c r="CC93" s="173">
        <f t="shared" si="62"/>
        <v>0</v>
      </c>
      <c r="CD93" s="173">
        <f t="shared" si="62"/>
        <v>0</v>
      </c>
      <c r="CE93" s="173">
        <f t="shared" si="62"/>
        <v>0</v>
      </c>
      <c r="CF93" s="173">
        <f t="shared" si="62"/>
        <v>0</v>
      </c>
      <c r="CG93" s="173">
        <f t="shared" si="62"/>
        <v>0</v>
      </c>
      <c r="CH93" s="173">
        <f t="shared" si="62"/>
        <v>0</v>
      </c>
      <c r="CI93" s="173">
        <f t="shared" si="62"/>
        <v>0</v>
      </c>
      <c r="CJ93" s="173">
        <f t="shared" si="62"/>
        <v>0</v>
      </c>
      <c r="CK93" s="173">
        <f t="shared" si="62"/>
        <v>0</v>
      </c>
      <c r="CL93" s="173">
        <f t="shared" si="62"/>
        <v>0</v>
      </c>
      <c r="CM93" s="173">
        <f t="shared" si="62"/>
        <v>0</v>
      </c>
      <c r="CN93" s="173">
        <f t="shared" si="62"/>
        <v>0</v>
      </c>
      <c r="CO93" s="173">
        <f t="shared" si="62"/>
        <v>0</v>
      </c>
      <c r="CP93" s="173">
        <f t="shared" si="62"/>
        <v>0</v>
      </c>
      <c r="CQ93" s="173">
        <f t="shared" si="62"/>
        <v>0</v>
      </c>
      <c r="CR93" s="173">
        <f t="shared" si="62"/>
        <v>0</v>
      </c>
      <c r="CS93" s="173">
        <f t="shared" si="62"/>
        <v>0</v>
      </c>
      <c r="CT93" s="173">
        <f t="shared" si="62"/>
        <v>0</v>
      </c>
      <c r="CU93" s="173">
        <f t="shared" si="62"/>
        <v>0</v>
      </c>
      <c r="CV93" s="173">
        <f t="shared" si="62"/>
        <v>0</v>
      </c>
      <c r="CW93" s="173">
        <f t="shared" si="62"/>
        <v>0</v>
      </c>
      <c r="CX93" s="173">
        <f t="shared" si="62"/>
        <v>0</v>
      </c>
      <c r="CY93" s="173">
        <f t="shared" si="62"/>
        <v>0</v>
      </c>
      <c r="DB93" s="2"/>
      <c r="DC93" s="189" t="str">
        <f t="shared" si="63"/>
        <v>lot4</v>
      </c>
      <c r="DE93" s="173">
        <f t="shared" si="64"/>
        <v>0</v>
      </c>
      <c r="DF93" s="173">
        <f t="shared" si="64"/>
        <v>0</v>
      </c>
      <c r="DG93" s="173">
        <f t="shared" si="64"/>
        <v>0</v>
      </c>
      <c r="DH93" s="173">
        <f t="shared" si="64"/>
        <v>0</v>
      </c>
      <c r="DI93" s="173">
        <f t="shared" si="64"/>
        <v>0</v>
      </c>
      <c r="DJ93" s="173">
        <f t="shared" si="64"/>
        <v>0</v>
      </c>
      <c r="DK93" s="173">
        <f t="shared" si="64"/>
        <v>0</v>
      </c>
      <c r="DL93" s="173">
        <f t="shared" si="64"/>
        <v>0</v>
      </c>
      <c r="DM93" s="173">
        <f t="shared" si="64"/>
        <v>0</v>
      </c>
      <c r="DN93" s="173">
        <f t="shared" si="64"/>
        <v>0</v>
      </c>
      <c r="DO93" s="173">
        <f t="shared" si="64"/>
        <v>0</v>
      </c>
      <c r="DP93" s="173">
        <f t="shared" si="64"/>
        <v>0</v>
      </c>
      <c r="DQ93" s="173">
        <f t="shared" si="64"/>
        <v>0</v>
      </c>
      <c r="DR93" s="173">
        <f t="shared" si="64"/>
        <v>0</v>
      </c>
      <c r="DS93" s="173">
        <f t="shared" si="64"/>
        <v>0</v>
      </c>
      <c r="DT93" s="173">
        <f t="shared" si="64"/>
        <v>0</v>
      </c>
      <c r="DU93" s="173">
        <f t="shared" si="64"/>
        <v>0</v>
      </c>
      <c r="DV93" s="173">
        <f t="shared" si="64"/>
        <v>0</v>
      </c>
      <c r="DW93" s="173">
        <f t="shared" si="64"/>
        <v>0</v>
      </c>
      <c r="DX93" s="173">
        <f t="shared" si="64"/>
        <v>0</v>
      </c>
      <c r="DY93" s="173">
        <f t="shared" si="64"/>
        <v>0</v>
      </c>
      <c r="DZ93" s="173">
        <f t="shared" si="64"/>
        <v>0</v>
      </c>
      <c r="EA93" s="173">
        <f t="shared" si="64"/>
        <v>0</v>
      </c>
      <c r="EB93" s="173">
        <f t="shared" si="64"/>
        <v>0</v>
      </c>
    </row>
    <row r="94" spans="1:132" x14ac:dyDescent="0.25">
      <c r="A94" s="23" t="s">
        <v>837</v>
      </c>
      <c r="B94" s="203">
        <f>SUM(B91:B93)</f>
        <v>2485.0413913043476</v>
      </c>
      <c r="C94" s="5"/>
      <c r="D94" s="197"/>
      <c r="F94" s="172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9" t="str">
        <f>AT30</f>
        <v>lot5</v>
      </c>
      <c r="AV94" s="173">
        <f>IF(AV41&gt;1,AV8,0)</f>
        <v>0</v>
      </c>
      <c r="AW94" s="173">
        <f t="shared" si="60"/>
        <v>0</v>
      </c>
      <c r="AX94" s="173">
        <f t="shared" si="60"/>
        <v>0</v>
      </c>
      <c r="AY94" s="173">
        <f t="shared" si="60"/>
        <v>0</v>
      </c>
      <c r="AZ94" s="173">
        <f t="shared" si="60"/>
        <v>0</v>
      </c>
      <c r="BA94" s="173">
        <f t="shared" si="60"/>
        <v>0</v>
      </c>
      <c r="BB94" s="173">
        <f t="shared" si="60"/>
        <v>0</v>
      </c>
      <c r="BC94" s="173">
        <f t="shared" si="60"/>
        <v>0</v>
      </c>
      <c r="BD94" s="173">
        <f t="shared" si="60"/>
        <v>0</v>
      </c>
      <c r="BE94" s="173">
        <f t="shared" si="60"/>
        <v>0</v>
      </c>
      <c r="BF94" s="173">
        <f t="shared" si="60"/>
        <v>0</v>
      </c>
      <c r="BG94" s="173">
        <f t="shared" si="60"/>
        <v>0</v>
      </c>
      <c r="BH94" s="173">
        <f t="shared" si="60"/>
        <v>0</v>
      </c>
      <c r="BI94" s="173">
        <f t="shared" si="60"/>
        <v>0</v>
      </c>
      <c r="BJ94" s="173">
        <f t="shared" si="60"/>
        <v>0</v>
      </c>
      <c r="BK94" s="173">
        <f t="shared" si="60"/>
        <v>0</v>
      </c>
      <c r="BL94" s="173">
        <f t="shared" si="60"/>
        <v>0</v>
      </c>
      <c r="BM94" s="173">
        <f t="shared" si="60"/>
        <v>0</v>
      </c>
      <c r="BN94" s="173">
        <f t="shared" si="60"/>
        <v>0</v>
      </c>
      <c r="BO94" s="173">
        <f t="shared" si="60"/>
        <v>0</v>
      </c>
      <c r="BP94" s="173">
        <f t="shared" si="60"/>
        <v>0</v>
      </c>
      <c r="BQ94" s="173">
        <f t="shared" si="60"/>
        <v>0</v>
      </c>
      <c r="BR94" s="173">
        <f t="shared" si="60"/>
        <v>0</v>
      </c>
      <c r="BS94" s="173">
        <f t="shared" si="60"/>
        <v>0</v>
      </c>
      <c r="BZ94" s="189" t="str">
        <f>BZ30</f>
        <v>lot5</v>
      </c>
      <c r="CB94" s="173">
        <f>IF(CB41&gt;1,CB8,0)</f>
        <v>0</v>
      </c>
      <c r="CC94" s="173">
        <f t="shared" si="62"/>
        <v>0</v>
      </c>
      <c r="CD94" s="173">
        <f t="shared" si="62"/>
        <v>0</v>
      </c>
      <c r="CE94" s="173">
        <f t="shared" si="62"/>
        <v>0</v>
      </c>
      <c r="CF94" s="173">
        <f t="shared" si="62"/>
        <v>0</v>
      </c>
      <c r="CG94" s="173">
        <f t="shared" si="62"/>
        <v>0</v>
      </c>
      <c r="CH94" s="173">
        <f t="shared" si="62"/>
        <v>0</v>
      </c>
      <c r="CI94" s="173">
        <f t="shared" si="62"/>
        <v>0</v>
      </c>
      <c r="CJ94" s="173">
        <f t="shared" si="62"/>
        <v>0</v>
      </c>
      <c r="CK94" s="173">
        <f t="shared" si="62"/>
        <v>0</v>
      </c>
      <c r="CL94" s="173">
        <f t="shared" si="62"/>
        <v>0</v>
      </c>
      <c r="CM94" s="173">
        <f t="shared" si="62"/>
        <v>0</v>
      </c>
      <c r="CN94" s="173">
        <f t="shared" si="62"/>
        <v>0</v>
      </c>
      <c r="CO94" s="173">
        <f t="shared" si="62"/>
        <v>0</v>
      </c>
      <c r="CP94" s="173">
        <f t="shared" si="62"/>
        <v>0</v>
      </c>
      <c r="CQ94" s="173">
        <f t="shared" si="62"/>
        <v>0</v>
      </c>
      <c r="CR94" s="173">
        <f t="shared" si="62"/>
        <v>0</v>
      </c>
      <c r="CS94" s="173">
        <f t="shared" si="62"/>
        <v>0</v>
      </c>
      <c r="CT94" s="173">
        <f t="shared" si="62"/>
        <v>0</v>
      </c>
      <c r="CU94" s="173">
        <f t="shared" si="62"/>
        <v>0</v>
      </c>
      <c r="CV94" s="173">
        <f t="shared" si="62"/>
        <v>0</v>
      </c>
      <c r="CW94" s="173">
        <f t="shared" si="62"/>
        <v>0</v>
      </c>
      <c r="CX94" s="173">
        <f t="shared" si="62"/>
        <v>0</v>
      </c>
      <c r="CY94" s="173">
        <f t="shared" si="62"/>
        <v>0</v>
      </c>
      <c r="DC94" s="189" t="str">
        <f>DC30</f>
        <v>lot5</v>
      </c>
      <c r="DE94" s="173">
        <f t="shared" si="64"/>
        <v>0</v>
      </c>
      <c r="DF94" s="173">
        <f t="shared" si="64"/>
        <v>0</v>
      </c>
      <c r="DG94" s="173">
        <f t="shared" si="64"/>
        <v>0</v>
      </c>
      <c r="DH94" s="173">
        <f t="shared" si="64"/>
        <v>0</v>
      </c>
      <c r="DI94" s="173">
        <f t="shared" si="64"/>
        <v>0</v>
      </c>
      <c r="DJ94" s="173">
        <f t="shared" si="64"/>
        <v>0</v>
      </c>
      <c r="DK94" s="173">
        <f t="shared" si="64"/>
        <v>0</v>
      </c>
      <c r="DL94" s="173">
        <f t="shared" si="64"/>
        <v>0</v>
      </c>
      <c r="DM94" s="173">
        <f t="shared" si="64"/>
        <v>0</v>
      </c>
      <c r="DN94" s="173">
        <f t="shared" si="64"/>
        <v>0</v>
      </c>
      <c r="DO94" s="173">
        <f t="shared" si="64"/>
        <v>0</v>
      </c>
      <c r="DP94" s="173">
        <f t="shared" si="64"/>
        <v>0</v>
      </c>
      <c r="DQ94" s="173">
        <f t="shared" si="64"/>
        <v>0</v>
      </c>
      <c r="DR94" s="173">
        <f t="shared" si="64"/>
        <v>0</v>
      </c>
      <c r="DS94" s="173">
        <f t="shared" si="64"/>
        <v>0</v>
      </c>
      <c r="DT94" s="173">
        <f t="shared" si="64"/>
        <v>0</v>
      </c>
      <c r="DU94" s="173">
        <f t="shared" si="64"/>
        <v>0</v>
      </c>
      <c r="DV94" s="173">
        <f t="shared" si="64"/>
        <v>0</v>
      </c>
      <c r="DW94" s="173">
        <f t="shared" si="64"/>
        <v>0</v>
      </c>
      <c r="DX94" s="173">
        <f t="shared" si="64"/>
        <v>0</v>
      </c>
      <c r="DY94" s="173">
        <f t="shared" si="64"/>
        <v>0</v>
      </c>
      <c r="DZ94" s="173">
        <f t="shared" si="64"/>
        <v>0</v>
      </c>
      <c r="EA94" s="173">
        <f t="shared" si="64"/>
        <v>0</v>
      </c>
      <c r="EB94" s="173">
        <f t="shared" si="64"/>
        <v>0</v>
      </c>
    </row>
    <row r="95" spans="1:132" x14ac:dyDescent="0.25">
      <c r="A95" s="5" t="s">
        <v>838</v>
      </c>
      <c r="B95" s="30">
        <f>F16+F20</f>
        <v>156.80000000000001</v>
      </c>
      <c r="C95" s="5"/>
      <c r="D95" s="202">
        <f>B95/Troupeau!$B$17</f>
        <v>0.51578947368421058</v>
      </c>
      <c r="F95" s="172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9" t="str">
        <f>AT31</f>
        <v>lot6</v>
      </c>
      <c r="AV95" s="173">
        <f>IF(AV42&gt;1,AV9,0)</f>
        <v>0</v>
      </c>
      <c r="AW95" s="173">
        <f t="shared" si="60"/>
        <v>0</v>
      </c>
      <c r="AX95" s="173">
        <f t="shared" si="60"/>
        <v>0</v>
      </c>
      <c r="AY95" s="173">
        <f t="shared" si="60"/>
        <v>0</v>
      </c>
      <c r="AZ95" s="173">
        <f t="shared" si="60"/>
        <v>0</v>
      </c>
      <c r="BA95" s="173">
        <f t="shared" si="60"/>
        <v>0</v>
      </c>
      <c r="BB95" s="173">
        <f t="shared" si="60"/>
        <v>0</v>
      </c>
      <c r="BC95" s="173">
        <f t="shared" si="60"/>
        <v>0</v>
      </c>
      <c r="BD95" s="173">
        <f t="shared" si="60"/>
        <v>0</v>
      </c>
      <c r="BE95" s="173">
        <f t="shared" si="60"/>
        <v>0</v>
      </c>
      <c r="BF95" s="173">
        <f t="shared" si="60"/>
        <v>0</v>
      </c>
      <c r="BG95" s="173">
        <f t="shared" si="60"/>
        <v>0</v>
      </c>
      <c r="BH95" s="173">
        <f t="shared" si="60"/>
        <v>0</v>
      </c>
      <c r="BI95" s="173">
        <f t="shared" si="60"/>
        <v>0</v>
      </c>
      <c r="BJ95" s="173">
        <f t="shared" si="60"/>
        <v>0</v>
      </c>
      <c r="BK95" s="173">
        <f t="shared" si="60"/>
        <v>0</v>
      </c>
      <c r="BL95" s="173">
        <f t="shared" si="60"/>
        <v>0</v>
      </c>
      <c r="BM95" s="173">
        <f t="shared" si="60"/>
        <v>0</v>
      </c>
      <c r="BN95" s="173">
        <f t="shared" si="60"/>
        <v>0</v>
      </c>
      <c r="BO95" s="173">
        <f t="shared" si="60"/>
        <v>0</v>
      </c>
      <c r="BP95" s="173">
        <f t="shared" si="60"/>
        <v>0</v>
      </c>
      <c r="BQ95" s="173">
        <f t="shared" si="60"/>
        <v>0</v>
      </c>
      <c r="BR95" s="173">
        <f t="shared" si="60"/>
        <v>0</v>
      </c>
      <c r="BS95" s="173">
        <f t="shared" si="60"/>
        <v>0</v>
      </c>
      <c r="BZ95" s="189" t="str">
        <f>BZ31</f>
        <v>lot6</v>
      </c>
      <c r="CB95" s="173">
        <f>IF(CB42&gt;1,CB9,0)</f>
        <v>0</v>
      </c>
      <c r="CC95" s="173">
        <f t="shared" si="62"/>
        <v>0</v>
      </c>
      <c r="CD95" s="173">
        <f t="shared" si="62"/>
        <v>0</v>
      </c>
      <c r="CE95" s="173">
        <f t="shared" si="62"/>
        <v>0</v>
      </c>
      <c r="CF95" s="173">
        <f t="shared" si="62"/>
        <v>0</v>
      </c>
      <c r="CG95" s="173">
        <f t="shared" si="62"/>
        <v>0</v>
      </c>
      <c r="CH95" s="173">
        <f t="shared" si="62"/>
        <v>0</v>
      </c>
      <c r="CI95" s="173">
        <f t="shared" si="62"/>
        <v>0</v>
      </c>
      <c r="CJ95" s="173">
        <f t="shared" si="62"/>
        <v>0</v>
      </c>
      <c r="CK95" s="173">
        <f t="shared" si="62"/>
        <v>0</v>
      </c>
      <c r="CL95" s="173">
        <f t="shared" si="62"/>
        <v>0</v>
      </c>
      <c r="CM95" s="173">
        <f t="shared" si="62"/>
        <v>0</v>
      </c>
      <c r="CN95" s="173">
        <f t="shared" si="62"/>
        <v>0</v>
      </c>
      <c r="CO95" s="173">
        <f t="shared" si="62"/>
        <v>0</v>
      </c>
      <c r="CP95" s="173">
        <f t="shared" si="62"/>
        <v>0</v>
      </c>
      <c r="CQ95" s="173">
        <f t="shared" si="62"/>
        <v>0</v>
      </c>
      <c r="CR95" s="173">
        <f t="shared" si="62"/>
        <v>0</v>
      </c>
      <c r="CS95" s="173">
        <f t="shared" si="62"/>
        <v>0</v>
      </c>
      <c r="CT95" s="173">
        <f t="shared" si="62"/>
        <v>0</v>
      </c>
      <c r="CU95" s="173">
        <f t="shared" si="62"/>
        <v>0</v>
      </c>
      <c r="CV95" s="173">
        <f t="shared" si="62"/>
        <v>0</v>
      </c>
      <c r="CW95" s="173">
        <f t="shared" si="62"/>
        <v>0</v>
      </c>
      <c r="CX95" s="173">
        <f t="shared" si="62"/>
        <v>0</v>
      </c>
      <c r="CY95" s="173">
        <f t="shared" si="62"/>
        <v>0</v>
      </c>
      <c r="DC95" s="189" t="str">
        <f>DC31</f>
        <v>lot6</v>
      </c>
      <c r="DE95" s="173">
        <f t="shared" si="64"/>
        <v>0</v>
      </c>
      <c r="DF95" s="173">
        <f t="shared" si="64"/>
        <v>0</v>
      </c>
      <c r="DG95" s="173">
        <f t="shared" si="64"/>
        <v>0</v>
      </c>
      <c r="DH95" s="173">
        <f t="shared" si="64"/>
        <v>0</v>
      </c>
      <c r="DI95" s="173">
        <f t="shared" si="64"/>
        <v>0</v>
      </c>
      <c r="DJ95" s="173">
        <f t="shared" si="64"/>
        <v>0</v>
      </c>
      <c r="DK95" s="173">
        <f t="shared" si="64"/>
        <v>0</v>
      </c>
      <c r="DL95" s="173">
        <f t="shared" si="64"/>
        <v>0</v>
      </c>
      <c r="DM95" s="173">
        <f t="shared" si="64"/>
        <v>0</v>
      </c>
      <c r="DN95" s="173">
        <f t="shared" si="64"/>
        <v>0</v>
      </c>
      <c r="DO95" s="173">
        <f t="shared" si="64"/>
        <v>0</v>
      </c>
      <c r="DP95" s="173">
        <f t="shared" si="64"/>
        <v>0</v>
      </c>
      <c r="DQ95" s="173">
        <f t="shared" si="64"/>
        <v>0</v>
      </c>
      <c r="DR95" s="173">
        <f t="shared" si="64"/>
        <v>0</v>
      </c>
      <c r="DS95" s="173">
        <f t="shared" si="64"/>
        <v>0</v>
      </c>
      <c r="DT95" s="173">
        <f t="shared" si="64"/>
        <v>0</v>
      </c>
      <c r="DU95" s="173">
        <f t="shared" si="64"/>
        <v>0</v>
      </c>
      <c r="DV95" s="173">
        <f t="shared" si="64"/>
        <v>0</v>
      </c>
      <c r="DW95" s="173">
        <f t="shared" si="64"/>
        <v>0</v>
      </c>
      <c r="DX95" s="173">
        <f t="shared" si="64"/>
        <v>0</v>
      </c>
      <c r="DY95" s="173">
        <f t="shared" si="64"/>
        <v>0</v>
      </c>
      <c r="DZ95" s="173">
        <f t="shared" si="64"/>
        <v>0</v>
      </c>
      <c r="EA95" s="173">
        <f t="shared" si="64"/>
        <v>0</v>
      </c>
      <c r="EB95" s="173">
        <f t="shared" si="64"/>
        <v>0</v>
      </c>
    </row>
    <row r="96" spans="1:132" x14ac:dyDescent="0.25">
      <c r="A96" s="5" t="s">
        <v>839</v>
      </c>
      <c r="B96" s="30">
        <f>F17+F21</f>
        <v>0</v>
      </c>
      <c r="C96" s="5"/>
      <c r="D96" s="202">
        <f>IF(B96=0,0,B96/Troupeau!$C$17)</f>
        <v>0</v>
      </c>
      <c r="F96" s="172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9" t="str">
        <f>AT33</f>
        <v>lot8</v>
      </c>
      <c r="AV96" s="173">
        <f t="shared" ref="AV96:BS98" si="65">IF(AV44&gt;1,AV11,0)</f>
        <v>0</v>
      </c>
      <c r="AW96" s="173">
        <f t="shared" si="65"/>
        <v>0</v>
      </c>
      <c r="AX96" s="173">
        <f t="shared" si="65"/>
        <v>0</v>
      </c>
      <c r="AY96" s="173">
        <f t="shared" si="65"/>
        <v>0</v>
      </c>
      <c r="AZ96" s="173">
        <f t="shared" si="65"/>
        <v>0</v>
      </c>
      <c r="BA96" s="173">
        <f t="shared" si="65"/>
        <v>0</v>
      </c>
      <c r="BB96" s="173">
        <f t="shared" si="65"/>
        <v>0</v>
      </c>
      <c r="BC96" s="173">
        <f t="shared" si="65"/>
        <v>0</v>
      </c>
      <c r="BD96" s="173">
        <f t="shared" si="65"/>
        <v>0</v>
      </c>
      <c r="BE96" s="173">
        <f t="shared" si="65"/>
        <v>0</v>
      </c>
      <c r="BF96" s="173">
        <f t="shared" si="65"/>
        <v>0</v>
      </c>
      <c r="BG96" s="173">
        <f t="shared" si="65"/>
        <v>0</v>
      </c>
      <c r="BH96" s="173">
        <f t="shared" si="65"/>
        <v>0</v>
      </c>
      <c r="BI96" s="173">
        <f t="shared" si="65"/>
        <v>0</v>
      </c>
      <c r="BJ96" s="173">
        <f t="shared" si="65"/>
        <v>0</v>
      </c>
      <c r="BK96" s="173">
        <f t="shared" si="65"/>
        <v>0</v>
      </c>
      <c r="BL96" s="173">
        <f t="shared" si="65"/>
        <v>0</v>
      </c>
      <c r="BM96" s="173">
        <f t="shared" si="65"/>
        <v>0</v>
      </c>
      <c r="BN96" s="173">
        <f t="shared" si="65"/>
        <v>0</v>
      </c>
      <c r="BO96" s="173">
        <f t="shared" si="65"/>
        <v>0</v>
      </c>
      <c r="BP96" s="173">
        <f t="shared" si="65"/>
        <v>0</v>
      </c>
      <c r="BQ96" s="173">
        <f t="shared" si="65"/>
        <v>0</v>
      </c>
      <c r="BR96" s="173">
        <f t="shared" si="65"/>
        <v>0</v>
      </c>
      <c r="BS96" s="173">
        <f t="shared" si="65"/>
        <v>0</v>
      </c>
      <c r="BZ96" s="189" t="str">
        <f>BZ33</f>
        <v>lot8</v>
      </c>
      <c r="CB96" s="173">
        <f t="shared" ref="CB96:CY98" si="66">IF(CB44&gt;1,CB11,0)</f>
        <v>0</v>
      </c>
      <c r="CC96" s="173">
        <f t="shared" si="66"/>
        <v>0</v>
      </c>
      <c r="CD96" s="173">
        <f t="shared" si="66"/>
        <v>0</v>
      </c>
      <c r="CE96" s="173">
        <f t="shared" si="66"/>
        <v>0</v>
      </c>
      <c r="CF96" s="173">
        <f t="shared" si="66"/>
        <v>0</v>
      </c>
      <c r="CG96" s="173">
        <f t="shared" si="66"/>
        <v>0</v>
      </c>
      <c r="CH96" s="173">
        <f t="shared" si="66"/>
        <v>0</v>
      </c>
      <c r="CI96" s="173">
        <f t="shared" si="66"/>
        <v>0</v>
      </c>
      <c r="CJ96" s="173">
        <f t="shared" si="66"/>
        <v>0</v>
      </c>
      <c r="CK96" s="173">
        <f t="shared" si="66"/>
        <v>0</v>
      </c>
      <c r="CL96" s="173">
        <f t="shared" si="66"/>
        <v>0</v>
      </c>
      <c r="CM96" s="173">
        <f t="shared" si="66"/>
        <v>0</v>
      </c>
      <c r="CN96" s="173">
        <f t="shared" si="66"/>
        <v>0</v>
      </c>
      <c r="CO96" s="173">
        <f t="shared" si="66"/>
        <v>0</v>
      </c>
      <c r="CP96" s="173">
        <f t="shared" si="66"/>
        <v>0</v>
      </c>
      <c r="CQ96" s="173">
        <f t="shared" si="66"/>
        <v>0</v>
      </c>
      <c r="CR96" s="173">
        <f t="shared" si="66"/>
        <v>0</v>
      </c>
      <c r="CS96" s="173">
        <f t="shared" si="66"/>
        <v>0</v>
      </c>
      <c r="CT96" s="173">
        <f t="shared" si="66"/>
        <v>0</v>
      </c>
      <c r="CU96" s="173">
        <f t="shared" si="66"/>
        <v>0</v>
      </c>
      <c r="CV96" s="173">
        <f t="shared" si="66"/>
        <v>0</v>
      </c>
      <c r="CW96" s="173">
        <f t="shared" si="66"/>
        <v>0</v>
      </c>
      <c r="CX96" s="173">
        <f t="shared" si="66"/>
        <v>0</v>
      </c>
      <c r="CY96" s="173">
        <f t="shared" si="66"/>
        <v>0</v>
      </c>
      <c r="DC96" s="189" t="str">
        <f>DC33</f>
        <v>lot8</v>
      </c>
      <c r="DE96" s="173">
        <f t="shared" ref="DE96:EB98" si="67">IF(DE44&gt;1,DE11,0)</f>
        <v>0</v>
      </c>
      <c r="DF96" s="173">
        <f t="shared" si="67"/>
        <v>0</v>
      </c>
      <c r="DG96" s="173">
        <f t="shared" si="67"/>
        <v>0</v>
      </c>
      <c r="DH96" s="173">
        <f t="shared" si="67"/>
        <v>0</v>
      </c>
      <c r="DI96" s="173">
        <f t="shared" si="67"/>
        <v>0</v>
      </c>
      <c r="DJ96" s="173">
        <f t="shared" si="67"/>
        <v>0</v>
      </c>
      <c r="DK96" s="173">
        <f t="shared" si="67"/>
        <v>0</v>
      </c>
      <c r="DL96" s="173">
        <f t="shared" si="67"/>
        <v>0</v>
      </c>
      <c r="DM96" s="173">
        <f t="shared" si="67"/>
        <v>0</v>
      </c>
      <c r="DN96" s="173">
        <f t="shared" si="67"/>
        <v>0</v>
      </c>
      <c r="DO96" s="173">
        <f t="shared" si="67"/>
        <v>0</v>
      </c>
      <c r="DP96" s="173">
        <f t="shared" si="67"/>
        <v>0</v>
      </c>
      <c r="DQ96" s="173">
        <f t="shared" si="67"/>
        <v>0</v>
      </c>
      <c r="DR96" s="173">
        <f t="shared" si="67"/>
        <v>0</v>
      </c>
      <c r="DS96" s="173">
        <f t="shared" si="67"/>
        <v>0</v>
      </c>
      <c r="DT96" s="173">
        <f t="shared" si="67"/>
        <v>0</v>
      </c>
      <c r="DU96" s="173">
        <f t="shared" si="67"/>
        <v>0</v>
      </c>
      <c r="DV96" s="173">
        <f t="shared" si="67"/>
        <v>0</v>
      </c>
      <c r="DW96" s="173">
        <f t="shared" si="67"/>
        <v>0</v>
      </c>
      <c r="DX96" s="173">
        <f t="shared" si="67"/>
        <v>0</v>
      </c>
      <c r="DY96" s="173">
        <f t="shared" si="67"/>
        <v>0</v>
      </c>
      <c r="DZ96" s="173">
        <f t="shared" si="67"/>
        <v>0</v>
      </c>
      <c r="EA96" s="173">
        <f t="shared" si="67"/>
        <v>0</v>
      </c>
      <c r="EB96" s="173">
        <f t="shared" si="67"/>
        <v>0</v>
      </c>
    </row>
    <row r="97" spans="1:132" x14ac:dyDescent="0.25">
      <c r="A97" s="5" t="s">
        <v>840</v>
      </c>
      <c r="B97" s="30">
        <f>F18+F22</f>
        <v>0</v>
      </c>
      <c r="C97" s="5"/>
      <c r="D97" s="202">
        <f>IF(B97=0,0,B97/Troupeau!$D$17)</f>
        <v>0</v>
      </c>
      <c r="F97" s="172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9" t="str">
        <f>AT34</f>
        <v>lot9</v>
      </c>
      <c r="AV97" s="173">
        <f t="shared" si="65"/>
        <v>0</v>
      </c>
      <c r="AW97" s="173">
        <f t="shared" si="65"/>
        <v>0</v>
      </c>
      <c r="AX97" s="173">
        <f t="shared" si="65"/>
        <v>0</v>
      </c>
      <c r="AY97" s="173">
        <f t="shared" si="65"/>
        <v>0</v>
      </c>
      <c r="AZ97" s="173">
        <f t="shared" si="65"/>
        <v>0</v>
      </c>
      <c r="BA97" s="173">
        <f t="shared" si="65"/>
        <v>0</v>
      </c>
      <c r="BB97" s="173">
        <f t="shared" si="65"/>
        <v>0</v>
      </c>
      <c r="BC97" s="173">
        <f t="shared" si="65"/>
        <v>0</v>
      </c>
      <c r="BD97" s="173">
        <f t="shared" si="65"/>
        <v>0</v>
      </c>
      <c r="BE97" s="173">
        <f t="shared" si="65"/>
        <v>0</v>
      </c>
      <c r="BF97" s="173">
        <f t="shared" si="65"/>
        <v>0</v>
      </c>
      <c r="BG97" s="173">
        <f t="shared" si="65"/>
        <v>0</v>
      </c>
      <c r="BH97" s="173">
        <f t="shared" si="65"/>
        <v>0</v>
      </c>
      <c r="BI97" s="173">
        <f t="shared" si="65"/>
        <v>0</v>
      </c>
      <c r="BJ97" s="173">
        <f t="shared" si="65"/>
        <v>0</v>
      </c>
      <c r="BK97" s="173">
        <f t="shared" si="65"/>
        <v>0</v>
      </c>
      <c r="BL97" s="173">
        <f t="shared" si="65"/>
        <v>0</v>
      </c>
      <c r="BM97" s="173">
        <f t="shared" si="65"/>
        <v>0</v>
      </c>
      <c r="BN97" s="173">
        <f t="shared" si="65"/>
        <v>0</v>
      </c>
      <c r="BO97" s="173">
        <f t="shared" si="65"/>
        <v>0</v>
      </c>
      <c r="BP97" s="173">
        <f t="shared" si="65"/>
        <v>0</v>
      </c>
      <c r="BQ97" s="173">
        <f t="shared" si="65"/>
        <v>0</v>
      </c>
      <c r="BR97" s="173">
        <f t="shared" si="65"/>
        <v>0</v>
      </c>
      <c r="BS97" s="173">
        <f t="shared" si="65"/>
        <v>0</v>
      </c>
      <c r="BZ97" s="189" t="str">
        <f>BZ34</f>
        <v>lot9</v>
      </c>
      <c r="CB97" s="173">
        <f t="shared" si="66"/>
        <v>0</v>
      </c>
      <c r="CC97" s="173">
        <f t="shared" si="66"/>
        <v>0</v>
      </c>
      <c r="CD97" s="173">
        <f t="shared" si="66"/>
        <v>0</v>
      </c>
      <c r="CE97" s="173">
        <f t="shared" si="66"/>
        <v>0</v>
      </c>
      <c r="CF97" s="173">
        <f t="shared" si="66"/>
        <v>0</v>
      </c>
      <c r="CG97" s="173">
        <f t="shared" si="66"/>
        <v>0</v>
      </c>
      <c r="CH97" s="173">
        <f t="shared" si="66"/>
        <v>0</v>
      </c>
      <c r="CI97" s="173">
        <f t="shared" si="66"/>
        <v>0</v>
      </c>
      <c r="CJ97" s="173">
        <f t="shared" si="66"/>
        <v>0</v>
      </c>
      <c r="CK97" s="173">
        <f t="shared" si="66"/>
        <v>0</v>
      </c>
      <c r="CL97" s="173">
        <f t="shared" si="66"/>
        <v>0</v>
      </c>
      <c r="CM97" s="173">
        <f t="shared" si="66"/>
        <v>0</v>
      </c>
      <c r="CN97" s="173">
        <f t="shared" si="66"/>
        <v>0</v>
      </c>
      <c r="CO97" s="173">
        <f t="shared" si="66"/>
        <v>0</v>
      </c>
      <c r="CP97" s="173">
        <f t="shared" si="66"/>
        <v>0</v>
      </c>
      <c r="CQ97" s="173">
        <f t="shared" si="66"/>
        <v>0</v>
      </c>
      <c r="CR97" s="173">
        <f t="shared" si="66"/>
        <v>0</v>
      </c>
      <c r="CS97" s="173">
        <f t="shared" si="66"/>
        <v>0</v>
      </c>
      <c r="CT97" s="173">
        <f t="shared" si="66"/>
        <v>0</v>
      </c>
      <c r="CU97" s="173">
        <f t="shared" si="66"/>
        <v>0</v>
      </c>
      <c r="CV97" s="173">
        <f t="shared" si="66"/>
        <v>0</v>
      </c>
      <c r="CW97" s="173">
        <f t="shared" si="66"/>
        <v>0</v>
      </c>
      <c r="CX97" s="173">
        <f t="shared" si="66"/>
        <v>0</v>
      </c>
      <c r="CY97" s="173">
        <f t="shared" si="66"/>
        <v>0</v>
      </c>
      <c r="DC97" s="189" t="str">
        <f>DC34</f>
        <v>lot9</v>
      </c>
      <c r="DE97" s="173">
        <f t="shared" si="67"/>
        <v>0</v>
      </c>
      <c r="DF97" s="173">
        <f t="shared" si="67"/>
        <v>0</v>
      </c>
      <c r="DG97" s="173">
        <f t="shared" si="67"/>
        <v>0</v>
      </c>
      <c r="DH97" s="173">
        <f t="shared" si="67"/>
        <v>0</v>
      </c>
      <c r="DI97" s="173">
        <f t="shared" si="67"/>
        <v>0</v>
      </c>
      <c r="DJ97" s="173">
        <f t="shared" si="67"/>
        <v>0</v>
      </c>
      <c r="DK97" s="173">
        <f t="shared" si="67"/>
        <v>0</v>
      </c>
      <c r="DL97" s="173">
        <f t="shared" si="67"/>
        <v>0</v>
      </c>
      <c r="DM97" s="173">
        <f t="shared" si="67"/>
        <v>0</v>
      </c>
      <c r="DN97" s="173">
        <f t="shared" si="67"/>
        <v>0</v>
      </c>
      <c r="DO97" s="173">
        <f t="shared" si="67"/>
        <v>0</v>
      </c>
      <c r="DP97" s="173">
        <f t="shared" si="67"/>
        <v>0</v>
      </c>
      <c r="DQ97" s="173">
        <f t="shared" si="67"/>
        <v>0</v>
      </c>
      <c r="DR97" s="173">
        <f t="shared" si="67"/>
        <v>0</v>
      </c>
      <c r="DS97" s="173">
        <f t="shared" si="67"/>
        <v>0</v>
      </c>
      <c r="DT97" s="173">
        <f t="shared" si="67"/>
        <v>0</v>
      </c>
      <c r="DU97" s="173">
        <f t="shared" si="67"/>
        <v>0</v>
      </c>
      <c r="DV97" s="173">
        <f t="shared" si="67"/>
        <v>0</v>
      </c>
      <c r="DW97" s="173">
        <f t="shared" si="67"/>
        <v>0</v>
      </c>
      <c r="DX97" s="173">
        <f t="shared" si="67"/>
        <v>0</v>
      </c>
      <c r="DY97" s="173">
        <f t="shared" si="67"/>
        <v>0</v>
      </c>
      <c r="DZ97" s="173">
        <f t="shared" si="67"/>
        <v>0</v>
      </c>
      <c r="EA97" s="173">
        <f t="shared" si="67"/>
        <v>0</v>
      </c>
      <c r="EB97" s="173">
        <f t="shared" si="67"/>
        <v>0</v>
      </c>
    </row>
    <row r="98" spans="1:132" x14ac:dyDescent="0.25">
      <c r="A98" s="23" t="s">
        <v>841</v>
      </c>
      <c r="B98" s="46">
        <f>SUM(B95:B97)</f>
        <v>156.80000000000001</v>
      </c>
      <c r="C98" s="5"/>
      <c r="D98" s="197"/>
      <c r="F98" s="172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9" t="str">
        <f>AT35</f>
        <v>lot10</v>
      </c>
      <c r="AV98" s="173">
        <f t="shared" si="65"/>
        <v>0</v>
      </c>
      <c r="AW98" s="173">
        <f t="shared" si="65"/>
        <v>0</v>
      </c>
      <c r="AX98" s="173">
        <f t="shared" si="65"/>
        <v>0</v>
      </c>
      <c r="AY98" s="173">
        <f t="shared" si="65"/>
        <v>0</v>
      </c>
      <c r="AZ98" s="173">
        <f t="shared" si="65"/>
        <v>0</v>
      </c>
      <c r="BA98" s="173">
        <f t="shared" si="65"/>
        <v>0</v>
      </c>
      <c r="BB98" s="173">
        <f t="shared" si="65"/>
        <v>0</v>
      </c>
      <c r="BC98" s="173">
        <f t="shared" si="65"/>
        <v>0</v>
      </c>
      <c r="BD98" s="173">
        <f t="shared" si="65"/>
        <v>0</v>
      </c>
      <c r="BE98" s="173">
        <f t="shared" si="65"/>
        <v>0</v>
      </c>
      <c r="BF98" s="173">
        <f t="shared" si="65"/>
        <v>0</v>
      </c>
      <c r="BG98" s="173">
        <f t="shared" si="65"/>
        <v>0</v>
      </c>
      <c r="BH98" s="173">
        <f t="shared" si="65"/>
        <v>0</v>
      </c>
      <c r="BI98" s="173">
        <f t="shared" si="65"/>
        <v>0</v>
      </c>
      <c r="BJ98" s="173">
        <f t="shared" si="65"/>
        <v>0</v>
      </c>
      <c r="BK98" s="173">
        <f t="shared" si="65"/>
        <v>0</v>
      </c>
      <c r="BL98" s="173">
        <f t="shared" si="65"/>
        <v>0</v>
      </c>
      <c r="BM98" s="173">
        <f t="shared" si="65"/>
        <v>0</v>
      </c>
      <c r="BN98" s="173">
        <f t="shared" si="65"/>
        <v>0</v>
      </c>
      <c r="BO98" s="173">
        <f t="shared" si="65"/>
        <v>0</v>
      </c>
      <c r="BP98" s="173">
        <f t="shared" si="65"/>
        <v>0</v>
      </c>
      <c r="BQ98" s="173">
        <f t="shared" si="65"/>
        <v>0</v>
      </c>
      <c r="BR98" s="173">
        <f t="shared" si="65"/>
        <v>0</v>
      </c>
      <c r="BS98" s="173">
        <f t="shared" si="65"/>
        <v>0</v>
      </c>
      <c r="BZ98" s="189" t="str">
        <f>BZ35</f>
        <v>lot10</v>
      </c>
      <c r="CB98" s="173">
        <f t="shared" si="66"/>
        <v>0</v>
      </c>
      <c r="CC98" s="173">
        <f t="shared" si="66"/>
        <v>0</v>
      </c>
      <c r="CD98" s="173">
        <f t="shared" si="66"/>
        <v>0</v>
      </c>
      <c r="CE98" s="173">
        <f t="shared" si="66"/>
        <v>0</v>
      </c>
      <c r="CF98" s="173">
        <f t="shared" si="66"/>
        <v>0</v>
      </c>
      <c r="CG98" s="173">
        <f t="shared" si="66"/>
        <v>0</v>
      </c>
      <c r="CH98" s="173">
        <f t="shared" si="66"/>
        <v>0</v>
      </c>
      <c r="CI98" s="173">
        <f t="shared" si="66"/>
        <v>0</v>
      </c>
      <c r="CJ98" s="173">
        <f t="shared" si="66"/>
        <v>0</v>
      </c>
      <c r="CK98" s="173">
        <f t="shared" si="66"/>
        <v>0</v>
      </c>
      <c r="CL98" s="173">
        <f t="shared" si="66"/>
        <v>0</v>
      </c>
      <c r="CM98" s="173">
        <f t="shared" si="66"/>
        <v>0</v>
      </c>
      <c r="CN98" s="173">
        <f t="shared" si="66"/>
        <v>0</v>
      </c>
      <c r="CO98" s="173">
        <f t="shared" si="66"/>
        <v>0</v>
      </c>
      <c r="CP98" s="173">
        <f t="shared" si="66"/>
        <v>0</v>
      </c>
      <c r="CQ98" s="173">
        <f t="shared" si="66"/>
        <v>0</v>
      </c>
      <c r="CR98" s="173">
        <f t="shared" si="66"/>
        <v>0</v>
      </c>
      <c r="CS98" s="173">
        <f t="shared" si="66"/>
        <v>0</v>
      </c>
      <c r="CT98" s="173">
        <f t="shared" si="66"/>
        <v>0</v>
      </c>
      <c r="CU98" s="173">
        <f t="shared" si="66"/>
        <v>0</v>
      </c>
      <c r="CV98" s="173">
        <f t="shared" si="66"/>
        <v>0</v>
      </c>
      <c r="CW98" s="173">
        <f t="shared" si="66"/>
        <v>0</v>
      </c>
      <c r="CX98" s="173">
        <f t="shared" si="66"/>
        <v>0</v>
      </c>
      <c r="CY98" s="173">
        <f t="shared" si="66"/>
        <v>0</v>
      </c>
      <c r="DC98" s="189" t="str">
        <f>DC35</f>
        <v>lot10</v>
      </c>
      <c r="DE98" s="173">
        <f t="shared" si="67"/>
        <v>0</v>
      </c>
      <c r="DF98" s="173">
        <f t="shared" si="67"/>
        <v>0</v>
      </c>
      <c r="DG98" s="173">
        <f t="shared" si="67"/>
        <v>0</v>
      </c>
      <c r="DH98" s="173">
        <f t="shared" si="67"/>
        <v>0</v>
      </c>
      <c r="DI98" s="173">
        <f t="shared" si="67"/>
        <v>0</v>
      </c>
      <c r="DJ98" s="173">
        <f t="shared" si="67"/>
        <v>0</v>
      </c>
      <c r="DK98" s="173">
        <f t="shared" si="67"/>
        <v>0</v>
      </c>
      <c r="DL98" s="173">
        <f t="shared" si="67"/>
        <v>0</v>
      </c>
      <c r="DM98" s="173">
        <f t="shared" si="67"/>
        <v>0</v>
      </c>
      <c r="DN98" s="173">
        <f t="shared" si="67"/>
        <v>0</v>
      </c>
      <c r="DO98" s="173">
        <f t="shared" si="67"/>
        <v>0</v>
      </c>
      <c r="DP98" s="173">
        <f t="shared" si="67"/>
        <v>0</v>
      </c>
      <c r="DQ98" s="173">
        <f t="shared" si="67"/>
        <v>0</v>
      </c>
      <c r="DR98" s="173">
        <f t="shared" si="67"/>
        <v>0</v>
      </c>
      <c r="DS98" s="173">
        <f t="shared" si="67"/>
        <v>0</v>
      </c>
      <c r="DT98" s="173">
        <f t="shared" si="67"/>
        <v>0</v>
      </c>
      <c r="DU98" s="173">
        <f t="shared" si="67"/>
        <v>0</v>
      </c>
      <c r="DV98" s="173">
        <f t="shared" si="67"/>
        <v>0</v>
      </c>
      <c r="DW98" s="173">
        <f t="shared" si="67"/>
        <v>0</v>
      </c>
      <c r="DX98" s="173">
        <f t="shared" si="67"/>
        <v>0</v>
      </c>
      <c r="DY98" s="173">
        <f t="shared" si="67"/>
        <v>0</v>
      </c>
      <c r="DZ98" s="173">
        <f t="shared" si="67"/>
        <v>0</v>
      </c>
      <c r="EA98" s="173">
        <f t="shared" si="67"/>
        <v>0</v>
      </c>
      <c r="EB98" s="173">
        <f t="shared" si="67"/>
        <v>0</v>
      </c>
    </row>
    <row r="99" spans="1:132" x14ac:dyDescent="0.25">
      <c r="A99" s="5" t="s">
        <v>842</v>
      </c>
      <c r="B99" s="30">
        <f>F31+F35</f>
        <v>1427.77</v>
      </c>
      <c r="C99" s="5"/>
      <c r="D99" s="202">
        <f>B99/Troupeau!$B$17</f>
        <v>4.6966118421052627</v>
      </c>
      <c r="F99" s="172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204" t="s">
        <v>13</v>
      </c>
      <c r="AV99" s="62">
        <f>SUM(AV90:AV98)</f>
        <v>366.12173913043478</v>
      </c>
      <c r="AW99" s="62">
        <f t="shared" ref="AW99:BS99" si="68">SUM(AW90:AW98)</f>
        <v>363.47826086956525</v>
      </c>
      <c r="AX99" s="62">
        <f t="shared" si="68"/>
        <v>360.83478260869566</v>
      </c>
      <c r="AY99" s="62">
        <f t="shared" si="68"/>
        <v>359.5130434782609</v>
      </c>
      <c r="AZ99" s="62">
        <f t="shared" si="68"/>
        <v>358.19130434782608</v>
      </c>
      <c r="BA99" s="62">
        <f t="shared" si="68"/>
        <v>356.86956521739131</v>
      </c>
      <c r="BB99" s="62">
        <f t="shared" si="68"/>
        <v>355.54782608695655</v>
      </c>
      <c r="BC99" s="62">
        <f t="shared" si="68"/>
        <v>354.22608695652178</v>
      </c>
      <c r="BD99" s="62">
        <f t="shared" si="68"/>
        <v>351.5826086956522</v>
      </c>
      <c r="BE99" s="62">
        <f t="shared" si="68"/>
        <v>323.82608695652175</v>
      </c>
      <c r="BF99" s="62">
        <f t="shared" si="68"/>
        <v>323.82608695652175</v>
      </c>
      <c r="BG99" s="62">
        <f t="shared" si="68"/>
        <v>68.730434782608697</v>
      </c>
      <c r="BH99" s="62">
        <f t="shared" si="68"/>
        <v>68.730434782608697</v>
      </c>
      <c r="BI99" s="62">
        <f t="shared" si="68"/>
        <v>68.730434782608697</v>
      </c>
      <c r="BJ99" s="62">
        <f t="shared" si="68"/>
        <v>68.730434782608697</v>
      </c>
      <c r="BK99" s="62">
        <f t="shared" si="68"/>
        <v>68.730434782608697</v>
      </c>
      <c r="BL99" s="62">
        <f t="shared" si="68"/>
        <v>68.730434782608697</v>
      </c>
      <c r="BM99" s="62">
        <f t="shared" si="68"/>
        <v>68.730434782608697</v>
      </c>
      <c r="BN99" s="62">
        <f t="shared" si="68"/>
        <v>323.82608695652175</v>
      </c>
      <c r="BO99" s="62">
        <f t="shared" si="68"/>
        <v>311.9304347826087</v>
      </c>
      <c r="BP99" s="62">
        <f t="shared" si="68"/>
        <v>311.9304347826087</v>
      </c>
      <c r="BQ99" s="62">
        <f t="shared" si="68"/>
        <v>366.12173913043478</v>
      </c>
      <c r="BR99" s="62">
        <f t="shared" si="68"/>
        <v>366.12173913043478</v>
      </c>
      <c r="BS99" s="62">
        <f t="shared" si="68"/>
        <v>366.12173913043478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843</v>
      </c>
      <c r="B100" s="30">
        <f>F32+F36</f>
        <v>84</v>
      </c>
      <c r="C100" s="5"/>
      <c r="D100" s="202">
        <f>IF(B100=0,0,B100/Troupeau!$C$17)</f>
        <v>4.4210526315789478</v>
      </c>
      <c r="F100" s="172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9" t="s">
        <v>844</v>
      </c>
      <c r="AV100" s="173">
        <f>IF($AT$2="OL",AV99/50,AV99/10)</f>
        <v>7.3224347826086955</v>
      </c>
      <c r="AW100" s="173">
        <f t="shared" ref="AW100:BS100" si="71">IF($AT$2="OL",AW99/50,AW99/10)</f>
        <v>7.269565217391305</v>
      </c>
      <c r="AX100" s="173">
        <f t="shared" si="71"/>
        <v>7.2166956521739136</v>
      </c>
      <c r="AY100" s="173">
        <f t="shared" si="71"/>
        <v>7.1902608695652184</v>
      </c>
      <c r="AZ100" s="173">
        <f t="shared" si="71"/>
        <v>7.1638260869565213</v>
      </c>
      <c r="BA100" s="173">
        <f t="shared" si="71"/>
        <v>7.1373913043478261</v>
      </c>
      <c r="BB100" s="173">
        <f t="shared" si="71"/>
        <v>7.1109565217391308</v>
      </c>
      <c r="BC100" s="173">
        <f t="shared" si="71"/>
        <v>7.0845217391304356</v>
      </c>
      <c r="BD100" s="173">
        <f t="shared" si="71"/>
        <v>7.0316521739130442</v>
      </c>
      <c r="BE100" s="173">
        <f t="shared" si="71"/>
        <v>6.4765217391304351</v>
      </c>
      <c r="BF100" s="173">
        <f t="shared" si="71"/>
        <v>6.4765217391304351</v>
      </c>
      <c r="BG100" s="173">
        <f t="shared" si="71"/>
        <v>1.3746086956521739</v>
      </c>
      <c r="BH100" s="173">
        <f t="shared" si="71"/>
        <v>1.3746086956521739</v>
      </c>
      <c r="BI100" s="173">
        <f t="shared" si="71"/>
        <v>1.3746086956521739</v>
      </c>
      <c r="BJ100" s="173">
        <f t="shared" si="71"/>
        <v>1.3746086956521739</v>
      </c>
      <c r="BK100" s="173">
        <f t="shared" si="71"/>
        <v>1.3746086956521739</v>
      </c>
      <c r="BL100" s="173">
        <f t="shared" si="71"/>
        <v>1.3746086956521739</v>
      </c>
      <c r="BM100" s="173">
        <f t="shared" si="71"/>
        <v>1.3746086956521739</v>
      </c>
      <c r="BN100" s="173">
        <f t="shared" si="71"/>
        <v>6.4765217391304351</v>
      </c>
      <c r="BO100" s="173">
        <f t="shared" si="71"/>
        <v>6.2386086956521742</v>
      </c>
      <c r="BP100" s="173">
        <f t="shared" si="71"/>
        <v>6.2386086956521742</v>
      </c>
      <c r="BQ100" s="173">
        <f t="shared" si="71"/>
        <v>7.3224347826086955</v>
      </c>
      <c r="BR100" s="173">
        <f t="shared" si="71"/>
        <v>7.3224347826086955</v>
      </c>
      <c r="BS100" s="173">
        <f t="shared" si="71"/>
        <v>7.3224347826086955</v>
      </c>
      <c r="BZ100" s="32" t="s">
        <v>844</v>
      </c>
      <c r="CB100" s="173">
        <f>IF($AT$2="OL",CB99/50,CB99/10)</f>
        <v>0</v>
      </c>
      <c r="CC100" s="173">
        <f t="shared" ref="CC100:CY100" si="72">IF($AT$2="OL",CC99/50,CC99/10)</f>
        <v>0</v>
      </c>
      <c r="CD100" s="173">
        <f t="shared" si="72"/>
        <v>0</v>
      </c>
      <c r="CE100" s="173">
        <f t="shared" si="72"/>
        <v>0</v>
      </c>
      <c r="CF100" s="173">
        <f t="shared" si="72"/>
        <v>0</v>
      </c>
      <c r="CG100" s="173">
        <f t="shared" si="72"/>
        <v>0</v>
      </c>
      <c r="CH100" s="173">
        <f t="shared" si="72"/>
        <v>0</v>
      </c>
      <c r="CI100" s="173">
        <f t="shared" si="72"/>
        <v>0</v>
      </c>
      <c r="CJ100" s="173">
        <f t="shared" si="72"/>
        <v>0</v>
      </c>
      <c r="CK100" s="173">
        <f t="shared" si="72"/>
        <v>0</v>
      </c>
      <c r="CL100" s="173">
        <f t="shared" si="72"/>
        <v>0</v>
      </c>
      <c r="CM100" s="173">
        <f t="shared" si="72"/>
        <v>0</v>
      </c>
      <c r="CN100" s="173">
        <f t="shared" si="72"/>
        <v>0</v>
      </c>
      <c r="CO100" s="173">
        <f t="shared" si="72"/>
        <v>0</v>
      </c>
      <c r="CP100" s="173">
        <f t="shared" si="72"/>
        <v>0</v>
      </c>
      <c r="CQ100" s="173">
        <f t="shared" si="72"/>
        <v>0</v>
      </c>
      <c r="CR100" s="173">
        <f t="shared" si="72"/>
        <v>0</v>
      </c>
      <c r="CS100" s="173">
        <f t="shared" si="72"/>
        <v>0</v>
      </c>
      <c r="CT100" s="173">
        <f t="shared" si="72"/>
        <v>0</v>
      </c>
      <c r="CU100" s="173">
        <f t="shared" si="72"/>
        <v>0</v>
      </c>
      <c r="CV100" s="173">
        <f t="shared" si="72"/>
        <v>0</v>
      </c>
      <c r="CW100" s="173">
        <f t="shared" si="72"/>
        <v>0</v>
      </c>
      <c r="CX100" s="173">
        <f t="shared" si="72"/>
        <v>0</v>
      </c>
      <c r="CY100" s="173">
        <f t="shared" si="72"/>
        <v>0</v>
      </c>
      <c r="DC100" s="32" t="s">
        <v>844</v>
      </c>
      <c r="DE100" s="173">
        <f>IF($AT$2="OL",DE99/50,DE99/10)</f>
        <v>0</v>
      </c>
      <c r="DF100" s="173">
        <f t="shared" ref="DF100:EB100" si="73">IF($AT$2="OL",DF99/50,DF99/10)</f>
        <v>0</v>
      </c>
      <c r="DG100" s="173">
        <f t="shared" si="73"/>
        <v>0</v>
      </c>
      <c r="DH100" s="173">
        <f t="shared" si="73"/>
        <v>0</v>
      </c>
      <c r="DI100" s="173">
        <f t="shared" si="73"/>
        <v>0</v>
      </c>
      <c r="DJ100" s="173">
        <f t="shared" si="73"/>
        <v>0</v>
      </c>
      <c r="DK100" s="173">
        <f t="shared" si="73"/>
        <v>0</v>
      </c>
      <c r="DL100" s="173">
        <f t="shared" si="73"/>
        <v>0</v>
      </c>
      <c r="DM100" s="173">
        <f t="shared" si="73"/>
        <v>0</v>
      </c>
      <c r="DN100" s="173">
        <f t="shared" si="73"/>
        <v>0</v>
      </c>
      <c r="DO100" s="173">
        <f t="shared" si="73"/>
        <v>0</v>
      </c>
      <c r="DP100" s="173">
        <f t="shared" si="73"/>
        <v>0</v>
      </c>
      <c r="DQ100" s="173">
        <f t="shared" si="73"/>
        <v>0</v>
      </c>
      <c r="DR100" s="173">
        <f t="shared" si="73"/>
        <v>0</v>
      </c>
      <c r="DS100" s="173">
        <f t="shared" si="73"/>
        <v>0</v>
      </c>
      <c r="DT100" s="173">
        <f t="shared" si="73"/>
        <v>0</v>
      </c>
      <c r="DU100" s="173">
        <f t="shared" si="73"/>
        <v>0</v>
      </c>
      <c r="DV100" s="173">
        <f t="shared" si="73"/>
        <v>0</v>
      </c>
      <c r="DW100" s="173">
        <f t="shared" si="73"/>
        <v>0</v>
      </c>
      <c r="DX100" s="173">
        <f t="shared" si="73"/>
        <v>0</v>
      </c>
      <c r="DY100" s="173">
        <f t="shared" si="73"/>
        <v>0</v>
      </c>
      <c r="DZ100" s="173">
        <f t="shared" si="73"/>
        <v>0</v>
      </c>
      <c r="EA100" s="173">
        <f t="shared" si="73"/>
        <v>0</v>
      </c>
      <c r="EB100" s="173">
        <f t="shared" si="73"/>
        <v>0</v>
      </c>
    </row>
    <row r="101" spans="1:132" x14ac:dyDescent="0.25">
      <c r="A101" s="5" t="s">
        <v>845</v>
      </c>
      <c r="B101" s="30">
        <f>F33+F37</f>
        <v>0</v>
      </c>
      <c r="C101" s="5"/>
      <c r="D101" s="202">
        <f>IF(B101=0,0,B101/Troupeau!$D$17)</f>
        <v>0</v>
      </c>
      <c r="F101" s="172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9" t="s">
        <v>846</v>
      </c>
      <c r="AV101" s="173">
        <f>IF(AV100&gt;1,AV100-1,0)</f>
        <v>6.3224347826086955</v>
      </c>
      <c r="AW101" s="173">
        <f t="shared" ref="AW101:BS101" si="74">IF(AW100&gt;1,AW100-1,0)</f>
        <v>6.269565217391305</v>
      </c>
      <c r="AX101" s="173">
        <f t="shared" si="74"/>
        <v>6.2166956521739136</v>
      </c>
      <c r="AY101" s="173">
        <f t="shared" si="74"/>
        <v>6.1902608695652184</v>
      </c>
      <c r="AZ101" s="173">
        <f t="shared" si="74"/>
        <v>6.1638260869565213</v>
      </c>
      <c r="BA101" s="173">
        <f t="shared" si="74"/>
        <v>6.1373913043478261</v>
      </c>
      <c r="BB101" s="173">
        <f t="shared" si="74"/>
        <v>6.1109565217391308</v>
      </c>
      <c r="BC101" s="173">
        <f t="shared" si="74"/>
        <v>6.0845217391304356</v>
      </c>
      <c r="BD101" s="173">
        <f t="shared" si="74"/>
        <v>6.0316521739130442</v>
      </c>
      <c r="BE101" s="173">
        <f t="shared" si="74"/>
        <v>5.4765217391304351</v>
      </c>
      <c r="BF101" s="173">
        <f t="shared" si="74"/>
        <v>5.4765217391304351</v>
      </c>
      <c r="BG101" s="173">
        <f t="shared" si="74"/>
        <v>0.37460869565217392</v>
      </c>
      <c r="BH101" s="173">
        <f t="shared" si="74"/>
        <v>0.37460869565217392</v>
      </c>
      <c r="BI101" s="173">
        <f t="shared" si="74"/>
        <v>0.37460869565217392</v>
      </c>
      <c r="BJ101" s="173">
        <f t="shared" si="74"/>
        <v>0.37460869565217392</v>
      </c>
      <c r="BK101" s="173">
        <f t="shared" si="74"/>
        <v>0.37460869565217392</v>
      </c>
      <c r="BL101" s="173">
        <f t="shared" si="74"/>
        <v>0.37460869565217392</v>
      </c>
      <c r="BM101" s="173">
        <f t="shared" si="74"/>
        <v>0.37460869565217392</v>
      </c>
      <c r="BN101" s="173">
        <f t="shared" si="74"/>
        <v>5.4765217391304351</v>
      </c>
      <c r="BO101" s="173">
        <f t="shared" si="74"/>
        <v>5.2386086956521742</v>
      </c>
      <c r="BP101" s="173">
        <f t="shared" si="74"/>
        <v>5.2386086956521742</v>
      </c>
      <c r="BQ101" s="173">
        <f t="shared" si="74"/>
        <v>6.3224347826086955</v>
      </c>
      <c r="BR101" s="173">
        <f t="shared" si="74"/>
        <v>6.3224347826086955</v>
      </c>
      <c r="BS101" s="173">
        <f t="shared" si="74"/>
        <v>6.3224347826086955</v>
      </c>
      <c r="BZ101" s="32" t="s">
        <v>846</v>
      </c>
      <c r="CB101" s="173">
        <f>IF(CB100&gt;1,CB100-1,0)</f>
        <v>0</v>
      </c>
      <c r="CC101" s="173">
        <f t="shared" ref="CC101:CY101" si="75">IF(CC100&gt;1,CC100-1,0)</f>
        <v>0</v>
      </c>
      <c r="CD101" s="173">
        <f t="shared" si="75"/>
        <v>0</v>
      </c>
      <c r="CE101" s="173">
        <f t="shared" si="75"/>
        <v>0</v>
      </c>
      <c r="CF101" s="173">
        <f t="shared" si="75"/>
        <v>0</v>
      </c>
      <c r="CG101" s="173">
        <f t="shared" si="75"/>
        <v>0</v>
      </c>
      <c r="CH101" s="173">
        <f t="shared" si="75"/>
        <v>0</v>
      </c>
      <c r="CI101" s="173">
        <f t="shared" si="75"/>
        <v>0</v>
      </c>
      <c r="CJ101" s="173">
        <f t="shared" si="75"/>
        <v>0</v>
      </c>
      <c r="CK101" s="173">
        <f t="shared" si="75"/>
        <v>0</v>
      </c>
      <c r="CL101" s="173">
        <f t="shared" si="75"/>
        <v>0</v>
      </c>
      <c r="CM101" s="173">
        <f t="shared" si="75"/>
        <v>0</v>
      </c>
      <c r="CN101" s="173">
        <f t="shared" si="75"/>
        <v>0</v>
      </c>
      <c r="CO101" s="173">
        <f t="shared" si="75"/>
        <v>0</v>
      </c>
      <c r="CP101" s="173">
        <f t="shared" si="75"/>
        <v>0</v>
      </c>
      <c r="CQ101" s="173">
        <f t="shared" si="75"/>
        <v>0</v>
      </c>
      <c r="CR101" s="173">
        <f t="shared" si="75"/>
        <v>0</v>
      </c>
      <c r="CS101" s="173">
        <f t="shared" si="75"/>
        <v>0</v>
      </c>
      <c r="CT101" s="173">
        <f t="shared" si="75"/>
        <v>0</v>
      </c>
      <c r="CU101" s="173">
        <f t="shared" si="75"/>
        <v>0</v>
      </c>
      <c r="CV101" s="173">
        <f t="shared" si="75"/>
        <v>0</v>
      </c>
      <c r="CW101" s="173">
        <f t="shared" si="75"/>
        <v>0</v>
      </c>
      <c r="CX101" s="173">
        <f t="shared" si="75"/>
        <v>0</v>
      </c>
      <c r="CY101" s="173">
        <f t="shared" si="75"/>
        <v>0</v>
      </c>
      <c r="DC101" s="32" t="s">
        <v>846</v>
      </c>
      <c r="DE101" s="173">
        <f>IF(DE100&gt;1,DE100-1,0)</f>
        <v>0</v>
      </c>
      <c r="DF101" s="173">
        <f t="shared" ref="DF101:EB101" si="76">IF(DF100&gt;1,DF100-1,0)</f>
        <v>0</v>
      </c>
      <c r="DG101" s="173">
        <f t="shared" si="76"/>
        <v>0</v>
      </c>
      <c r="DH101" s="173">
        <f t="shared" si="76"/>
        <v>0</v>
      </c>
      <c r="DI101" s="173">
        <f t="shared" si="76"/>
        <v>0</v>
      </c>
      <c r="DJ101" s="173">
        <f t="shared" si="76"/>
        <v>0</v>
      </c>
      <c r="DK101" s="173">
        <f t="shared" si="76"/>
        <v>0</v>
      </c>
      <c r="DL101" s="173">
        <f t="shared" si="76"/>
        <v>0</v>
      </c>
      <c r="DM101" s="173">
        <f t="shared" si="76"/>
        <v>0</v>
      </c>
      <c r="DN101" s="173">
        <f t="shared" si="76"/>
        <v>0</v>
      </c>
      <c r="DO101" s="173">
        <f t="shared" si="76"/>
        <v>0</v>
      </c>
      <c r="DP101" s="173">
        <f t="shared" si="76"/>
        <v>0</v>
      </c>
      <c r="DQ101" s="173">
        <f t="shared" si="76"/>
        <v>0</v>
      </c>
      <c r="DR101" s="173">
        <f t="shared" si="76"/>
        <v>0</v>
      </c>
      <c r="DS101" s="173">
        <f t="shared" si="76"/>
        <v>0</v>
      </c>
      <c r="DT101" s="173">
        <f t="shared" si="76"/>
        <v>0</v>
      </c>
      <c r="DU101" s="173">
        <f t="shared" si="76"/>
        <v>0</v>
      </c>
      <c r="DV101" s="173">
        <f t="shared" si="76"/>
        <v>0</v>
      </c>
      <c r="DW101" s="173">
        <f t="shared" si="76"/>
        <v>0</v>
      </c>
      <c r="DX101" s="173">
        <f t="shared" si="76"/>
        <v>0</v>
      </c>
      <c r="DY101" s="173">
        <f t="shared" si="76"/>
        <v>0</v>
      </c>
      <c r="DZ101" s="173">
        <f t="shared" si="76"/>
        <v>0</v>
      </c>
      <c r="EA101" s="173">
        <f t="shared" si="76"/>
        <v>0</v>
      </c>
      <c r="EB101" s="173">
        <f t="shared" si="76"/>
        <v>0</v>
      </c>
    </row>
    <row r="102" spans="1:132" x14ac:dyDescent="0.25">
      <c r="A102" s="23" t="s">
        <v>847</v>
      </c>
      <c r="B102" s="46">
        <f>SUM(B99:B101)</f>
        <v>1511.77</v>
      </c>
      <c r="C102" s="5"/>
      <c r="D102" s="197"/>
      <c r="F102" s="172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848</v>
      </c>
      <c r="AV102" s="62">
        <f>AV86+AV87*AV101</f>
        <v>53.064260869565217</v>
      </c>
      <c r="AW102" s="62">
        <f t="shared" ref="AW102:BS102" si="77">AW86+AW87*AW101</f>
        <v>52.971739130434784</v>
      </c>
      <c r="AX102" s="62">
        <f t="shared" si="77"/>
        <v>52.879217391304351</v>
      </c>
      <c r="AY102" s="62">
        <f t="shared" si="77"/>
        <v>52.832956521739135</v>
      </c>
      <c r="AZ102" s="62">
        <f t="shared" si="77"/>
        <v>52.786695652173911</v>
      </c>
      <c r="BA102" s="62">
        <f t="shared" si="77"/>
        <v>31.740434782608695</v>
      </c>
      <c r="BB102" s="62">
        <f t="shared" si="77"/>
        <v>31.694173913043478</v>
      </c>
      <c r="BC102" s="62">
        <f t="shared" si="77"/>
        <v>31.647913043478262</v>
      </c>
      <c r="BD102" s="62">
        <f t="shared" si="77"/>
        <v>31.555391304347829</v>
      </c>
      <c r="BE102" s="62">
        <f t="shared" si="77"/>
        <v>30.583913043478262</v>
      </c>
      <c r="BF102" s="62">
        <f t="shared" si="77"/>
        <v>30.583913043478262</v>
      </c>
      <c r="BG102" s="62">
        <f t="shared" si="77"/>
        <v>21.655565217391306</v>
      </c>
      <c r="BH102" s="62">
        <f t="shared" si="77"/>
        <v>21.655565217391306</v>
      </c>
      <c r="BI102" s="62">
        <f t="shared" si="77"/>
        <v>21.655565217391306</v>
      </c>
      <c r="BJ102" s="62">
        <f t="shared" si="77"/>
        <v>21.655565217391306</v>
      </c>
      <c r="BK102" s="62">
        <f t="shared" si="77"/>
        <v>21.655565217391306</v>
      </c>
      <c r="BL102" s="62">
        <f t="shared" si="77"/>
        <v>21.655565217391306</v>
      </c>
      <c r="BM102" s="62">
        <f t="shared" si="77"/>
        <v>21.655565217391306</v>
      </c>
      <c r="BN102" s="62">
        <f t="shared" si="77"/>
        <v>30.583913043478262</v>
      </c>
      <c r="BO102" s="62">
        <f t="shared" si="77"/>
        <v>30.167565217391306</v>
      </c>
      <c r="BP102" s="62">
        <f t="shared" si="77"/>
        <v>51.167565217391306</v>
      </c>
      <c r="BQ102" s="62">
        <f t="shared" si="77"/>
        <v>53.064260869565217</v>
      </c>
      <c r="BR102" s="62">
        <f t="shared" si="77"/>
        <v>53.064260869565217</v>
      </c>
      <c r="BS102" s="62">
        <f t="shared" si="77"/>
        <v>53.064260869565217</v>
      </c>
      <c r="BZ102" s="40" t="s">
        <v>848</v>
      </c>
      <c r="CB102" s="62">
        <f>CB86+CB87*CB101</f>
        <v>42</v>
      </c>
      <c r="CC102" s="62">
        <f t="shared" ref="CC102:CY102" si="78">CC86+CC87*CC101</f>
        <v>42</v>
      </c>
      <c r="CD102" s="62">
        <f t="shared" si="78"/>
        <v>42</v>
      </c>
      <c r="CE102" s="62">
        <f t="shared" si="78"/>
        <v>42</v>
      </c>
      <c r="CF102" s="62">
        <f t="shared" si="78"/>
        <v>42</v>
      </c>
      <c r="CG102" s="62">
        <f t="shared" si="78"/>
        <v>42</v>
      </c>
      <c r="CH102" s="62">
        <f t="shared" si="78"/>
        <v>21</v>
      </c>
      <c r="CI102" s="62">
        <f t="shared" si="78"/>
        <v>21</v>
      </c>
      <c r="CJ102" s="62">
        <f t="shared" si="78"/>
        <v>21</v>
      </c>
      <c r="CK102" s="62">
        <f t="shared" si="78"/>
        <v>21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21</v>
      </c>
      <c r="CU102" s="62">
        <f t="shared" si="78"/>
        <v>21</v>
      </c>
      <c r="CV102" s="62">
        <f t="shared" si="78"/>
        <v>21</v>
      </c>
      <c r="CW102" s="62">
        <f t="shared" si="78"/>
        <v>21</v>
      </c>
      <c r="CX102" s="62">
        <f t="shared" si="78"/>
        <v>42</v>
      </c>
      <c r="CY102" s="62">
        <f t="shared" si="78"/>
        <v>42</v>
      </c>
      <c r="DC102" s="40" t="s">
        <v>848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849</v>
      </c>
      <c r="B103" s="30">
        <f>F39</f>
        <v>1442</v>
      </c>
      <c r="C103" s="5"/>
      <c r="D103" s="202">
        <f>B103/Troupeau!$B$17</f>
        <v>4.7434210526315788</v>
      </c>
      <c r="F103" s="172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71"/>
      <c r="CC103" s="171"/>
      <c r="CD103" s="171"/>
      <c r="CE103" s="171"/>
      <c r="CF103" s="171"/>
      <c r="CG103" s="171"/>
      <c r="CH103" s="171"/>
      <c r="CI103" s="171"/>
      <c r="CJ103" s="171"/>
      <c r="CK103" s="171"/>
      <c r="CL103" s="171"/>
      <c r="CM103" s="171"/>
      <c r="CN103" s="171"/>
      <c r="CO103" s="171"/>
      <c r="CP103" s="171"/>
      <c r="CQ103" s="171"/>
      <c r="CR103" s="171"/>
      <c r="CS103" s="171"/>
      <c r="CT103" s="171"/>
      <c r="CU103" s="171"/>
      <c r="CV103" s="171"/>
      <c r="CW103" s="171"/>
      <c r="CX103" s="171"/>
      <c r="CY103" s="171"/>
      <c r="DE103" s="171"/>
      <c r="DF103" s="171"/>
      <c r="DG103" s="171"/>
      <c r="DH103" s="171"/>
      <c r="DI103" s="171"/>
      <c r="DJ103" s="171"/>
      <c r="DK103" s="171"/>
      <c r="DL103" s="171"/>
      <c r="DM103" s="171"/>
      <c r="DN103" s="171"/>
      <c r="DO103" s="171"/>
      <c r="DP103" s="171"/>
      <c r="DQ103" s="171"/>
      <c r="DR103" s="171"/>
      <c r="DS103" s="171"/>
      <c r="DT103" s="171"/>
      <c r="DU103" s="171"/>
      <c r="DV103" s="171"/>
      <c r="DW103" s="171"/>
      <c r="DX103" s="171"/>
      <c r="DY103" s="171"/>
      <c r="DZ103" s="171"/>
      <c r="EA103" s="171"/>
      <c r="EB103" s="171"/>
    </row>
    <row r="104" spans="1:132" x14ac:dyDescent="0.25">
      <c r="A104" s="5" t="s">
        <v>850</v>
      </c>
      <c r="B104" s="30">
        <f>F40</f>
        <v>0</v>
      </c>
      <c r="C104" s="5"/>
      <c r="D104" s="202">
        <f>IF(B104=0,0,B104/Troupeau!$C$17)</f>
        <v>0</v>
      </c>
      <c r="F104" s="172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851</v>
      </c>
      <c r="CB104" s="171"/>
      <c r="CC104" s="171"/>
      <c r="CD104" s="171"/>
      <c r="CE104" s="171"/>
      <c r="CF104" s="171"/>
      <c r="CG104" s="171"/>
      <c r="CH104" s="171"/>
      <c r="CI104" s="171"/>
      <c r="CJ104" s="171"/>
      <c r="CK104" s="171"/>
      <c r="CL104" s="171"/>
      <c r="CM104" s="171"/>
      <c r="CN104" s="171"/>
      <c r="CO104" s="171"/>
      <c r="CP104" s="171"/>
      <c r="CQ104" s="171"/>
      <c r="CR104" s="171"/>
      <c r="CS104" s="171"/>
      <c r="CT104" s="171"/>
      <c r="CU104" s="171"/>
      <c r="CV104" s="171"/>
      <c r="CW104" s="171"/>
      <c r="CX104" s="171"/>
      <c r="CY104" s="171"/>
      <c r="DE104" s="171"/>
      <c r="DF104" s="171"/>
      <c r="DG104" s="171"/>
      <c r="DH104" s="171"/>
      <c r="DI104" s="171"/>
      <c r="DJ104" s="171"/>
      <c r="DK104" s="171"/>
      <c r="DL104" s="171"/>
      <c r="DM104" s="171"/>
      <c r="DN104" s="171"/>
      <c r="DO104" s="171"/>
      <c r="DP104" s="171"/>
      <c r="DQ104" s="171"/>
      <c r="DR104" s="171"/>
      <c r="DS104" s="171"/>
      <c r="DT104" s="171"/>
      <c r="DU104" s="171"/>
      <c r="DV104" s="171"/>
      <c r="DW104" s="171"/>
      <c r="DX104" s="171"/>
      <c r="DY104" s="171"/>
      <c r="DZ104" s="171"/>
      <c r="EA104" s="171"/>
      <c r="EB104" s="171"/>
    </row>
    <row r="105" spans="1:132" x14ac:dyDescent="0.25">
      <c r="A105" s="5" t="s">
        <v>852</v>
      </c>
      <c r="B105" s="30">
        <f>F41</f>
        <v>0</v>
      </c>
      <c r="C105" s="5"/>
      <c r="D105" s="202">
        <f>IF(B105=0,0,B105/Troupeau!$D$17)</f>
        <v>0</v>
      </c>
      <c r="F105" s="172"/>
      <c r="G105" s="5"/>
      <c r="H105" s="5"/>
      <c r="AT105" s="147" t="s">
        <v>853</v>
      </c>
      <c r="AU105" s="17">
        <f>VLOOKUP(AU59,[1]Trav!$B$12:$C$31,2)</f>
        <v>2</v>
      </c>
      <c r="BZ105" s="147" t="s">
        <v>853</v>
      </c>
      <c r="CA105" s="17">
        <f>VLOOKUP(CA59,[1]Trav!$B$12:$C$31,2)</f>
        <v>3</v>
      </c>
      <c r="CB105" s="171"/>
      <c r="CC105" s="171"/>
      <c r="CD105" s="171"/>
      <c r="CE105" s="171"/>
      <c r="CF105" s="171"/>
      <c r="CG105" s="171"/>
      <c r="CH105" s="171"/>
      <c r="CI105" s="171"/>
      <c r="CJ105" s="171"/>
      <c r="CK105" s="171"/>
      <c r="CL105" s="171"/>
      <c r="CM105" s="171"/>
      <c r="CN105" s="171"/>
      <c r="CO105" s="171"/>
      <c r="CP105" s="171"/>
      <c r="CQ105" s="171"/>
      <c r="CR105" s="171"/>
      <c r="CS105" s="171"/>
      <c r="CT105" s="171"/>
      <c r="CU105" s="171"/>
      <c r="CV105" s="171"/>
      <c r="CW105" s="171"/>
      <c r="CX105" s="171"/>
      <c r="CY105" s="171"/>
      <c r="DC105" s="147" t="s">
        <v>853</v>
      </c>
      <c r="DD105" s="17" t="e">
        <f>VLOOKUP(DD59,[1]Trav!$B$12:$C$31,2)</f>
        <v>#N/A</v>
      </c>
      <c r="DE105" s="171"/>
      <c r="DF105" s="171"/>
      <c r="DG105" s="171"/>
      <c r="DH105" s="171"/>
      <c r="DI105" s="171"/>
      <c r="DJ105" s="171"/>
      <c r="DK105" s="171"/>
      <c r="DL105" s="171"/>
      <c r="DM105" s="171"/>
      <c r="DN105" s="171"/>
      <c r="DO105" s="171"/>
      <c r="DP105" s="171"/>
      <c r="DQ105" s="171"/>
      <c r="DR105" s="171"/>
      <c r="DS105" s="171"/>
      <c r="DT105" s="171"/>
      <c r="DU105" s="171"/>
      <c r="DV105" s="171"/>
      <c r="DW105" s="171"/>
      <c r="DX105" s="171"/>
      <c r="DY105" s="171"/>
      <c r="DZ105" s="171"/>
      <c r="EA105" s="171"/>
      <c r="EB105" s="171"/>
    </row>
    <row r="106" spans="1:132" x14ac:dyDescent="0.25">
      <c r="A106" s="23" t="s">
        <v>854</v>
      </c>
      <c r="B106" s="46">
        <f>SUM(B103:B105)</f>
        <v>1442</v>
      </c>
      <c r="C106" s="5"/>
      <c r="D106" s="197"/>
      <c r="F106" s="172"/>
      <c r="G106" s="5"/>
      <c r="H106" s="5"/>
      <c r="AT106" s="189" t="str">
        <f t="shared" ref="AT106:AT115" si="80">AT60</f>
        <v>brebis</v>
      </c>
      <c r="AV106" s="190">
        <f>IF(AV60&gt;0,HLOOKUP(AV60,[1]Trav!$C$11:$O$31,$AU$105),0)</f>
        <v>0</v>
      </c>
      <c r="AW106" s="190">
        <f>IF(AW60&gt;0,HLOOKUP(AW60,[1]Trav!$C$11:$O$31,$AU$105),0)</f>
        <v>0</v>
      </c>
      <c r="AX106" s="190">
        <f>IF(AX60&gt;0,HLOOKUP(AX60,[1]Trav!$C$11:$O$31,$AU$105),0)</f>
        <v>0</v>
      </c>
      <c r="AY106" s="190">
        <f>IF(AY60&gt;0,HLOOKUP(AY60,[1]Trav!$C$11:$O$31,$AU$105),0)</f>
        <v>14</v>
      </c>
      <c r="AZ106" s="190">
        <f>IF(AZ60&gt;0,HLOOKUP(AZ60,[1]Trav!$C$11:$O$31,$AU$105),0)</f>
        <v>14</v>
      </c>
      <c r="BA106" s="190">
        <f>IF(BA60&gt;0,HLOOKUP(BA60,[1]Trav!$C$11:$O$31,$AU$105),0)</f>
        <v>14</v>
      </c>
      <c r="BB106" s="190">
        <f>IF(BB60&gt;0,HLOOKUP(BB60,[1]Trav!$C$11:$O$31,$AU$105),0)</f>
        <v>14</v>
      </c>
      <c r="BC106" s="190">
        <f>IF(BC60&gt;0,HLOOKUP(BC60,[1]Trav!$C$11:$O$31,$AU$105),0)</f>
        <v>14</v>
      </c>
      <c r="BD106" s="190">
        <f>IF(BD60&gt;0,HLOOKUP(BD60,[1]Trav!$C$11:$O$31,$AU$105),0)</f>
        <v>14</v>
      </c>
      <c r="BE106" s="190">
        <f>IF(BE60&gt;0,HLOOKUP(BE60,[1]Trav!$C$11:$O$31,$AU$105),0)</f>
        <v>14</v>
      </c>
      <c r="BF106" s="190">
        <f>IF(BF60&gt;0,HLOOKUP(BF60,[1]Trav!$C$11:$O$31,$AU$105),0)</f>
        <v>14</v>
      </c>
      <c r="BG106" s="190">
        <f>IF(BG60&gt;0,HLOOKUP(BG60,[1]Trav!$C$11:$O$31,$AU$105),0)</f>
        <v>0</v>
      </c>
      <c r="BH106" s="190">
        <f>IF(BH60&gt;0,HLOOKUP(BH60,[1]Trav!$C$11:$O$31,$AU$105),0)</f>
        <v>0</v>
      </c>
      <c r="BI106" s="190">
        <f>IF(BI60&gt;0,HLOOKUP(BI60,[1]Trav!$C$11:$O$31,$AU$105),0)</f>
        <v>0</v>
      </c>
      <c r="BJ106" s="190">
        <f>IF(BJ60&gt;0,HLOOKUP(BJ60,[1]Trav!$C$11:$O$31,$AU$105),0)</f>
        <v>0</v>
      </c>
      <c r="BK106" s="190">
        <f>IF(BK60&gt;0,HLOOKUP(BK60,[1]Trav!$C$11:$O$31,$AU$105),0)</f>
        <v>0</v>
      </c>
      <c r="BL106" s="190">
        <f>IF(BL60&gt;0,HLOOKUP(BL60,[1]Trav!$C$11:$O$31,$AU$105),0)</f>
        <v>0</v>
      </c>
      <c r="BM106" s="190">
        <f>IF(BM60&gt;0,HLOOKUP(BM60,[1]Trav!$C$11:$O$31,$AU$105),0)</f>
        <v>0</v>
      </c>
      <c r="BN106" s="190">
        <f>IF(BN60&gt;0,HLOOKUP(BN60,[1]Trav!$C$11:$O$31,$AU$105),0)</f>
        <v>14</v>
      </c>
      <c r="BO106" s="190">
        <f>IF(BO60&gt;0,HLOOKUP(BO60,[1]Trav!$C$11:$O$31,$AU$105),0)</f>
        <v>14</v>
      </c>
      <c r="BP106" s="190">
        <f>IF(BP60&gt;0,HLOOKUP(BP60,[1]Trav!$C$11:$O$31,$AU$105),0)</f>
        <v>0</v>
      </c>
      <c r="BQ106" s="190">
        <f>IF(BQ60&gt;0,HLOOKUP(BQ60,[1]Trav!$C$11:$O$31,$AU$105),0)</f>
        <v>0</v>
      </c>
      <c r="BR106" s="190">
        <f>IF(BR60&gt;0,HLOOKUP(BR60,[1]Trav!$C$11:$O$31,$AU$105),0)</f>
        <v>0</v>
      </c>
      <c r="BS106" s="190">
        <f>IF(BS60&gt;0,HLOOKUP(BS60,[1]Trav!$C$11:$O$31,$AU$105),0)</f>
        <v>0</v>
      </c>
      <c r="BZ106" s="189" t="str">
        <f t="shared" ref="BZ106:BZ115" si="81">BZ60</f>
        <v xml:space="preserve">vaches </v>
      </c>
      <c r="CB106" s="190">
        <f>IF(CB60&gt;0,HLOOKUP(CB60,[1]Trav!$C$11:$O$31,$CA$105),0)</f>
        <v>0</v>
      </c>
      <c r="CC106" s="190">
        <f>IF(CC60&gt;0,HLOOKUP(CC60,[1]Trav!$C$11:$O$31,$CA$105),0)</f>
        <v>0</v>
      </c>
      <c r="CD106" s="190">
        <f>IF(CD60&gt;0,HLOOKUP(CD60,[1]Trav!$C$11:$O$31,$CA$105),0)</f>
        <v>0</v>
      </c>
      <c r="CE106" s="190">
        <f>IF(CE60&gt;0,HLOOKUP(CE60,[1]Trav!$C$11:$O$31,$CA$105),0)</f>
        <v>0</v>
      </c>
      <c r="CF106" s="190">
        <f>IF(CF60&gt;0,HLOOKUP(CF60,[1]Trav!$C$11:$O$31,$CA$105),0)</f>
        <v>0</v>
      </c>
      <c r="CG106" s="190">
        <f>IF(CG60&gt;0,HLOOKUP(CG60,[1]Trav!$C$11:$O$31,$CA$105),0)</f>
        <v>0</v>
      </c>
      <c r="CH106" s="190">
        <f>IF(CH60&gt;0,HLOOKUP(CH60,[1]Trav!$C$11:$O$31,$CA$105),0)</f>
        <v>10.5</v>
      </c>
      <c r="CI106" s="190">
        <f>IF(CI60&gt;0,HLOOKUP(CI60,[1]Trav!$C$11:$O$31,$CA$105),0)</f>
        <v>10.5</v>
      </c>
      <c r="CJ106" s="190">
        <f>IF(CJ60&gt;0,HLOOKUP(CJ60,[1]Trav!$C$11:$O$31,$CA$105),0)</f>
        <v>14</v>
      </c>
      <c r="CK106" s="190">
        <f>IF(CK60&gt;0,HLOOKUP(CK60,[1]Trav!$C$11:$O$31,$CA$105),0)</f>
        <v>14</v>
      </c>
      <c r="CL106" s="190">
        <f>IF(CL60&gt;0,HLOOKUP(CL60,[1]Trav!$C$11:$O$31,$CA$105),0)</f>
        <v>5.25</v>
      </c>
      <c r="CM106" s="190">
        <f>IF(CM60&gt;0,HLOOKUP(CM60,[1]Trav!$C$11:$O$31,$CA$105),0)</f>
        <v>5.25</v>
      </c>
      <c r="CN106" s="190">
        <f>IF(CN60&gt;0,HLOOKUP(CN60,[1]Trav!$C$11:$O$31,$CA$105),0)</f>
        <v>5.25</v>
      </c>
      <c r="CO106" s="190">
        <f>IF(CO60&gt;0,HLOOKUP(CO60,[1]Trav!$C$11:$O$31,$CA$105),0)</f>
        <v>3.5</v>
      </c>
      <c r="CP106" s="190">
        <f>IF(CP60&gt;0,HLOOKUP(CP60,[1]Trav!$C$11:$O$31,$CA$105),0)</f>
        <v>3.5</v>
      </c>
      <c r="CQ106" s="190">
        <f>IF(CQ60&gt;0,HLOOKUP(CQ60,[1]Trav!$C$11:$O$31,$CA$105),0)</f>
        <v>3.5</v>
      </c>
      <c r="CR106" s="190">
        <f>IF(CR60&gt;0,HLOOKUP(CR60,[1]Trav!$C$11:$O$31,$CA$105),0)</f>
        <v>5.25</v>
      </c>
      <c r="CS106" s="190">
        <f>IF(CS60&gt;0,HLOOKUP(CS60,[1]Trav!$C$11:$O$31,$CA$105),0)</f>
        <v>5.25</v>
      </c>
      <c r="CT106" s="190">
        <f>IF(CT60&gt;0,HLOOKUP(CT60,[1]Trav!$C$11:$O$31,$CA$105),0)</f>
        <v>14</v>
      </c>
      <c r="CU106" s="190">
        <f>IF(CU60&gt;0,HLOOKUP(CU60,[1]Trav!$C$11:$O$31,$CA$105),0)</f>
        <v>14</v>
      </c>
      <c r="CV106" s="190">
        <f>IF(CV60&gt;0,HLOOKUP(CV60,[1]Trav!$C$11:$O$31,$CA$105),0)</f>
        <v>14</v>
      </c>
      <c r="CW106" s="190">
        <f>IF(CW60&gt;0,HLOOKUP(CW60,[1]Trav!$C$11:$O$31,$CA$105),0)</f>
        <v>14</v>
      </c>
      <c r="CX106" s="190">
        <f>IF(CX60&gt;0,HLOOKUP(CX60,[1]Trav!$C$11:$O$31,$CA$105),0)</f>
        <v>0</v>
      </c>
      <c r="CY106" s="190">
        <f>IF(CY60&gt;0,HLOOKUP(CY60,[1]Trav!$C$11:$O$31,$CA$105),0)</f>
        <v>0</v>
      </c>
      <c r="DC106" s="189" t="str">
        <f t="shared" ref="DC106:DC115" si="82">DC60</f>
        <v>lot1</v>
      </c>
      <c r="DE106" s="190">
        <f>IF(DE60&gt;0,HLOOKUP(DE60,[1]Trav!$C$11:$O$31,$DD$105),0)</f>
        <v>0</v>
      </c>
      <c r="DF106" s="190">
        <f>IF(DF60&gt;0,HLOOKUP(DF60,[1]Trav!$C$11:$O$31,$DD$105),0)</f>
        <v>0</v>
      </c>
      <c r="DG106" s="190">
        <f>IF(DG60&gt;0,HLOOKUP(DG60,[1]Trav!$C$11:$O$31,$DD$105),0)</f>
        <v>0</v>
      </c>
      <c r="DH106" s="190">
        <f>IF(DH60&gt;0,HLOOKUP(DH60,[1]Trav!$C$11:$O$31,$DD$105),0)</f>
        <v>0</v>
      </c>
      <c r="DI106" s="190">
        <f>IF(DI60&gt;0,HLOOKUP(DI60,[1]Trav!$C$11:$O$31,$DD$105),0)</f>
        <v>0</v>
      </c>
      <c r="DJ106" s="190">
        <f>IF(DJ60&gt;0,HLOOKUP(DJ60,[1]Trav!$C$11:$O$31,$DD$105),0)</f>
        <v>0</v>
      </c>
      <c r="DK106" s="190">
        <f>IF(DK60&gt;0,HLOOKUP(DK60,[1]Trav!$C$11:$O$31,$DD$105),0)</f>
        <v>0</v>
      </c>
      <c r="DL106" s="190">
        <f>IF(DL60&gt;0,HLOOKUP(DL60,[1]Trav!$C$11:$O$31,$DD$105),0)</f>
        <v>0</v>
      </c>
      <c r="DM106" s="190">
        <f>IF(DM60&gt;0,HLOOKUP(DM60,[1]Trav!$C$11:$O$31,$DD$105),0)</f>
        <v>0</v>
      </c>
      <c r="DN106" s="190">
        <f>IF(DN60&gt;0,HLOOKUP(DN60,[1]Trav!$C$11:$O$31,$DD$105),0)</f>
        <v>0</v>
      </c>
      <c r="DO106" s="190">
        <f>IF(DO60&gt;0,HLOOKUP(DO60,[1]Trav!$C$11:$O$31,$DD$105),0)</f>
        <v>0</v>
      </c>
      <c r="DP106" s="190">
        <f>IF(DP60&gt;0,HLOOKUP(DP60,[1]Trav!$C$11:$O$31,$DD$105),0)</f>
        <v>0</v>
      </c>
      <c r="DQ106" s="190">
        <f>IF(DQ60&gt;0,HLOOKUP(DQ60,[1]Trav!$C$11:$O$31,$DD$105),0)</f>
        <v>0</v>
      </c>
      <c r="DR106" s="190">
        <f>IF(DR60&gt;0,HLOOKUP(DR60,[1]Trav!$C$11:$O$31,$DD$105),0)</f>
        <v>0</v>
      </c>
      <c r="DS106" s="190">
        <f>IF(DS60&gt;0,HLOOKUP(DS60,[1]Trav!$C$11:$O$31,$DD$105),0)</f>
        <v>0</v>
      </c>
      <c r="DT106" s="190">
        <f>IF(DT60&gt;0,HLOOKUP(DT60,[1]Trav!$C$11:$O$31,$DD$105),0)</f>
        <v>0</v>
      </c>
      <c r="DU106" s="190">
        <f>IF(DU60&gt;0,HLOOKUP(DU60,[1]Trav!$C$11:$O$31,$DD$105),0)</f>
        <v>0</v>
      </c>
      <c r="DV106" s="190">
        <f>IF(DV60&gt;0,HLOOKUP(DV60,[1]Trav!$C$11:$O$31,$DD$105),0)</f>
        <v>0</v>
      </c>
      <c r="DW106" s="190">
        <f>IF(DW60&gt;0,HLOOKUP(DW60,[1]Trav!$C$11:$O$31,$DD$105),0)</f>
        <v>0</v>
      </c>
      <c r="DX106" s="190">
        <f>IF(DX60&gt;0,HLOOKUP(DX60,[1]Trav!$C$11:$O$31,$DD$105),0)</f>
        <v>0</v>
      </c>
      <c r="DY106" s="190">
        <f>IF(DY60&gt;0,HLOOKUP(DY60,[1]Trav!$C$11:$O$31,$DD$105),0)</f>
        <v>0</v>
      </c>
      <c r="DZ106" s="190">
        <f>IF(DZ60&gt;0,HLOOKUP(DZ60,[1]Trav!$C$11:$O$31,$DD$105),0)</f>
        <v>0</v>
      </c>
      <c r="EA106" s="190">
        <f>IF(EA60&gt;0,HLOOKUP(EA60,[1]Trav!$C$11:$O$31,$DD$105),0)</f>
        <v>0</v>
      </c>
      <c r="EB106" s="190">
        <f>IF(EB60&gt;0,HLOOKUP(EB60,[1]Trav!$C$11:$O$31,$DD$105),0)</f>
        <v>0</v>
      </c>
    </row>
    <row r="107" spans="1:132" x14ac:dyDescent="0.25">
      <c r="A107" s="23" t="s">
        <v>855</v>
      </c>
      <c r="B107" s="46">
        <f>SUM(F61:F64)</f>
        <v>600</v>
      </c>
      <c r="D107" s="197"/>
      <c r="AT107" s="189" t="str">
        <f t="shared" si="80"/>
        <v>vides</v>
      </c>
      <c r="AV107" s="190">
        <f>IF(AV61&gt;0,HLOOKUP(AV61,[1]Trav!$C$11:$O$31,$AU$105),0)</f>
        <v>21</v>
      </c>
      <c r="AW107" s="190">
        <f>IF(AW61&gt;0,HLOOKUP(AW61,[1]Trav!$C$11:$O$31,$AU$105),0)</f>
        <v>21</v>
      </c>
      <c r="AX107" s="190">
        <f>IF(AX61&gt;0,HLOOKUP(AX61,[1]Trav!$C$11:$O$31,$AU$105),0)</f>
        <v>21</v>
      </c>
      <c r="AY107" s="190">
        <f>IF(AY61&gt;0,HLOOKUP(AY61,[1]Trav!$C$11:$O$31,$AU$105),0)</f>
        <v>21</v>
      </c>
      <c r="AZ107" s="190">
        <f>IF(AZ61&gt;0,HLOOKUP(AZ61,[1]Trav!$C$11:$O$31,$AU$105),0)</f>
        <v>21</v>
      </c>
      <c r="BA107" s="190">
        <f>IF(BA61&gt;0,HLOOKUP(BA61,[1]Trav!$C$11:$O$31,$AU$105),0)</f>
        <v>21</v>
      </c>
      <c r="BB107" s="190">
        <f>IF(BB61&gt;0,HLOOKUP(BB61,[1]Trav!$C$11:$O$31,$AU$105),0)</f>
        <v>21</v>
      </c>
      <c r="BC107" s="190">
        <f>IF(BC61&gt;0,HLOOKUP(BC61,[1]Trav!$C$11:$O$31,$AU$105),0)</f>
        <v>21</v>
      </c>
      <c r="BD107" s="190">
        <f>IF(BD61&gt;0,HLOOKUP(BD61,[1]Trav!$C$11:$O$31,$AU$105),0)</f>
        <v>21</v>
      </c>
      <c r="BE107" s="190">
        <f>IF(BE61&gt;0,HLOOKUP(BE61,[1]Trav!$C$11:$O$31,$AU$105),0)</f>
        <v>0</v>
      </c>
      <c r="BF107" s="190">
        <f>IF(BF61&gt;0,HLOOKUP(BF61,[1]Trav!$C$11:$O$31,$AU$105),0)</f>
        <v>0</v>
      </c>
      <c r="BG107" s="190">
        <f>IF(BG61&gt;0,HLOOKUP(BG61,[1]Trav!$C$11:$O$31,$AU$105),0)</f>
        <v>0</v>
      </c>
      <c r="BH107" s="190">
        <f>IF(BH61&gt;0,HLOOKUP(BH61,[1]Trav!$C$11:$O$31,$AU$105),0)</f>
        <v>0</v>
      </c>
      <c r="BI107" s="190">
        <f>IF(BI61&gt;0,HLOOKUP(BI61,[1]Trav!$C$11:$O$31,$AU$105),0)</f>
        <v>0</v>
      </c>
      <c r="BJ107" s="190">
        <f>IF(BJ61&gt;0,HLOOKUP(BJ61,[1]Trav!$C$11:$O$31,$AU$105),0)</f>
        <v>0</v>
      </c>
      <c r="BK107" s="190">
        <f>IF(BK61&gt;0,HLOOKUP(BK61,[1]Trav!$C$11:$O$31,$AU$105),0)</f>
        <v>0</v>
      </c>
      <c r="BL107" s="190">
        <f>IF(BL61&gt;0,HLOOKUP(BL61,[1]Trav!$C$11:$O$31,$AU$105),0)</f>
        <v>0</v>
      </c>
      <c r="BM107" s="190">
        <f>IF(BM61&gt;0,HLOOKUP(BM61,[1]Trav!$C$11:$O$31,$AU$105),0)</f>
        <v>0</v>
      </c>
      <c r="BN107" s="190">
        <f>IF(BN61&gt;0,HLOOKUP(BN61,[1]Trav!$C$11:$O$31,$AU$105),0)</f>
        <v>0</v>
      </c>
      <c r="BO107" s="190">
        <f>IF(BO61&gt;0,HLOOKUP(BO61,[1]Trav!$C$11:$O$31,$AU$105),0)</f>
        <v>21</v>
      </c>
      <c r="BP107" s="190">
        <f>IF(BP61&gt;0,HLOOKUP(BP61,[1]Trav!$C$11:$O$31,$AU$105),0)</f>
        <v>21</v>
      </c>
      <c r="BQ107" s="190">
        <f>IF(BQ61&gt;0,HLOOKUP(BQ61,[1]Trav!$C$11:$O$31,$AU$105),0)</f>
        <v>21</v>
      </c>
      <c r="BR107" s="190">
        <f>IF(BR61&gt;0,HLOOKUP(BR61,[1]Trav!$C$11:$O$31,$AU$105),0)</f>
        <v>21</v>
      </c>
      <c r="BS107" s="190">
        <f>IF(BS61&gt;0,HLOOKUP(BS61,[1]Trav!$C$11:$O$31,$AU$105),0)</f>
        <v>21</v>
      </c>
      <c r="BZ107" s="189" t="str">
        <f t="shared" si="81"/>
        <v>genisses -1an</v>
      </c>
      <c r="CB107" s="190">
        <f>IF(CB61&gt;0,HLOOKUP(CB61,[1]Trav!$C$11:$O$31,$CA$105),0)</f>
        <v>0</v>
      </c>
      <c r="CC107" s="190">
        <f>IF(CC61&gt;0,HLOOKUP(CC61,[1]Trav!$C$11:$O$31,$CA$105),0)</f>
        <v>0</v>
      </c>
      <c r="CD107" s="190">
        <f>IF(CD61&gt;0,HLOOKUP(CD61,[1]Trav!$C$11:$O$31,$CA$105),0)</f>
        <v>0</v>
      </c>
      <c r="CE107" s="190">
        <f>IF(CE61&gt;0,HLOOKUP(CE61,[1]Trav!$C$11:$O$31,$CA$105),0)</f>
        <v>0</v>
      </c>
      <c r="CF107" s="190">
        <f>IF(CF61&gt;0,HLOOKUP(CF61,[1]Trav!$C$11:$O$31,$CA$105),0)</f>
        <v>0</v>
      </c>
      <c r="CG107" s="190">
        <f>IF(CG61&gt;0,HLOOKUP(CG61,[1]Trav!$C$11:$O$31,$CA$105),0)</f>
        <v>3.5</v>
      </c>
      <c r="CH107" s="190">
        <f>IF(CH61&gt;0,HLOOKUP(CH61,[1]Trav!$C$11:$O$31,$CA$105),0)</f>
        <v>3.5</v>
      </c>
      <c r="CI107" s="190">
        <f>IF(CI61&gt;0,HLOOKUP(CI61,[1]Trav!$C$11:$O$31,$CA$105),0)</f>
        <v>3.5</v>
      </c>
      <c r="CJ107" s="190">
        <f>IF(CJ61&gt;0,HLOOKUP(CJ61,[1]Trav!$C$11:$O$31,$CA$105),0)</f>
        <v>3.5</v>
      </c>
      <c r="CK107" s="190">
        <f>IF(CK61&gt;0,HLOOKUP(CK61,[1]Trav!$C$11:$O$31,$CA$105),0)</f>
        <v>3.5</v>
      </c>
      <c r="CL107" s="190">
        <f>IF(CL61&gt;0,HLOOKUP(CL61,[1]Trav!$C$11:$O$31,$CA$105),0)</f>
        <v>3.5</v>
      </c>
      <c r="CM107" s="190">
        <f>IF(CM61&gt;0,HLOOKUP(CM61,[1]Trav!$C$11:$O$31,$CA$105),0)</f>
        <v>3.5</v>
      </c>
      <c r="CN107" s="190">
        <f>IF(CN61&gt;0,HLOOKUP(CN61,[1]Trav!$C$11:$O$31,$CA$105),0)</f>
        <v>3.5</v>
      </c>
      <c r="CO107" s="190">
        <f>IF(CO61&gt;0,HLOOKUP(CO61,[1]Trav!$C$11:$O$31,$CA$105),0)</f>
        <v>3.5</v>
      </c>
      <c r="CP107" s="190">
        <f>IF(CP61&gt;0,HLOOKUP(CP61,[1]Trav!$C$11:$O$31,$CA$105),0)</f>
        <v>3.5</v>
      </c>
      <c r="CQ107" s="190">
        <f>IF(CQ61&gt;0,HLOOKUP(CQ61,[1]Trav!$C$11:$O$31,$CA$105),0)</f>
        <v>3.5</v>
      </c>
      <c r="CR107" s="190">
        <f>IF(CR61&gt;0,HLOOKUP(CR61,[1]Trav!$C$11:$O$31,$CA$105),0)</f>
        <v>3.5</v>
      </c>
      <c r="CS107" s="190">
        <f>IF(CS61&gt;0,HLOOKUP(CS61,[1]Trav!$C$11:$O$31,$CA$105),0)</f>
        <v>3.5</v>
      </c>
      <c r="CT107" s="190">
        <f>IF(CT61&gt;0,HLOOKUP(CT61,[1]Trav!$C$11:$O$31,$CA$105),0)</f>
        <v>3.5</v>
      </c>
      <c r="CU107" s="190">
        <f>IF(CU61&gt;0,HLOOKUP(CU61,[1]Trav!$C$11:$O$31,$CA$105),0)</f>
        <v>3.5</v>
      </c>
      <c r="CV107" s="190">
        <f>IF(CV61&gt;0,HLOOKUP(CV61,[1]Trav!$C$11:$O$31,$CA$105),0)</f>
        <v>10.5</v>
      </c>
      <c r="CW107" s="190">
        <f>IF(CW61&gt;0,HLOOKUP(CW61,[1]Trav!$C$11:$O$31,$CA$105),0)</f>
        <v>10.5</v>
      </c>
      <c r="CX107" s="190">
        <f>IF(CX61&gt;0,HLOOKUP(CX61,[1]Trav!$C$11:$O$31,$CA$105),0)</f>
        <v>0</v>
      </c>
      <c r="CY107" s="190">
        <f>IF(CY61&gt;0,HLOOKUP(CY61,[1]Trav!$C$11:$O$31,$CA$105),0)</f>
        <v>0</v>
      </c>
      <c r="DC107" s="189" t="str">
        <f t="shared" si="82"/>
        <v>lot2</v>
      </c>
      <c r="DE107" s="190">
        <f>IF(DE61&gt;0,HLOOKUP(DE61,[1]Trav!$C$11:$O$31,$DD$105),0)</f>
        <v>0</v>
      </c>
      <c r="DF107" s="190">
        <f>IF(DF61&gt;0,HLOOKUP(DF61,[1]Trav!$C$11:$O$31,$DD$105),0)</f>
        <v>0</v>
      </c>
      <c r="DG107" s="190">
        <f>IF(DG61&gt;0,HLOOKUP(DG61,[1]Trav!$C$11:$O$31,$DD$105),0)</f>
        <v>0</v>
      </c>
      <c r="DH107" s="190">
        <f>IF(DH61&gt;0,HLOOKUP(DH61,[1]Trav!$C$11:$O$31,$DD$105),0)</f>
        <v>0</v>
      </c>
      <c r="DI107" s="190">
        <f>IF(DI61&gt;0,HLOOKUP(DI61,[1]Trav!$C$11:$O$31,$DD$105),0)</f>
        <v>0</v>
      </c>
      <c r="DJ107" s="190">
        <f>IF(DJ61&gt;0,HLOOKUP(DJ61,[1]Trav!$C$11:$O$31,$DD$105),0)</f>
        <v>0</v>
      </c>
      <c r="DK107" s="190">
        <f>IF(DK61&gt;0,HLOOKUP(DK61,[1]Trav!$C$11:$O$31,$DD$105),0)</f>
        <v>0</v>
      </c>
      <c r="DL107" s="190">
        <f>IF(DL61&gt;0,HLOOKUP(DL61,[1]Trav!$C$11:$O$31,$DD$105),0)</f>
        <v>0</v>
      </c>
      <c r="DM107" s="190">
        <f>IF(DM61&gt;0,HLOOKUP(DM61,[1]Trav!$C$11:$O$31,$DD$105),0)</f>
        <v>0</v>
      </c>
      <c r="DN107" s="190">
        <f>IF(DN61&gt;0,HLOOKUP(DN61,[1]Trav!$C$11:$O$31,$DD$105),0)</f>
        <v>0</v>
      </c>
      <c r="DO107" s="190">
        <f>IF(DO61&gt;0,HLOOKUP(DO61,[1]Trav!$C$11:$O$31,$DD$105),0)</f>
        <v>0</v>
      </c>
      <c r="DP107" s="190">
        <f>IF(DP61&gt;0,HLOOKUP(DP61,[1]Trav!$C$11:$O$31,$DD$105),0)</f>
        <v>0</v>
      </c>
      <c r="DQ107" s="190">
        <f>IF(DQ61&gt;0,HLOOKUP(DQ61,[1]Trav!$C$11:$O$31,$DD$105),0)</f>
        <v>0</v>
      </c>
      <c r="DR107" s="190">
        <f>IF(DR61&gt;0,HLOOKUP(DR61,[1]Trav!$C$11:$O$31,$DD$105),0)</f>
        <v>0</v>
      </c>
      <c r="DS107" s="190">
        <f>IF(DS61&gt;0,HLOOKUP(DS61,[1]Trav!$C$11:$O$31,$DD$105),0)</f>
        <v>0</v>
      </c>
      <c r="DT107" s="190">
        <f>IF(DT61&gt;0,HLOOKUP(DT61,[1]Trav!$C$11:$O$31,$DD$105),0)</f>
        <v>0</v>
      </c>
      <c r="DU107" s="190">
        <f>IF(DU61&gt;0,HLOOKUP(DU61,[1]Trav!$C$11:$O$31,$DD$105),0)</f>
        <v>0</v>
      </c>
      <c r="DV107" s="190">
        <f>IF(DV61&gt;0,HLOOKUP(DV61,[1]Trav!$C$11:$O$31,$DD$105),0)</f>
        <v>0</v>
      </c>
      <c r="DW107" s="190">
        <f>IF(DW61&gt;0,HLOOKUP(DW61,[1]Trav!$C$11:$O$31,$DD$105),0)</f>
        <v>0</v>
      </c>
      <c r="DX107" s="190">
        <f>IF(DX61&gt;0,HLOOKUP(DX61,[1]Trav!$C$11:$O$31,$DD$105),0)</f>
        <v>0</v>
      </c>
      <c r="DY107" s="190">
        <f>IF(DY61&gt;0,HLOOKUP(DY61,[1]Trav!$C$11:$O$31,$DD$105),0)</f>
        <v>0</v>
      </c>
      <c r="DZ107" s="190">
        <f>IF(DZ61&gt;0,HLOOKUP(DZ61,[1]Trav!$C$11:$O$31,$DD$105),0)</f>
        <v>0</v>
      </c>
      <c r="EA107" s="190">
        <f>IF(EA61&gt;0,HLOOKUP(EA61,[1]Trav!$C$11:$O$31,$DD$105),0)</f>
        <v>0</v>
      </c>
      <c r="EB107" s="190">
        <f>IF(EB61&gt;0,HLOOKUP(EB61,[1]Trav!$C$11:$O$31,$DD$105),0)</f>
        <v>0</v>
      </c>
    </row>
    <row r="108" spans="1:132" x14ac:dyDescent="0.25">
      <c r="A108" s="23" t="s">
        <v>856</v>
      </c>
      <c r="B108" s="46">
        <f>SUM(F50:F59)</f>
        <v>304</v>
      </c>
      <c r="D108" s="197"/>
      <c r="AT108" s="189" t="str">
        <f t="shared" si="80"/>
        <v>agnelles</v>
      </c>
      <c r="AV108" s="190">
        <f>IF(AV62&gt;0,HLOOKUP(AV62,[1]Trav!$C$11:$O$31,$AU$105),0)</f>
        <v>0</v>
      </c>
      <c r="AW108" s="190">
        <f>IF(AW62&gt;0,HLOOKUP(AW62,[1]Trav!$C$11:$O$31,$AU$105),0)</f>
        <v>0</v>
      </c>
      <c r="AX108" s="190">
        <f>IF(AX62&gt;0,HLOOKUP(AX62,[1]Trav!$C$11:$O$31,$AU$105),0)</f>
        <v>0</v>
      </c>
      <c r="AY108" s="190">
        <f>IF(AY62&gt;0,HLOOKUP(AY62,[1]Trav!$C$11:$O$31,$AU$105),0)</f>
        <v>0</v>
      </c>
      <c r="AZ108" s="190">
        <f>IF(AZ62&gt;0,HLOOKUP(AZ62,[1]Trav!$C$11:$O$31,$AU$105),0)</f>
        <v>0</v>
      </c>
      <c r="BA108" s="190">
        <f>IF(BA62&gt;0,HLOOKUP(BA62,[1]Trav!$C$11:$O$31,$AU$105),0)</f>
        <v>14</v>
      </c>
      <c r="BB108" s="190">
        <f>IF(BB62&gt;0,HLOOKUP(BB62,[1]Trav!$C$11:$O$31,$AU$105),0)</f>
        <v>14</v>
      </c>
      <c r="BC108" s="190">
        <f>IF(BC62&gt;0,HLOOKUP(BC62,[1]Trav!$C$11:$O$31,$AU$105),0)</f>
        <v>14</v>
      </c>
      <c r="BD108" s="190">
        <f>IF(BD62&gt;0,HLOOKUP(BD62,[1]Trav!$C$11:$O$31,$AU$105),0)</f>
        <v>14</v>
      </c>
      <c r="BE108" s="190">
        <f>IF(BE62&gt;0,HLOOKUP(BE62,[1]Trav!$C$11:$O$31,$AU$105),0)</f>
        <v>14</v>
      </c>
      <c r="BF108" s="190">
        <f>IF(BF62&gt;0,HLOOKUP(BF62,[1]Trav!$C$11:$O$31,$AU$105),0)</f>
        <v>14</v>
      </c>
      <c r="BG108" s="190">
        <f>IF(BG62&gt;0,HLOOKUP(BG62,[1]Trav!$C$11:$O$31,$AU$105),0)</f>
        <v>14</v>
      </c>
      <c r="BH108" s="190">
        <f>IF(BH62&gt;0,HLOOKUP(BH62,[1]Trav!$C$11:$O$31,$AU$105),0)</f>
        <v>14</v>
      </c>
      <c r="BI108" s="190">
        <f>IF(BI62&gt;0,HLOOKUP(BI62,[1]Trav!$C$11:$O$31,$AU$105),0)</f>
        <v>14</v>
      </c>
      <c r="BJ108" s="190">
        <f>IF(BJ62&gt;0,HLOOKUP(BJ62,[1]Trav!$C$11:$O$31,$AU$105),0)</f>
        <v>14</v>
      </c>
      <c r="BK108" s="190">
        <f>IF(BK62&gt;0,HLOOKUP(BK62,[1]Trav!$C$11:$O$31,$AU$105),0)</f>
        <v>14</v>
      </c>
      <c r="BL108" s="190">
        <f>IF(BL62&gt;0,HLOOKUP(BL62,[1]Trav!$C$11:$O$31,$AU$105),0)</f>
        <v>14</v>
      </c>
      <c r="BM108" s="190">
        <f>IF(BM62&gt;0,HLOOKUP(BM62,[1]Trav!$C$11:$O$31,$AU$105),0)</f>
        <v>14</v>
      </c>
      <c r="BN108" s="190">
        <f>IF(BN62&gt;0,HLOOKUP(BN62,[1]Trav!$C$11:$O$31,$AU$105),0)</f>
        <v>14</v>
      </c>
      <c r="BO108" s="190">
        <f>IF(BO62&gt;0,HLOOKUP(BO62,[1]Trav!$C$11:$O$31,$AU$105),0)</f>
        <v>0</v>
      </c>
      <c r="BP108" s="190">
        <f>IF(BP62&gt;0,HLOOKUP(BP62,[1]Trav!$C$11:$O$31,$AU$105),0)</f>
        <v>0</v>
      </c>
      <c r="BQ108" s="190">
        <f>IF(BQ62&gt;0,HLOOKUP(BQ62,[1]Trav!$C$11:$O$31,$AU$105),0)</f>
        <v>0</v>
      </c>
      <c r="BR108" s="190">
        <f>IF(BR62&gt;0,HLOOKUP(BR62,[1]Trav!$C$11:$O$31,$AU$105),0)</f>
        <v>0</v>
      </c>
      <c r="BS108" s="190">
        <f>IF(BS62&gt;0,HLOOKUP(BS62,[1]Trav!$C$11:$O$31,$AU$105),0)</f>
        <v>0</v>
      </c>
      <c r="BZ108" s="189" t="str">
        <f t="shared" si="81"/>
        <v>genisses +1an</v>
      </c>
      <c r="CB108" s="190">
        <f>IF(CB62&gt;0,HLOOKUP(CB62,[1]Trav!$C$11:$O$31,$CA$105),0)</f>
        <v>0</v>
      </c>
      <c r="CC108" s="190">
        <f>IF(CC62&gt;0,HLOOKUP(CC62,[1]Trav!$C$11:$O$31,$CA$105),0)</f>
        <v>0</v>
      </c>
      <c r="CD108" s="190">
        <f>IF(CD62&gt;0,HLOOKUP(CD62,[1]Trav!$C$11:$O$31,$CA$105),0)</f>
        <v>5.25</v>
      </c>
      <c r="CE108" s="190">
        <f>IF(CE62&gt;0,HLOOKUP(CE62,[1]Trav!$C$11:$O$31,$CA$105),0)</f>
        <v>5.25</v>
      </c>
      <c r="CF108" s="190">
        <f>IF(CF62&gt;0,HLOOKUP(CF62,[1]Trav!$C$11:$O$31,$CA$105),0)</f>
        <v>5.25</v>
      </c>
      <c r="CG108" s="190">
        <f>IF(CG62&gt;0,HLOOKUP(CG62,[1]Trav!$C$11:$O$31,$CA$105),0)</f>
        <v>5.25</v>
      </c>
      <c r="CH108" s="190">
        <f>IF(CH62&gt;0,HLOOKUP(CH62,[1]Trav!$C$11:$O$31,$CA$105),0)</f>
        <v>5.25</v>
      </c>
      <c r="CI108" s="190">
        <f>IF(CI62&gt;0,HLOOKUP(CI62,[1]Trav!$C$11:$O$31,$CA$105),0)</f>
        <v>5.25</v>
      </c>
      <c r="CJ108" s="190">
        <f>IF(CJ62&gt;0,HLOOKUP(CJ62,[1]Trav!$C$11:$O$31,$CA$105),0)</f>
        <v>5.25</v>
      </c>
      <c r="CK108" s="190">
        <f>IF(CK62&gt;0,HLOOKUP(CK62,[1]Trav!$C$11:$O$31,$CA$105),0)</f>
        <v>5.25</v>
      </c>
      <c r="CL108" s="190">
        <f>IF(CL62&gt;0,HLOOKUP(CL62,[1]Trav!$C$11:$O$31,$CA$105),0)</f>
        <v>5.25</v>
      </c>
      <c r="CM108" s="190">
        <f>IF(CM62&gt;0,HLOOKUP(CM62,[1]Trav!$C$11:$O$31,$CA$105),0)</f>
        <v>5.25</v>
      </c>
      <c r="CN108" s="190">
        <f>IF(CN62&gt;0,HLOOKUP(CN62,[1]Trav!$C$11:$O$31,$CA$105),0)</f>
        <v>5.25</v>
      </c>
      <c r="CO108" s="190">
        <f>IF(CO62&gt;0,HLOOKUP(CO62,[1]Trav!$C$11:$O$31,$CA$105),0)</f>
        <v>5.25</v>
      </c>
      <c r="CP108" s="190">
        <f>IF(CP62&gt;0,HLOOKUP(CP62,[1]Trav!$C$11:$O$31,$CA$105),0)</f>
        <v>5.25</v>
      </c>
      <c r="CQ108" s="190">
        <f>IF(CQ62&gt;0,HLOOKUP(CQ62,[1]Trav!$C$11:$O$31,$CA$105),0)</f>
        <v>5.25</v>
      </c>
      <c r="CR108" s="190">
        <f>IF(CR62&gt;0,HLOOKUP(CR62,[1]Trav!$C$11:$O$31,$CA$105),0)</f>
        <v>5.25</v>
      </c>
      <c r="CS108" s="190">
        <f>IF(CS62&gt;0,HLOOKUP(CS62,[1]Trav!$C$11:$O$31,$CA$105),0)</f>
        <v>5.25</v>
      </c>
      <c r="CT108" s="190">
        <f>IF(CT62&gt;0,HLOOKUP(CT62,[1]Trav!$C$11:$O$31,$CA$105),0)</f>
        <v>5.25</v>
      </c>
      <c r="CU108" s="190">
        <f>IF(CU62&gt;0,HLOOKUP(CU62,[1]Trav!$C$11:$O$31,$CA$105),0)</f>
        <v>3.5</v>
      </c>
      <c r="CV108" s="190">
        <f>IF(CV62&gt;0,HLOOKUP(CV62,[1]Trav!$C$11:$O$31,$CA$105),0)</f>
        <v>3.5</v>
      </c>
      <c r="CW108" s="190">
        <f>IF(CW62&gt;0,HLOOKUP(CW62,[1]Trav!$C$11:$O$31,$CA$105),0)</f>
        <v>3.5</v>
      </c>
      <c r="CX108" s="190">
        <f>IF(CX62&gt;0,HLOOKUP(CX62,[1]Trav!$C$11:$O$31,$CA$105),0)</f>
        <v>0</v>
      </c>
      <c r="CY108" s="190">
        <f>IF(CY62&gt;0,HLOOKUP(CY62,[1]Trav!$C$11:$O$31,$CA$105),0)</f>
        <v>0</v>
      </c>
      <c r="DC108" s="189" t="str">
        <f t="shared" si="82"/>
        <v>lot3</v>
      </c>
      <c r="DE108" s="190">
        <f>IF(DE62&gt;0,HLOOKUP(DE62,[1]Trav!$C$11:$O$31,$DD$105),0)</f>
        <v>0</v>
      </c>
      <c r="DF108" s="190">
        <f>IF(DF62&gt;0,HLOOKUP(DF62,[1]Trav!$C$11:$O$31,$DD$105),0)</f>
        <v>0</v>
      </c>
      <c r="DG108" s="190">
        <f>IF(DG62&gt;0,HLOOKUP(DG62,[1]Trav!$C$11:$O$31,$DD$105),0)</f>
        <v>0</v>
      </c>
      <c r="DH108" s="190">
        <f>IF(DH62&gt;0,HLOOKUP(DH62,[1]Trav!$C$11:$O$31,$DD$105),0)</f>
        <v>0</v>
      </c>
      <c r="DI108" s="190">
        <f>IF(DI62&gt;0,HLOOKUP(DI62,[1]Trav!$C$11:$O$31,$DD$105),0)</f>
        <v>0</v>
      </c>
      <c r="DJ108" s="190">
        <f>IF(DJ62&gt;0,HLOOKUP(DJ62,[1]Trav!$C$11:$O$31,$DD$105),0)</f>
        <v>0</v>
      </c>
      <c r="DK108" s="190">
        <f>IF(DK62&gt;0,HLOOKUP(DK62,[1]Trav!$C$11:$O$31,$DD$105),0)</f>
        <v>0</v>
      </c>
      <c r="DL108" s="190">
        <f>IF(DL62&gt;0,HLOOKUP(DL62,[1]Trav!$C$11:$O$31,$DD$105),0)</f>
        <v>0</v>
      </c>
      <c r="DM108" s="190">
        <f>IF(DM62&gt;0,HLOOKUP(DM62,[1]Trav!$C$11:$O$31,$DD$105),0)</f>
        <v>0</v>
      </c>
      <c r="DN108" s="190">
        <f>IF(DN62&gt;0,HLOOKUP(DN62,[1]Trav!$C$11:$O$31,$DD$105),0)</f>
        <v>0</v>
      </c>
      <c r="DO108" s="190">
        <f>IF(DO62&gt;0,HLOOKUP(DO62,[1]Trav!$C$11:$O$31,$DD$105),0)</f>
        <v>0</v>
      </c>
      <c r="DP108" s="190">
        <f>IF(DP62&gt;0,HLOOKUP(DP62,[1]Trav!$C$11:$O$31,$DD$105),0)</f>
        <v>0</v>
      </c>
      <c r="DQ108" s="190">
        <f>IF(DQ62&gt;0,HLOOKUP(DQ62,[1]Trav!$C$11:$O$31,$DD$105),0)</f>
        <v>0</v>
      </c>
      <c r="DR108" s="190">
        <f>IF(DR62&gt;0,HLOOKUP(DR62,[1]Trav!$C$11:$O$31,$DD$105),0)</f>
        <v>0</v>
      </c>
      <c r="DS108" s="190">
        <f>IF(DS62&gt;0,HLOOKUP(DS62,[1]Trav!$C$11:$O$31,$DD$105),0)</f>
        <v>0</v>
      </c>
      <c r="DT108" s="190">
        <f>IF(DT62&gt;0,HLOOKUP(DT62,[1]Trav!$C$11:$O$31,$DD$105),0)</f>
        <v>0</v>
      </c>
      <c r="DU108" s="190">
        <f>IF(DU62&gt;0,HLOOKUP(DU62,[1]Trav!$C$11:$O$31,$DD$105),0)</f>
        <v>0</v>
      </c>
      <c r="DV108" s="190">
        <f>IF(DV62&gt;0,HLOOKUP(DV62,[1]Trav!$C$11:$O$31,$DD$105),0)</f>
        <v>0</v>
      </c>
      <c r="DW108" s="190">
        <f>IF(DW62&gt;0,HLOOKUP(DW62,[1]Trav!$C$11:$O$31,$DD$105),0)</f>
        <v>0</v>
      </c>
      <c r="DX108" s="190">
        <f>IF(DX62&gt;0,HLOOKUP(DX62,[1]Trav!$C$11:$O$31,$DD$105),0)</f>
        <v>0</v>
      </c>
      <c r="DY108" s="190">
        <f>IF(DY62&gt;0,HLOOKUP(DY62,[1]Trav!$C$11:$O$31,$DD$105),0)</f>
        <v>0</v>
      </c>
      <c r="DZ108" s="190">
        <f>IF(DZ62&gt;0,HLOOKUP(DZ62,[1]Trav!$C$11:$O$31,$DD$105),0)</f>
        <v>0</v>
      </c>
      <c r="EA108" s="190">
        <f>IF(EA62&gt;0,HLOOKUP(EA62,[1]Trav!$C$11:$O$31,$DD$105),0)</f>
        <v>0</v>
      </c>
      <c r="EB108" s="190">
        <f>IF(EB62&gt;0,HLOOKUP(EB62,[1]Trav!$C$11:$O$31,$DD$105),0)</f>
        <v>0</v>
      </c>
    </row>
    <row r="109" spans="1:132" x14ac:dyDescent="0.25">
      <c r="A109" t="s">
        <v>857</v>
      </c>
      <c r="B109" s="30">
        <f>F69+F72</f>
        <v>275</v>
      </c>
      <c r="D109" s="197"/>
      <c r="AT109" s="189" t="str">
        <f t="shared" si="80"/>
        <v>beliers</v>
      </c>
      <c r="AV109" s="190">
        <f>IF(AV63&gt;0,HLOOKUP(AV63,[1]Trav!$C$11:$O$31,$AU$105),0)</f>
        <v>21</v>
      </c>
      <c r="AW109" s="190">
        <f>IF(AW63&gt;0,HLOOKUP(AW63,[1]Trav!$C$11:$O$31,$AU$105),0)</f>
        <v>21</v>
      </c>
      <c r="AX109" s="190">
        <f>IF(AX63&gt;0,HLOOKUP(AX63,[1]Trav!$C$11:$O$31,$AU$105),0)</f>
        <v>21</v>
      </c>
      <c r="AY109" s="190">
        <f>IF(AY63&gt;0,HLOOKUP(AY63,[1]Trav!$C$11:$O$31,$AU$105),0)</f>
        <v>21</v>
      </c>
      <c r="AZ109" s="190">
        <f>IF(AZ63&gt;0,HLOOKUP(AZ63,[1]Trav!$C$11:$O$31,$AU$105),0)</f>
        <v>21</v>
      </c>
      <c r="BA109" s="190">
        <f>IF(BA63&gt;0,HLOOKUP(BA63,[1]Trav!$C$11:$O$31,$AU$105),0)</f>
        <v>21</v>
      </c>
      <c r="BB109" s="190">
        <f>IF(BB63&gt;0,HLOOKUP(BB63,[1]Trav!$C$11:$O$31,$AU$105),0)</f>
        <v>21</v>
      </c>
      <c r="BC109" s="190">
        <f>IF(BC63&gt;0,HLOOKUP(BC63,[1]Trav!$C$11:$O$31,$AU$105),0)</f>
        <v>21</v>
      </c>
      <c r="BD109" s="190">
        <f>IF(BD63&gt;0,HLOOKUP(BD63,[1]Trav!$C$11:$O$31,$AU$105),0)</f>
        <v>14</v>
      </c>
      <c r="BE109" s="190">
        <f>IF(BE63&gt;0,HLOOKUP(BE63,[1]Trav!$C$11:$O$31,$AU$105),0)</f>
        <v>0</v>
      </c>
      <c r="BF109" s="190">
        <f>IF(BF63&gt;0,HLOOKUP(BF63,[1]Trav!$C$11:$O$31,$AU$105),0)</f>
        <v>0</v>
      </c>
      <c r="BG109" s="190">
        <f>IF(BG63&gt;0,HLOOKUP(BG63,[1]Trav!$C$11:$O$31,$AU$105),0)</f>
        <v>0</v>
      </c>
      <c r="BH109" s="190">
        <f>IF(BH63&gt;0,HLOOKUP(BH63,[1]Trav!$C$11:$O$31,$AU$105),0)</f>
        <v>0</v>
      </c>
      <c r="BI109" s="190">
        <f>IF(BI63&gt;0,HLOOKUP(BI63,[1]Trav!$C$11:$O$31,$AU$105),0)</f>
        <v>0</v>
      </c>
      <c r="BJ109" s="190">
        <f>IF(BJ63&gt;0,HLOOKUP(BJ63,[1]Trav!$C$11:$O$31,$AU$105),0)</f>
        <v>0</v>
      </c>
      <c r="BK109" s="190">
        <f>IF(BK63&gt;0,HLOOKUP(BK63,[1]Trav!$C$11:$O$31,$AU$105),0)</f>
        <v>0</v>
      </c>
      <c r="BL109" s="190">
        <f>IF(BL63&gt;0,HLOOKUP(BL63,[1]Trav!$C$11:$O$31,$AU$105),0)</f>
        <v>0</v>
      </c>
      <c r="BM109" s="190">
        <f>IF(BM63&gt;0,HLOOKUP(BM63,[1]Trav!$C$11:$O$31,$AU$105),0)</f>
        <v>0</v>
      </c>
      <c r="BN109" s="190">
        <f>IF(BN63&gt;0,HLOOKUP(BN63,[1]Trav!$C$11:$O$31,$AU$105),0)</f>
        <v>0</v>
      </c>
      <c r="BO109" s="190">
        <f>IF(BO63&gt;0,HLOOKUP(BO63,[1]Trav!$C$11:$O$31,$AU$105),0)</f>
        <v>21</v>
      </c>
      <c r="BP109" s="190">
        <f>IF(BP63&gt;0,HLOOKUP(BP63,[1]Trav!$C$11:$O$31,$AU$105),0)</f>
        <v>21</v>
      </c>
      <c r="BQ109" s="190">
        <f>IF(BQ63&gt;0,HLOOKUP(BQ63,[1]Trav!$C$11:$O$31,$AU$105),0)</f>
        <v>21</v>
      </c>
      <c r="BR109" s="190">
        <f>IF(BR63&gt;0,HLOOKUP(BR63,[1]Trav!$C$11:$O$31,$AU$105),0)</f>
        <v>21</v>
      </c>
      <c r="BS109" s="190">
        <f>IF(BS63&gt;0,HLOOKUP(BS63,[1]Trav!$C$11:$O$31,$AU$105),0)</f>
        <v>21</v>
      </c>
      <c r="BZ109" s="189" t="str">
        <f t="shared" si="81"/>
        <v>lot4</v>
      </c>
      <c r="CB109" s="190">
        <f>IF(CB63&gt;0,HLOOKUP(CB63,[1]Trav!$C$11:$O$31,$CA$105),0)</f>
        <v>0</v>
      </c>
      <c r="CC109" s="190">
        <f>IF(CC63&gt;0,HLOOKUP(CC63,[1]Trav!$C$11:$O$31,$CA$105),0)</f>
        <v>0</v>
      </c>
      <c r="CD109" s="190">
        <f>IF(CD63&gt;0,HLOOKUP(CD63,[1]Trav!$C$11:$O$31,$CA$105),0)</f>
        <v>0</v>
      </c>
      <c r="CE109" s="190">
        <f>IF(CE63&gt;0,HLOOKUP(CE63,[1]Trav!$C$11:$O$31,$CA$105),0)</f>
        <v>0</v>
      </c>
      <c r="CF109" s="190">
        <f>IF(CF63&gt;0,HLOOKUP(CF63,[1]Trav!$C$11:$O$31,$CA$105),0)</f>
        <v>0</v>
      </c>
      <c r="CG109" s="190">
        <f>IF(CG63&gt;0,HLOOKUP(CG63,[1]Trav!$C$11:$O$31,$CA$105),0)</f>
        <v>0</v>
      </c>
      <c r="CH109" s="190">
        <f>IF(CH63&gt;0,HLOOKUP(CH63,[1]Trav!$C$11:$O$31,$CA$105),0)</f>
        <v>0</v>
      </c>
      <c r="CI109" s="190">
        <f>IF(CI63&gt;0,HLOOKUP(CI63,[1]Trav!$C$11:$O$31,$CA$105),0)</f>
        <v>0</v>
      </c>
      <c r="CJ109" s="190">
        <f>IF(CJ63&gt;0,HLOOKUP(CJ63,[1]Trav!$C$11:$O$31,$CA$105),0)</f>
        <v>0</v>
      </c>
      <c r="CK109" s="190">
        <f>IF(CK63&gt;0,HLOOKUP(CK63,[1]Trav!$C$11:$O$31,$CA$105),0)</f>
        <v>0</v>
      </c>
      <c r="CL109" s="190">
        <f>IF(CL63&gt;0,HLOOKUP(CL63,[1]Trav!$C$11:$O$31,$CA$105),0)</f>
        <v>0</v>
      </c>
      <c r="CM109" s="190">
        <f>IF(CM63&gt;0,HLOOKUP(CM63,[1]Trav!$C$11:$O$31,$CA$105),0)</f>
        <v>0</v>
      </c>
      <c r="CN109" s="190">
        <f>IF(CN63&gt;0,HLOOKUP(CN63,[1]Trav!$C$11:$O$31,$CA$105),0)</f>
        <v>0</v>
      </c>
      <c r="CO109" s="190">
        <f>IF(CO63&gt;0,HLOOKUP(CO63,[1]Trav!$C$11:$O$31,$CA$105),0)</f>
        <v>0</v>
      </c>
      <c r="CP109" s="190">
        <f>IF(CP63&gt;0,HLOOKUP(CP63,[1]Trav!$C$11:$O$31,$CA$105),0)</f>
        <v>0</v>
      </c>
      <c r="CQ109" s="190">
        <f>IF(CQ63&gt;0,HLOOKUP(CQ63,[1]Trav!$C$11:$O$31,$CA$105),0)</f>
        <v>0</v>
      </c>
      <c r="CR109" s="190">
        <f>IF(CR63&gt;0,HLOOKUP(CR63,[1]Trav!$C$11:$O$31,$CA$105),0)</f>
        <v>0</v>
      </c>
      <c r="CS109" s="190">
        <f>IF(CS63&gt;0,HLOOKUP(CS63,[1]Trav!$C$11:$O$31,$CA$105),0)</f>
        <v>0</v>
      </c>
      <c r="CT109" s="190">
        <f>IF(CT63&gt;0,HLOOKUP(CT63,[1]Trav!$C$11:$O$31,$CA$105),0)</f>
        <v>0</v>
      </c>
      <c r="CU109" s="190">
        <f>IF(CU63&gt;0,HLOOKUP(CU63,[1]Trav!$C$11:$O$31,$CA$105),0)</f>
        <v>0</v>
      </c>
      <c r="CV109" s="190">
        <f>IF(CV63&gt;0,HLOOKUP(CV63,[1]Trav!$C$11:$O$31,$CA$105),0)</f>
        <v>0</v>
      </c>
      <c r="CW109" s="190">
        <f>IF(CW63&gt;0,HLOOKUP(CW63,[1]Trav!$C$11:$O$31,$CA$105),0)</f>
        <v>0</v>
      </c>
      <c r="CX109" s="190">
        <f>IF(CX63&gt;0,HLOOKUP(CX63,[1]Trav!$C$11:$O$31,$CA$105),0)</f>
        <v>0</v>
      </c>
      <c r="CY109" s="190">
        <f>IF(CY63&gt;0,HLOOKUP(CY63,[1]Trav!$C$11:$O$31,$CA$105),0)</f>
        <v>0</v>
      </c>
      <c r="DC109" s="189" t="str">
        <f t="shared" si="82"/>
        <v>lot4</v>
      </c>
      <c r="DE109" s="190">
        <f>IF(DE63&gt;0,HLOOKUP(DE63,[1]Trav!$C$11:$O$31,$DD$105),0)</f>
        <v>0</v>
      </c>
      <c r="DF109" s="190">
        <f>IF(DF63&gt;0,HLOOKUP(DF63,[1]Trav!$C$11:$O$31,$DD$105),0)</f>
        <v>0</v>
      </c>
      <c r="DG109" s="190">
        <f>IF(DG63&gt;0,HLOOKUP(DG63,[1]Trav!$C$11:$O$31,$DD$105),0)</f>
        <v>0</v>
      </c>
      <c r="DH109" s="190">
        <f>IF(DH63&gt;0,HLOOKUP(DH63,[1]Trav!$C$11:$O$31,$DD$105),0)</f>
        <v>0</v>
      </c>
      <c r="DI109" s="190">
        <f>IF(DI63&gt;0,HLOOKUP(DI63,[1]Trav!$C$11:$O$31,$DD$105),0)</f>
        <v>0</v>
      </c>
      <c r="DJ109" s="190">
        <f>IF(DJ63&gt;0,HLOOKUP(DJ63,[1]Trav!$C$11:$O$31,$DD$105),0)</f>
        <v>0</v>
      </c>
      <c r="DK109" s="190">
        <f>IF(DK63&gt;0,HLOOKUP(DK63,[1]Trav!$C$11:$O$31,$DD$105),0)</f>
        <v>0</v>
      </c>
      <c r="DL109" s="190">
        <f>IF(DL63&gt;0,HLOOKUP(DL63,[1]Trav!$C$11:$O$31,$DD$105),0)</f>
        <v>0</v>
      </c>
      <c r="DM109" s="190">
        <f>IF(DM63&gt;0,HLOOKUP(DM63,[1]Trav!$C$11:$O$31,$DD$105),0)</f>
        <v>0</v>
      </c>
      <c r="DN109" s="190">
        <f>IF(DN63&gt;0,HLOOKUP(DN63,[1]Trav!$C$11:$O$31,$DD$105),0)</f>
        <v>0</v>
      </c>
      <c r="DO109" s="190">
        <f>IF(DO63&gt;0,HLOOKUP(DO63,[1]Trav!$C$11:$O$31,$DD$105),0)</f>
        <v>0</v>
      </c>
      <c r="DP109" s="190">
        <f>IF(DP63&gt;0,HLOOKUP(DP63,[1]Trav!$C$11:$O$31,$DD$105),0)</f>
        <v>0</v>
      </c>
      <c r="DQ109" s="190">
        <f>IF(DQ63&gt;0,HLOOKUP(DQ63,[1]Trav!$C$11:$O$31,$DD$105),0)</f>
        <v>0</v>
      </c>
      <c r="DR109" s="190">
        <f>IF(DR63&gt;0,HLOOKUP(DR63,[1]Trav!$C$11:$O$31,$DD$105),0)</f>
        <v>0</v>
      </c>
      <c r="DS109" s="190">
        <f>IF(DS63&gt;0,HLOOKUP(DS63,[1]Trav!$C$11:$O$31,$DD$105),0)</f>
        <v>0</v>
      </c>
      <c r="DT109" s="190">
        <f>IF(DT63&gt;0,HLOOKUP(DT63,[1]Trav!$C$11:$O$31,$DD$105),0)</f>
        <v>0</v>
      </c>
      <c r="DU109" s="190">
        <f>IF(DU63&gt;0,HLOOKUP(DU63,[1]Trav!$C$11:$O$31,$DD$105),0)</f>
        <v>0</v>
      </c>
      <c r="DV109" s="190">
        <f>IF(DV63&gt;0,HLOOKUP(DV63,[1]Trav!$C$11:$O$31,$DD$105),0)</f>
        <v>0</v>
      </c>
      <c r="DW109" s="190">
        <f>IF(DW63&gt;0,HLOOKUP(DW63,[1]Trav!$C$11:$O$31,$DD$105),0)</f>
        <v>0</v>
      </c>
      <c r="DX109" s="190">
        <f>IF(DX63&gt;0,HLOOKUP(DX63,[1]Trav!$C$11:$O$31,$DD$105),0)</f>
        <v>0</v>
      </c>
      <c r="DY109" s="190">
        <f>IF(DY63&gt;0,HLOOKUP(DY63,[1]Trav!$C$11:$O$31,$DD$105),0)</f>
        <v>0</v>
      </c>
      <c r="DZ109" s="190">
        <f>IF(DZ63&gt;0,HLOOKUP(DZ63,[1]Trav!$C$11:$O$31,$DD$105),0)</f>
        <v>0</v>
      </c>
      <c r="EA109" s="190">
        <f>IF(EA63&gt;0,HLOOKUP(EA63,[1]Trav!$C$11:$O$31,$DD$105),0)</f>
        <v>0</v>
      </c>
      <c r="EB109" s="190">
        <f>IF(EB63&gt;0,HLOOKUP(EB63,[1]Trav!$C$11:$O$31,$DD$105),0)</f>
        <v>0</v>
      </c>
    </row>
    <row r="110" spans="1:132" x14ac:dyDescent="0.25">
      <c r="A110" t="s">
        <v>858</v>
      </c>
      <c r="B110" s="30">
        <f>F70+F73</f>
        <v>0</v>
      </c>
      <c r="D110" s="197"/>
      <c r="AT110" s="189" t="str">
        <f t="shared" si="80"/>
        <v>lot5</v>
      </c>
      <c r="AV110" s="190">
        <f>IF(AV64&gt;0,HLOOKUP(AV64,[1]Trav!$C$11:$O$31,$AU$105),0)</f>
        <v>0</v>
      </c>
      <c r="AW110" s="190">
        <f>IF(AW64&gt;0,HLOOKUP(AW64,[1]Trav!$C$11:$O$31,$AU$105),0)</f>
        <v>0</v>
      </c>
      <c r="AX110" s="190">
        <f>IF(AX64&gt;0,HLOOKUP(AX64,[1]Trav!$C$11:$O$31,$AU$105),0)</f>
        <v>0</v>
      </c>
      <c r="AY110" s="190">
        <f>IF(AY64&gt;0,HLOOKUP(AY64,[1]Trav!$C$11:$O$31,$AU$105),0)</f>
        <v>0</v>
      </c>
      <c r="AZ110" s="190">
        <f>IF(AZ64&gt;0,HLOOKUP(AZ64,[1]Trav!$C$11:$O$31,$AU$105),0)</f>
        <v>0</v>
      </c>
      <c r="BA110" s="190">
        <f>IF(BA64&gt;0,HLOOKUP(BA64,[1]Trav!$C$11:$O$31,$AU$105),0)</f>
        <v>0</v>
      </c>
      <c r="BB110" s="190">
        <f>IF(BB64&gt;0,HLOOKUP(BB64,[1]Trav!$C$11:$O$31,$AU$105),0)</f>
        <v>0</v>
      </c>
      <c r="BC110" s="190">
        <f>IF(BC64&gt;0,HLOOKUP(BC64,[1]Trav!$C$11:$O$31,$AU$105),0)</f>
        <v>0</v>
      </c>
      <c r="BD110" s="190">
        <f>IF(BD64&gt;0,HLOOKUP(BD64,[1]Trav!$C$11:$O$31,$AU$105),0)</f>
        <v>0</v>
      </c>
      <c r="BE110" s="190">
        <f>IF(BE64&gt;0,HLOOKUP(BE64,[1]Trav!$C$11:$O$31,$AU$105),0)</f>
        <v>0</v>
      </c>
      <c r="BF110" s="190">
        <f>IF(BF64&gt;0,HLOOKUP(BF64,[1]Trav!$C$11:$O$31,$AU$105),0)</f>
        <v>0</v>
      </c>
      <c r="BG110" s="190">
        <f>IF(BG64&gt;0,HLOOKUP(BG64,[1]Trav!$C$11:$O$31,$AU$105),0)</f>
        <v>0</v>
      </c>
      <c r="BH110" s="190">
        <f>IF(BH64&gt;0,HLOOKUP(BH64,[1]Trav!$C$11:$O$31,$AU$105),0)</f>
        <v>0</v>
      </c>
      <c r="BI110" s="190">
        <f>IF(BI64&gt;0,HLOOKUP(BI64,[1]Trav!$C$11:$O$31,$AU$105),0)</f>
        <v>0</v>
      </c>
      <c r="BJ110" s="190">
        <f>IF(BJ64&gt;0,HLOOKUP(BJ64,[1]Trav!$C$11:$O$31,$AU$105),0)</f>
        <v>0</v>
      </c>
      <c r="BK110" s="190">
        <f>IF(BK64&gt;0,HLOOKUP(BK64,[1]Trav!$C$11:$O$31,$AU$105),0)</f>
        <v>0</v>
      </c>
      <c r="BL110" s="190">
        <f>IF(BL64&gt;0,HLOOKUP(BL64,[1]Trav!$C$11:$O$31,$AU$105),0)</f>
        <v>0</v>
      </c>
      <c r="BM110" s="190">
        <f>IF(BM64&gt;0,HLOOKUP(BM64,[1]Trav!$C$11:$O$31,$AU$105),0)</f>
        <v>0</v>
      </c>
      <c r="BN110" s="190">
        <f>IF(BN64&gt;0,HLOOKUP(BN64,[1]Trav!$C$11:$O$31,$AU$105),0)</f>
        <v>0</v>
      </c>
      <c r="BO110" s="190">
        <f>IF(BO64&gt;0,HLOOKUP(BO64,[1]Trav!$C$11:$O$31,$AU$105),0)</f>
        <v>0</v>
      </c>
      <c r="BP110" s="190">
        <f>IF(BP64&gt;0,HLOOKUP(BP64,[1]Trav!$C$11:$O$31,$AU$105),0)</f>
        <v>0</v>
      </c>
      <c r="BQ110" s="190">
        <f>IF(BQ64&gt;0,HLOOKUP(BQ64,[1]Trav!$C$11:$O$31,$AU$105),0)</f>
        <v>0</v>
      </c>
      <c r="BR110" s="190">
        <f>IF(BR64&gt;0,HLOOKUP(BR64,[1]Trav!$C$11:$O$31,$AU$105),0)</f>
        <v>0</v>
      </c>
      <c r="BS110" s="190">
        <f>IF(BS64&gt;0,HLOOKUP(BS64,[1]Trav!$C$11:$O$31,$AU$105),0)</f>
        <v>0</v>
      </c>
      <c r="BZ110" s="189" t="str">
        <f t="shared" si="81"/>
        <v>lot5</v>
      </c>
      <c r="CB110" s="190">
        <f>IF(CB64&gt;0,HLOOKUP(CB64,[1]Trav!$C$11:$O$31,$CA$105),0)</f>
        <v>0</v>
      </c>
      <c r="CC110" s="190">
        <f>IF(CC64&gt;0,HLOOKUP(CC64,[1]Trav!$C$11:$O$31,$CA$105),0)</f>
        <v>0</v>
      </c>
      <c r="CD110" s="190">
        <f>IF(CD64&gt;0,HLOOKUP(CD64,[1]Trav!$C$11:$O$31,$CA$105),0)</f>
        <v>0</v>
      </c>
      <c r="CE110" s="190">
        <f>IF(CE64&gt;0,HLOOKUP(CE64,[1]Trav!$C$11:$O$31,$CA$105),0)</f>
        <v>0</v>
      </c>
      <c r="CF110" s="190">
        <f>IF(CF64&gt;0,HLOOKUP(CF64,[1]Trav!$C$11:$O$31,$CA$105),0)</f>
        <v>0</v>
      </c>
      <c r="CG110" s="190">
        <f>IF(CG64&gt;0,HLOOKUP(CG64,[1]Trav!$C$11:$O$31,$CA$105),0)</f>
        <v>0</v>
      </c>
      <c r="CH110" s="190">
        <f>IF(CH64&gt;0,HLOOKUP(CH64,[1]Trav!$C$11:$O$31,$CA$105),0)</f>
        <v>0</v>
      </c>
      <c r="CI110" s="190">
        <f>IF(CI64&gt;0,HLOOKUP(CI64,[1]Trav!$C$11:$O$31,$CA$105),0)</f>
        <v>0</v>
      </c>
      <c r="CJ110" s="190">
        <f>IF(CJ64&gt;0,HLOOKUP(CJ64,[1]Trav!$C$11:$O$31,$CA$105),0)</f>
        <v>0</v>
      </c>
      <c r="CK110" s="190">
        <f>IF(CK64&gt;0,HLOOKUP(CK64,[1]Trav!$C$11:$O$31,$CA$105),0)</f>
        <v>0</v>
      </c>
      <c r="CL110" s="190">
        <f>IF(CL64&gt;0,HLOOKUP(CL64,[1]Trav!$C$11:$O$31,$CA$105),0)</f>
        <v>0</v>
      </c>
      <c r="CM110" s="190">
        <f>IF(CM64&gt;0,HLOOKUP(CM64,[1]Trav!$C$11:$O$31,$CA$105),0)</f>
        <v>0</v>
      </c>
      <c r="CN110" s="190">
        <f>IF(CN64&gt;0,HLOOKUP(CN64,[1]Trav!$C$11:$O$31,$CA$105),0)</f>
        <v>0</v>
      </c>
      <c r="CO110" s="190">
        <f>IF(CO64&gt;0,HLOOKUP(CO64,[1]Trav!$C$11:$O$31,$CA$105),0)</f>
        <v>0</v>
      </c>
      <c r="CP110" s="190">
        <f>IF(CP64&gt;0,HLOOKUP(CP64,[1]Trav!$C$11:$O$31,$CA$105),0)</f>
        <v>0</v>
      </c>
      <c r="CQ110" s="190">
        <f>IF(CQ64&gt;0,HLOOKUP(CQ64,[1]Trav!$C$11:$O$31,$CA$105),0)</f>
        <v>0</v>
      </c>
      <c r="CR110" s="190">
        <f>IF(CR64&gt;0,HLOOKUP(CR64,[1]Trav!$C$11:$O$31,$CA$105),0)</f>
        <v>0</v>
      </c>
      <c r="CS110" s="190">
        <f>IF(CS64&gt;0,HLOOKUP(CS64,[1]Trav!$C$11:$O$31,$CA$105),0)</f>
        <v>0</v>
      </c>
      <c r="CT110" s="190">
        <f>IF(CT64&gt;0,HLOOKUP(CT64,[1]Trav!$C$11:$O$31,$CA$105),0)</f>
        <v>0</v>
      </c>
      <c r="CU110" s="190">
        <f>IF(CU64&gt;0,HLOOKUP(CU64,[1]Trav!$C$11:$O$31,$CA$105),0)</f>
        <v>0</v>
      </c>
      <c r="CV110" s="190">
        <f>IF(CV64&gt;0,HLOOKUP(CV64,[1]Trav!$C$11:$O$31,$CA$105),0)</f>
        <v>0</v>
      </c>
      <c r="CW110" s="190">
        <f>IF(CW64&gt;0,HLOOKUP(CW64,[1]Trav!$C$11:$O$31,$CA$105),0)</f>
        <v>0</v>
      </c>
      <c r="CX110" s="190">
        <f>IF(CX64&gt;0,HLOOKUP(CX64,[1]Trav!$C$11:$O$31,$CA$105),0)</f>
        <v>0</v>
      </c>
      <c r="CY110" s="190">
        <f>IF(CY64&gt;0,HLOOKUP(CY64,[1]Trav!$C$11:$O$31,$CA$105),0)</f>
        <v>0</v>
      </c>
      <c r="DC110" s="189" t="str">
        <f t="shared" si="82"/>
        <v>lot5</v>
      </c>
      <c r="DE110" s="190">
        <f>IF(DE64&gt;0,HLOOKUP(DE64,[1]Trav!$C$11:$O$31,$DD$105),0)</f>
        <v>0</v>
      </c>
      <c r="DF110" s="190">
        <f>IF(DF64&gt;0,HLOOKUP(DF64,[1]Trav!$C$11:$O$31,$DD$105),0)</f>
        <v>0</v>
      </c>
      <c r="DG110" s="190">
        <f>IF(DG64&gt;0,HLOOKUP(DG64,[1]Trav!$C$11:$O$31,$DD$105),0)</f>
        <v>0</v>
      </c>
      <c r="DH110" s="190">
        <f>IF(DH64&gt;0,HLOOKUP(DH64,[1]Trav!$C$11:$O$31,$DD$105),0)</f>
        <v>0</v>
      </c>
      <c r="DI110" s="190">
        <f>IF(DI64&gt;0,HLOOKUP(DI64,[1]Trav!$C$11:$O$31,$DD$105),0)</f>
        <v>0</v>
      </c>
      <c r="DJ110" s="190">
        <f>IF(DJ64&gt;0,HLOOKUP(DJ64,[1]Trav!$C$11:$O$31,$DD$105),0)</f>
        <v>0</v>
      </c>
      <c r="DK110" s="190">
        <f>IF(DK64&gt;0,HLOOKUP(DK64,[1]Trav!$C$11:$O$31,$DD$105),0)</f>
        <v>0</v>
      </c>
      <c r="DL110" s="190">
        <f>IF(DL64&gt;0,HLOOKUP(DL64,[1]Trav!$C$11:$O$31,$DD$105),0)</f>
        <v>0</v>
      </c>
      <c r="DM110" s="190">
        <f>IF(DM64&gt;0,HLOOKUP(DM64,[1]Trav!$C$11:$O$31,$DD$105),0)</f>
        <v>0</v>
      </c>
      <c r="DN110" s="190">
        <f>IF(DN64&gt;0,HLOOKUP(DN64,[1]Trav!$C$11:$O$31,$DD$105),0)</f>
        <v>0</v>
      </c>
      <c r="DO110" s="190">
        <f>IF(DO64&gt;0,HLOOKUP(DO64,[1]Trav!$C$11:$O$31,$DD$105),0)</f>
        <v>0</v>
      </c>
      <c r="DP110" s="190">
        <f>IF(DP64&gt;0,HLOOKUP(DP64,[1]Trav!$C$11:$O$31,$DD$105),0)</f>
        <v>0</v>
      </c>
      <c r="DQ110" s="190">
        <f>IF(DQ64&gt;0,HLOOKUP(DQ64,[1]Trav!$C$11:$O$31,$DD$105),0)</f>
        <v>0</v>
      </c>
      <c r="DR110" s="190">
        <f>IF(DR64&gt;0,HLOOKUP(DR64,[1]Trav!$C$11:$O$31,$DD$105),0)</f>
        <v>0</v>
      </c>
      <c r="DS110" s="190">
        <f>IF(DS64&gt;0,HLOOKUP(DS64,[1]Trav!$C$11:$O$31,$DD$105),0)</f>
        <v>0</v>
      </c>
      <c r="DT110" s="190">
        <f>IF(DT64&gt;0,HLOOKUP(DT64,[1]Trav!$C$11:$O$31,$DD$105),0)</f>
        <v>0</v>
      </c>
      <c r="DU110" s="190">
        <f>IF(DU64&gt;0,HLOOKUP(DU64,[1]Trav!$C$11:$O$31,$DD$105),0)</f>
        <v>0</v>
      </c>
      <c r="DV110" s="190">
        <f>IF(DV64&gt;0,HLOOKUP(DV64,[1]Trav!$C$11:$O$31,$DD$105),0)</f>
        <v>0</v>
      </c>
      <c r="DW110" s="190">
        <f>IF(DW64&gt;0,HLOOKUP(DW64,[1]Trav!$C$11:$O$31,$DD$105),0)</f>
        <v>0</v>
      </c>
      <c r="DX110" s="190">
        <f>IF(DX64&gt;0,HLOOKUP(DX64,[1]Trav!$C$11:$O$31,$DD$105),0)</f>
        <v>0</v>
      </c>
      <c r="DY110" s="190">
        <f>IF(DY64&gt;0,HLOOKUP(DY64,[1]Trav!$C$11:$O$31,$DD$105),0)</f>
        <v>0</v>
      </c>
      <c r="DZ110" s="190">
        <f>IF(DZ64&gt;0,HLOOKUP(DZ64,[1]Trav!$C$11:$O$31,$DD$105),0)</f>
        <v>0</v>
      </c>
      <c r="EA110" s="190">
        <f>IF(EA64&gt;0,HLOOKUP(EA64,[1]Trav!$C$11:$O$31,$DD$105),0)</f>
        <v>0</v>
      </c>
      <c r="EB110" s="190">
        <f>IF(EB64&gt;0,HLOOKUP(EB64,[1]Trav!$C$11:$O$31,$DD$105),0)</f>
        <v>0</v>
      </c>
    </row>
    <row r="111" spans="1:132" x14ac:dyDescent="0.25">
      <c r="A111" t="s">
        <v>859</v>
      </c>
      <c r="B111" s="30">
        <f>F71+F74</f>
        <v>0</v>
      </c>
      <c r="D111" s="197"/>
      <c r="AT111" s="189" t="str">
        <f t="shared" si="80"/>
        <v>lot6</v>
      </c>
      <c r="AV111" s="190">
        <f>IF(AV65&gt;0,HLOOKUP(AV65,[1]Trav!$C$11:$O$31,$AU$105),0)</f>
        <v>0</v>
      </c>
      <c r="AW111" s="190">
        <f>IF(AW65&gt;0,HLOOKUP(AW65,[1]Trav!$C$11:$O$31,$AU$105),0)</f>
        <v>0</v>
      </c>
      <c r="AX111" s="190">
        <f>IF(AX65&gt;0,HLOOKUP(AX65,[1]Trav!$C$11:$O$31,$AU$105),0)</f>
        <v>0</v>
      </c>
      <c r="AY111" s="190">
        <f>IF(AY65&gt;0,HLOOKUP(AY65,[1]Trav!$C$11:$O$31,$AU$105),0)</f>
        <v>0</v>
      </c>
      <c r="AZ111" s="190">
        <f>IF(AZ65&gt;0,HLOOKUP(AZ65,[1]Trav!$C$11:$O$31,$AU$105),0)</f>
        <v>0</v>
      </c>
      <c r="BA111" s="190">
        <f>IF(BA65&gt;0,HLOOKUP(BA65,[1]Trav!$C$11:$O$31,$AU$105),0)</f>
        <v>0</v>
      </c>
      <c r="BB111" s="190">
        <f>IF(BB65&gt;0,HLOOKUP(BB65,[1]Trav!$C$11:$O$31,$AU$105),0)</f>
        <v>0</v>
      </c>
      <c r="BC111" s="190">
        <f>IF(BC65&gt;0,HLOOKUP(BC65,[1]Trav!$C$11:$O$31,$AU$105),0)</f>
        <v>0</v>
      </c>
      <c r="BD111" s="190">
        <f>IF(BD65&gt;0,HLOOKUP(BD65,[1]Trav!$C$11:$O$31,$AU$105),0)</f>
        <v>0</v>
      </c>
      <c r="BE111" s="190">
        <f>IF(BE65&gt;0,HLOOKUP(BE65,[1]Trav!$C$11:$O$31,$AU$105),0)</f>
        <v>0</v>
      </c>
      <c r="BF111" s="190">
        <f>IF(BF65&gt;0,HLOOKUP(BF65,[1]Trav!$C$11:$O$31,$AU$105),0)</f>
        <v>0</v>
      </c>
      <c r="BG111" s="190">
        <f>IF(BG65&gt;0,HLOOKUP(BG65,[1]Trav!$C$11:$O$31,$AU$105),0)</f>
        <v>0</v>
      </c>
      <c r="BH111" s="190">
        <f>IF(BH65&gt;0,HLOOKUP(BH65,[1]Trav!$C$11:$O$31,$AU$105),0)</f>
        <v>0</v>
      </c>
      <c r="BI111" s="190">
        <f>IF(BI65&gt;0,HLOOKUP(BI65,[1]Trav!$C$11:$O$31,$AU$105),0)</f>
        <v>0</v>
      </c>
      <c r="BJ111" s="190">
        <f>IF(BJ65&gt;0,HLOOKUP(BJ65,[1]Trav!$C$11:$O$31,$AU$105),0)</f>
        <v>0</v>
      </c>
      <c r="BK111" s="190">
        <f>IF(BK65&gt;0,HLOOKUP(BK65,[1]Trav!$C$11:$O$31,$AU$105),0)</f>
        <v>0</v>
      </c>
      <c r="BL111" s="190">
        <f>IF(BL65&gt;0,HLOOKUP(BL65,[1]Trav!$C$11:$O$31,$AU$105),0)</f>
        <v>0</v>
      </c>
      <c r="BM111" s="190">
        <f>IF(BM65&gt;0,HLOOKUP(BM65,[1]Trav!$C$11:$O$31,$AU$105),0)</f>
        <v>0</v>
      </c>
      <c r="BN111" s="190">
        <f>IF(BN65&gt;0,HLOOKUP(BN65,[1]Trav!$C$11:$O$31,$AU$105),0)</f>
        <v>0</v>
      </c>
      <c r="BO111" s="190">
        <f>IF(BO65&gt;0,HLOOKUP(BO65,[1]Trav!$C$11:$O$31,$AU$105),0)</f>
        <v>0</v>
      </c>
      <c r="BP111" s="190">
        <f>IF(BP65&gt;0,HLOOKUP(BP65,[1]Trav!$C$11:$O$31,$AU$105),0)</f>
        <v>0</v>
      </c>
      <c r="BQ111" s="190">
        <f>IF(BQ65&gt;0,HLOOKUP(BQ65,[1]Trav!$C$11:$O$31,$AU$105),0)</f>
        <v>0</v>
      </c>
      <c r="BR111" s="190">
        <f>IF(BR65&gt;0,HLOOKUP(BR65,[1]Trav!$C$11:$O$31,$AU$105),0)</f>
        <v>0</v>
      </c>
      <c r="BS111" s="190">
        <f>IF(BS65&gt;0,HLOOKUP(BS65,[1]Trav!$C$11:$O$31,$AU$105),0)</f>
        <v>0</v>
      </c>
      <c r="BZ111" s="189" t="str">
        <f t="shared" si="81"/>
        <v>lot6</v>
      </c>
      <c r="CB111" s="190">
        <f>IF(CB65&gt;0,HLOOKUP(CB65,[1]Trav!$C$11:$O$31,$CA$105),0)</f>
        <v>0</v>
      </c>
      <c r="CC111" s="190">
        <f>IF(CC65&gt;0,HLOOKUP(CC65,[1]Trav!$C$11:$O$31,$CA$105),0)</f>
        <v>0</v>
      </c>
      <c r="CD111" s="190">
        <f>IF(CD65&gt;0,HLOOKUP(CD65,[1]Trav!$C$11:$O$31,$CA$105),0)</f>
        <v>0</v>
      </c>
      <c r="CE111" s="190">
        <f>IF(CE65&gt;0,HLOOKUP(CE65,[1]Trav!$C$11:$O$31,$CA$105),0)</f>
        <v>0</v>
      </c>
      <c r="CF111" s="190">
        <f>IF(CF65&gt;0,HLOOKUP(CF65,[1]Trav!$C$11:$O$31,$CA$105),0)</f>
        <v>0</v>
      </c>
      <c r="CG111" s="190">
        <f>IF(CG65&gt;0,HLOOKUP(CG65,[1]Trav!$C$11:$O$31,$CA$105),0)</f>
        <v>0</v>
      </c>
      <c r="CH111" s="190">
        <f>IF(CH65&gt;0,HLOOKUP(CH65,[1]Trav!$C$11:$O$31,$CA$105),0)</f>
        <v>0</v>
      </c>
      <c r="CI111" s="190">
        <f>IF(CI65&gt;0,HLOOKUP(CI65,[1]Trav!$C$11:$O$31,$CA$105),0)</f>
        <v>0</v>
      </c>
      <c r="CJ111" s="190">
        <f>IF(CJ65&gt;0,HLOOKUP(CJ65,[1]Trav!$C$11:$O$31,$CA$105),0)</f>
        <v>0</v>
      </c>
      <c r="CK111" s="190">
        <f>IF(CK65&gt;0,HLOOKUP(CK65,[1]Trav!$C$11:$O$31,$CA$105),0)</f>
        <v>0</v>
      </c>
      <c r="CL111" s="190">
        <f>IF(CL65&gt;0,HLOOKUP(CL65,[1]Trav!$C$11:$O$31,$CA$105),0)</f>
        <v>0</v>
      </c>
      <c r="CM111" s="190">
        <f>IF(CM65&gt;0,HLOOKUP(CM65,[1]Trav!$C$11:$O$31,$CA$105),0)</f>
        <v>0</v>
      </c>
      <c r="CN111" s="190">
        <f>IF(CN65&gt;0,HLOOKUP(CN65,[1]Trav!$C$11:$O$31,$CA$105),0)</f>
        <v>0</v>
      </c>
      <c r="CO111" s="190">
        <f>IF(CO65&gt;0,HLOOKUP(CO65,[1]Trav!$C$11:$O$31,$CA$105),0)</f>
        <v>0</v>
      </c>
      <c r="CP111" s="190">
        <f>IF(CP65&gt;0,HLOOKUP(CP65,[1]Trav!$C$11:$O$31,$CA$105),0)</f>
        <v>0</v>
      </c>
      <c r="CQ111" s="190">
        <f>IF(CQ65&gt;0,HLOOKUP(CQ65,[1]Trav!$C$11:$O$31,$CA$105),0)</f>
        <v>0</v>
      </c>
      <c r="CR111" s="190">
        <f>IF(CR65&gt;0,HLOOKUP(CR65,[1]Trav!$C$11:$O$31,$CA$105),0)</f>
        <v>0</v>
      </c>
      <c r="CS111" s="190">
        <f>IF(CS65&gt;0,HLOOKUP(CS65,[1]Trav!$C$11:$O$31,$CA$105),0)</f>
        <v>0</v>
      </c>
      <c r="CT111" s="190">
        <f>IF(CT65&gt;0,HLOOKUP(CT65,[1]Trav!$C$11:$O$31,$CA$105),0)</f>
        <v>0</v>
      </c>
      <c r="CU111" s="190">
        <f>IF(CU65&gt;0,HLOOKUP(CU65,[1]Trav!$C$11:$O$31,$CA$105),0)</f>
        <v>0</v>
      </c>
      <c r="CV111" s="190">
        <f>IF(CV65&gt;0,HLOOKUP(CV65,[1]Trav!$C$11:$O$31,$CA$105),0)</f>
        <v>0</v>
      </c>
      <c r="CW111" s="190">
        <f>IF(CW65&gt;0,HLOOKUP(CW65,[1]Trav!$C$11:$O$31,$CA$105),0)</f>
        <v>0</v>
      </c>
      <c r="CX111" s="190">
        <f>IF(CX65&gt;0,HLOOKUP(CX65,[1]Trav!$C$11:$O$31,$CA$105),0)</f>
        <v>0</v>
      </c>
      <c r="CY111" s="190">
        <f>IF(CY65&gt;0,HLOOKUP(CY65,[1]Trav!$C$11:$O$31,$CA$105),0)</f>
        <v>0</v>
      </c>
      <c r="DC111" s="189" t="str">
        <f t="shared" si="82"/>
        <v>lot6</v>
      </c>
      <c r="DE111" s="190">
        <f>IF(DE65&gt;0,HLOOKUP(DE65,[1]Trav!$C$11:$O$31,$DD$105),0)</f>
        <v>0</v>
      </c>
      <c r="DF111" s="190">
        <f>IF(DF65&gt;0,HLOOKUP(DF65,[1]Trav!$C$11:$O$31,$DD$105),0)</f>
        <v>0</v>
      </c>
      <c r="DG111" s="190">
        <f>IF(DG65&gt;0,HLOOKUP(DG65,[1]Trav!$C$11:$O$31,$DD$105),0)</f>
        <v>0</v>
      </c>
      <c r="DH111" s="190">
        <f>IF(DH65&gt;0,HLOOKUP(DH65,[1]Trav!$C$11:$O$31,$DD$105),0)</f>
        <v>0</v>
      </c>
      <c r="DI111" s="190">
        <f>IF(DI65&gt;0,HLOOKUP(DI65,[1]Trav!$C$11:$O$31,$DD$105),0)</f>
        <v>0</v>
      </c>
      <c r="DJ111" s="190">
        <f>IF(DJ65&gt;0,HLOOKUP(DJ65,[1]Trav!$C$11:$O$31,$DD$105),0)</f>
        <v>0</v>
      </c>
      <c r="DK111" s="190">
        <f>IF(DK65&gt;0,HLOOKUP(DK65,[1]Trav!$C$11:$O$31,$DD$105),0)</f>
        <v>0</v>
      </c>
      <c r="DL111" s="190">
        <f>IF(DL65&gt;0,HLOOKUP(DL65,[1]Trav!$C$11:$O$31,$DD$105),0)</f>
        <v>0</v>
      </c>
      <c r="DM111" s="190">
        <f>IF(DM65&gt;0,HLOOKUP(DM65,[1]Trav!$C$11:$O$31,$DD$105),0)</f>
        <v>0</v>
      </c>
      <c r="DN111" s="190">
        <f>IF(DN65&gt;0,HLOOKUP(DN65,[1]Trav!$C$11:$O$31,$DD$105),0)</f>
        <v>0</v>
      </c>
      <c r="DO111" s="190">
        <f>IF(DO65&gt;0,HLOOKUP(DO65,[1]Trav!$C$11:$O$31,$DD$105),0)</f>
        <v>0</v>
      </c>
      <c r="DP111" s="190">
        <f>IF(DP65&gt;0,HLOOKUP(DP65,[1]Trav!$C$11:$O$31,$DD$105),0)</f>
        <v>0</v>
      </c>
      <c r="DQ111" s="190">
        <f>IF(DQ65&gt;0,HLOOKUP(DQ65,[1]Trav!$C$11:$O$31,$DD$105),0)</f>
        <v>0</v>
      </c>
      <c r="DR111" s="190">
        <f>IF(DR65&gt;0,HLOOKUP(DR65,[1]Trav!$C$11:$O$31,$DD$105),0)</f>
        <v>0</v>
      </c>
      <c r="DS111" s="190">
        <f>IF(DS65&gt;0,HLOOKUP(DS65,[1]Trav!$C$11:$O$31,$DD$105),0)</f>
        <v>0</v>
      </c>
      <c r="DT111" s="190">
        <f>IF(DT65&gt;0,HLOOKUP(DT65,[1]Trav!$C$11:$O$31,$DD$105),0)</f>
        <v>0</v>
      </c>
      <c r="DU111" s="190">
        <f>IF(DU65&gt;0,HLOOKUP(DU65,[1]Trav!$C$11:$O$31,$DD$105),0)</f>
        <v>0</v>
      </c>
      <c r="DV111" s="190">
        <f>IF(DV65&gt;0,HLOOKUP(DV65,[1]Trav!$C$11:$O$31,$DD$105),0)</f>
        <v>0</v>
      </c>
      <c r="DW111" s="190">
        <f>IF(DW65&gt;0,HLOOKUP(DW65,[1]Trav!$C$11:$O$31,$DD$105),0)</f>
        <v>0</v>
      </c>
      <c r="DX111" s="190">
        <f>IF(DX65&gt;0,HLOOKUP(DX65,[1]Trav!$C$11:$O$31,$DD$105),0)</f>
        <v>0</v>
      </c>
      <c r="DY111" s="190">
        <f>IF(DY65&gt;0,HLOOKUP(DY65,[1]Trav!$C$11:$O$31,$DD$105),0)</f>
        <v>0</v>
      </c>
      <c r="DZ111" s="190">
        <f>IF(DZ65&gt;0,HLOOKUP(DZ65,[1]Trav!$C$11:$O$31,$DD$105),0)</f>
        <v>0</v>
      </c>
      <c r="EA111" s="190">
        <f>IF(EA65&gt;0,HLOOKUP(EA65,[1]Trav!$C$11:$O$31,$DD$105),0)</f>
        <v>0</v>
      </c>
      <c r="EB111" s="190">
        <f>IF(EB65&gt;0,HLOOKUP(EB65,[1]Trav!$C$11:$O$31,$DD$105),0)</f>
        <v>0</v>
      </c>
    </row>
    <row r="112" spans="1:132" x14ac:dyDescent="0.25">
      <c r="A112" s="2" t="s">
        <v>860</v>
      </c>
      <c r="B112" s="46">
        <f>SUM(B109:B111)</f>
        <v>275</v>
      </c>
      <c r="D112" s="197"/>
      <c r="AT112" s="189" t="str">
        <f t="shared" si="80"/>
        <v>lot7</v>
      </c>
      <c r="AV112" s="190">
        <f>IF(AV66&gt;0,HLOOKUP(AV66,[1]Trav!$C$11:$O$31,$AU$105),0)</f>
        <v>0</v>
      </c>
      <c r="AW112" s="190">
        <f>IF(AW66&gt;0,HLOOKUP(AW66,[1]Trav!$C$11:$O$31,$AU$105),0)</f>
        <v>0</v>
      </c>
      <c r="AX112" s="190">
        <f>IF(AX66&gt;0,HLOOKUP(AX66,[1]Trav!$C$11:$O$31,$AU$105),0)</f>
        <v>0</v>
      </c>
      <c r="AY112" s="190">
        <f>IF(AY66&gt;0,HLOOKUP(AY66,[1]Trav!$C$11:$O$31,$AU$105),0)</f>
        <v>0</v>
      </c>
      <c r="AZ112" s="190">
        <f>IF(AZ66&gt;0,HLOOKUP(AZ66,[1]Trav!$C$11:$O$31,$AU$105),0)</f>
        <v>0</v>
      </c>
      <c r="BA112" s="190">
        <f>IF(BA66&gt;0,HLOOKUP(BA66,[1]Trav!$C$11:$O$31,$AU$105),0)</f>
        <v>0</v>
      </c>
      <c r="BB112" s="190">
        <f>IF(BB66&gt;0,HLOOKUP(BB66,[1]Trav!$C$11:$O$31,$AU$105),0)</f>
        <v>0</v>
      </c>
      <c r="BC112" s="190">
        <f>IF(BC66&gt;0,HLOOKUP(BC66,[1]Trav!$C$11:$O$31,$AU$105),0)</f>
        <v>0</v>
      </c>
      <c r="BD112" s="190">
        <f>IF(BD66&gt;0,HLOOKUP(BD66,[1]Trav!$C$11:$O$31,$AU$105),0)</f>
        <v>0</v>
      </c>
      <c r="BE112" s="190">
        <f>IF(BE66&gt;0,HLOOKUP(BE66,[1]Trav!$C$11:$O$31,$AU$105),0)</f>
        <v>0</v>
      </c>
      <c r="BF112" s="190">
        <f>IF(BF66&gt;0,HLOOKUP(BF66,[1]Trav!$C$11:$O$31,$AU$105),0)</f>
        <v>0</v>
      </c>
      <c r="BG112" s="190">
        <f>IF(BG66&gt;0,HLOOKUP(BG66,[1]Trav!$C$11:$O$31,$AU$105),0)</f>
        <v>0</v>
      </c>
      <c r="BH112" s="190">
        <f>IF(BH66&gt;0,HLOOKUP(BH66,[1]Trav!$C$11:$O$31,$AU$105),0)</f>
        <v>0</v>
      </c>
      <c r="BI112" s="190">
        <f>IF(BI66&gt;0,HLOOKUP(BI66,[1]Trav!$C$11:$O$31,$AU$105),0)</f>
        <v>0</v>
      </c>
      <c r="BJ112" s="190">
        <f>IF(BJ66&gt;0,HLOOKUP(BJ66,[1]Trav!$C$11:$O$31,$AU$105),0)</f>
        <v>0</v>
      </c>
      <c r="BK112" s="190">
        <f>IF(BK66&gt;0,HLOOKUP(BK66,[1]Trav!$C$11:$O$31,$AU$105),0)</f>
        <v>0</v>
      </c>
      <c r="BL112" s="190">
        <f>IF(BL66&gt;0,HLOOKUP(BL66,[1]Trav!$C$11:$O$31,$AU$105),0)</f>
        <v>0</v>
      </c>
      <c r="BM112" s="190">
        <f>IF(BM66&gt;0,HLOOKUP(BM66,[1]Trav!$C$11:$O$31,$AU$105),0)</f>
        <v>0</v>
      </c>
      <c r="BN112" s="190">
        <f>IF(BN66&gt;0,HLOOKUP(BN66,[1]Trav!$C$11:$O$31,$AU$105),0)</f>
        <v>0</v>
      </c>
      <c r="BO112" s="190">
        <f>IF(BO66&gt;0,HLOOKUP(BO66,[1]Trav!$C$11:$O$31,$AU$105),0)</f>
        <v>0</v>
      </c>
      <c r="BP112" s="190">
        <f>IF(BP66&gt;0,HLOOKUP(BP66,[1]Trav!$C$11:$O$31,$AU$105),0)</f>
        <v>0</v>
      </c>
      <c r="BQ112" s="190">
        <f>IF(BQ66&gt;0,HLOOKUP(BQ66,[1]Trav!$C$11:$O$31,$AU$105),0)</f>
        <v>0</v>
      </c>
      <c r="BR112" s="190">
        <f>IF(BR66&gt;0,HLOOKUP(BR66,[1]Trav!$C$11:$O$31,$AU$105),0)</f>
        <v>0</v>
      </c>
      <c r="BS112" s="190">
        <f>IF(BS66&gt;0,HLOOKUP(BS66,[1]Trav!$C$11:$O$31,$AU$105),0)</f>
        <v>0</v>
      </c>
      <c r="BZ112" s="189" t="str">
        <f t="shared" si="81"/>
        <v>lot7</v>
      </c>
      <c r="CB112" s="190">
        <f>IF(CB66&gt;0,HLOOKUP(CB66,[1]Trav!$C$11:$O$31,$CA$105),0)</f>
        <v>0</v>
      </c>
      <c r="CC112" s="190">
        <f>IF(CC66&gt;0,HLOOKUP(CC66,[1]Trav!$C$11:$O$31,$CA$105),0)</f>
        <v>0</v>
      </c>
      <c r="CD112" s="190">
        <f>IF(CD66&gt;0,HLOOKUP(CD66,[1]Trav!$C$11:$O$31,$CA$105),0)</f>
        <v>0</v>
      </c>
      <c r="CE112" s="190">
        <f>IF(CE66&gt;0,HLOOKUP(CE66,[1]Trav!$C$11:$O$31,$CA$105),0)</f>
        <v>0</v>
      </c>
      <c r="CF112" s="190">
        <f>IF(CF66&gt;0,HLOOKUP(CF66,[1]Trav!$C$11:$O$31,$CA$105),0)</f>
        <v>0</v>
      </c>
      <c r="CG112" s="190">
        <f>IF(CG66&gt;0,HLOOKUP(CG66,[1]Trav!$C$11:$O$31,$CA$105),0)</f>
        <v>0</v>
      </c>
      <c r="CH112" s="190">
        <f>IF(CH66&gt;0,HLOOKUP(CH66,[1]Trav!$C$11:$O$31,$CA$105),0)</f>
        <v>0</v>
      </c>
      <c r="CI112" s="190">
        <f>IF(CI66&gt;0,HLOOKUP(CI66,[1]Trav!$C$11:$O$31,$CA$105),0)</f>
        <v>0</v>
      </c>
      <c r="CJ112" s="190">
        <f>IF(CJ66&gt;0,HLOOKUP(CJ66,[1]Trav!$C$11:$O$31,$CA$105),0)</f>
        <v>0</v>
      </c>
      <c r="CK112" s="190">
        <f>IF(CK66&gt;0,HLOOKUP(CK66,[1]Trav!$C$11:$O$31,$CA$105),0)</f>
        <v>0</v>
      </c>
      <c r="CL112" s="190">
        <f>IF(CL66&gt;0,HLOOKUP(CL66,[1]Trav!$C$11:$O$31,$CA$105),0)</f>
        <v>0</v>
      </c>
      <c r="CM112" s="190">
        <f>IF(CM66&gt;0,HLOOKUP(CM66,[1]Trav!$C$11:$O$31,$CA$105),0)</f>
        <v>0</v>
      </c>
      <c r="CN112" s="190">
        <f>IF(CN66&gt;0,HLOOKUP(CN66,[1]Trav!$C$11:$O$31,$CA$105),0)</f>
        <v>0</v>
      </c>
      <c r="CO112" s="190">
        <f>IF(CO66&gt;0,HLOOKUP(CO66,[1]Trav!$C$11:$O$31,$CA$105),0)</f>
        <v>0</v>
      </c>
      <c r="CP112" s="190">
        <f>IF(CP66&gt;0,HLOOKUP(CP66,[1]Trav!$C$11:$O$31,$CA$105),0)</f>
        <v>0</v>
      </c>
      <c r="CQ112" s="190">
        <f>IF(CQ66&gt;0,HLOOKUP(CQ66,[1]Trav!$C$11:$O$31,$CA$105),0)</f>
        <v>0</v>
      </c>
      <c r="CR112" s="190">
        <f>IF(CR66&gt;0,HLOOKUP(CR66,[1]Trav!$C$11:$O$31,$CA$105),0)</f>
        <v>0</v>
      </c>
      <c r="CS112" s="190">
        <f>IF(CS66&gt;0,HLOOKUP(CS66,[1]Trav!$C$11:$O$31,$CA$105),0)</f>
        <v>0</v>
      </c>
      <c r="CT112" s="190">
        <f>IF(CT66&gt;0,HLOOKUP(CT66,[1]Trav!$C$11:$O$31,$CA$105),0)</f>
        <v>0</v>
      </c>
      <c r="CU112" s="190">
        <f>IF(CU66&gt;0,HLOOKUP(CU66,[1]Trav!$C$11:$O$31,$CA$105),0)</f>
        <v>0</v>
      </c>
      <c r="CV112" s="190">
        <f>IF(CV66&gt;0,HLOOKUP(CV66,[1]Trav!$C$11:$O$31,$CA$105),0)</f>
        <v>0</v>
      </c>
      <c r="CW112" s="190">
        <f>IF(CW66&gt;0,HLOOKUP(CW66,[1]Trav!$C$11:$O$31,$CA$105),0)</f>
        <v>0</v>
      </c>
      <c r="CX112" s="190">
        <f>IF(CX66&gt;0,HLOOKUP(CX66,[1]Trav!$C$11:$O$31,$CA$105),0)</f>
        <v>0</v>
      </c>
      <c r="CY112" s="190">
        <f>IF(CY66&gt;0,HLOOKUP(CY66,[1]Trav!$C$11:$O$31,$CA$105),0)</f>
        <v>0</v>
      </c>
      <c r="DC112" s="189" t="str">
        <f t="shared" si="82"/>
        <v>lot7</v>
      </c>
      <c r="DE112" s="190">
        <f>IF(DE66&gt;0,HLOOKUP(DE66,[1]Trav!$C$11:$O$31,$DD$105),0)</f>
        <v>0</v>
      </c>
      <c r="DF112" s="190">
        <f>IF(DF66&gt;0,HLOOKUP(DF66,[1]Trav!$C$11:$O$31,$DD$105),0)</f>
        <v>0</v>
      </c>
      <c r="DG112" s="190">
        <f>IF(DG66&gt;0,HLOOKUP(DG66,[1]Trav!$C$11:$O$31,$DD$105),0)</f>
        <v>0</v>
      </c>
      <c r="DH112" s="190">
        <f>IF(DH66&gt;0,HLOOKUP(DH66,[1]Trav!$C$11:$O$31,$DD$105),0)</f>
        <v>0</v>
      </c>
      <c r="DI112" s="190">
        <f>IF(DI66&gt;0,HLOOKUP(DI66,[1]Trav!$C$11:$O$31,$DD$105),0)</f>
        <v>0</v>
      </c>
      <c r="DJ112" s="190">
        <f>IF(DJ66&gt;0,HLOOKUP(DJ66,[1]Trav!$C$11:$O$31,$DD$105),0)</f>
        <v>0</v>
      </c>
      <c r="DK112" s="190">
        <f>IF(DK66&gt;0,HLOOKUP(DK66,[1]Trav!$C$11:$O$31,$DD$105),0)</f>
        <v>0</v>
      </c>
      <c r="DL112" s="190">
        <f>IF(DL66&gt;0,HLOOKUP(DL66,[1]Trav!$C$11:$O$31,$DD$105),0)</f>
        <v>0</v>
      </c>
      <c r="DM112" s="190">
        <f>IF(DM66&gt;0,HLOOKUP(DM66,[1]Trav!$C$11:$O$31,$DD$105),0)</f>
        <v>0</v>
      </c>
      <c r="DN112" s="190">
        <f>IF(DN66&gt;0,HLOOKUP(DN66,[1]Trav!$C$11:$O$31,$DD$105),0)</f>
        <v>0</v>
      </c>
      <c r="DO112" s="190">
        <f>IF(DO66&gt;0,HLOOKUP(DO66,[1]Trav!$C$11:$O$31,$DD$105),0)</f>
        <v>0</v>
      </c>
      <c r="DP112" s="190">
        <f>IF(DP66&gt;0,HLOOKUP(DP66,[1]Trav!$C$11:$O$31,$DD$105),0)</f>
        <v>0</v>
      </c>
      <c r="DQ112" s="190">
        <f>IF(DQ66&gt;0,HLOOKUP(DQ66,[1]Trav!$C$11:$O$31,$DD$105),0)</f>
        <v>0</v>
      </c>
      <c r="DR112" s="190">
        <f>IF(DR66&gt;0,HLOOKUP(DR66,[1]Trav!$C$11:$O$31,$DD$105),0)</f>
        <v>0</v>
      </c>
      <c r="DS112" s="190">
        <f>IF(DS66&gt;0,HLOOKUP(DS66,[1]Trav!$C$11:$O$31,$DD$105),0)</f>
        <v>0</v>
      </c>
      <c r="DT112" s="190">
        <f>IF(DT66&gt;0,HLOOKUP(DT66,[1]Trav!$C$11:$O$31,$DD$105),0)</f>
        <v>0</v>
      </c>
      <c r="DU112" s="190">
        <f>IF(DU66&gt;0,HLOOKUP(DU66,[1]Trav!$C$11:$O$31,$DD$105),0)</f>
        <v>0</v>
      </c>
      <c r="DV112" s="190">
        <f>IF(DV66&gt;0,HLOOKUP(DV66,[1]Trav!$C$11:$O$31,$DD$105),0)</f>
        <v>0</v>
      </c>
      <c r="DW112" s="190">
        <f>IF(DW66&gt;0,HLOOKUP(DW66,[1]Trav!$C$11:$O$31,$DD$105),0)</f>
        <v>0</v>
      </c>
      <c r="DX112" s="190">
        <f>IF(DX66&gt;0,HLOOKUP(DX66,[1]Trav!$C$11:$O$31,$DD$105),0)</f>
        <v>0</v>
      </c>
      <c r="DY112" s="190">
        <f>IF(DY66&gt;0,HLOOKUP(DY66,[1]Trav!$C$11:$O$31,$DD$105),0)</f>
        <v>0</v>
      </c>
      <c r="DZ112" s="190">
        <f>IF(DZ66&gt;0,HLOOKUP(DZ66,[1]Trav!$C$11:$O$31,$DD$105),0)</f>
        <v>0</v>
      </c>
      <c r="EA112" s="190">
        <f>IF(EA66&gt;0,HLOOKUP(EA66,[1]Trav!$C$11:$O$31,$DD$105),0)</f>
        <v>0</v>
      </c>
      <c r="EB112" s="190">
        <f>IF(EB66&gt;0,HLOOKUP(EB66,[1]Trav!$C$11:$O$31,$DD$105),0)</f>
        <v>0</v>
      </c>
    </row>
    <row r="113" spans="1:132" x14ac:dyDescent="0.25">
      <c r="A113" s="2" t="s">
        <v>861</v>
      </c>
      <c r="B113" s="30">
        <f>F76</f>
        <v>49</v>
      </c>
      <c r="D113" s="197"/>
      <c r="AT113" s="189" t="str">
        <f t="shared" si="80"/>
        <v>lot8</v>
      </c>
      <c r="AV113" s="190">
        <f>IF(AV67&gt;0,HLOOKUP(AV67,[1]Trav!$C$11:$O$31,$AU$105),0)</f>
        <v>0</v>
      </c>
      <c r="AW113" s="190">
        <f>IF(AW67&gt;0,HLOOKUP(AW67,[1]Trav!$C$11:$O$31,$AU$105),0)</f>
        <v>0</v>
      </c>
      <c r="AX113" s="190">
        <f>IF(AX67&gt;0,HLOOKUP(AX67,[1]Trav!$C$11:$O$31,$AU$105),0)</f>
        <v>0</v>
      </c>
      <c r="AY113" s="190">
        <f>IF(AY67&gt;0,HLOOKUP(AY67,[1]Trav!$C$11:$O$31,$AU$105),0)</f>
        <v>0</v>
      </c>
      <c r="AZ113" s="190">
        <f>IF(AZ67&gt;0,HLOOKUP(AZ67,[1]Trav!$C$11:$O$31,$AU$105),0)</f>
        <v>0</v>
      </c>
      <c r="BA113" s="190">
        <f>IF(BA67&gt;0,HLOOKUP(BA67,[1]Trav!$C$11:$O$31,$AU$105),0)</f>
        <v>0</v>
      </c>
      <c r="BB113" s="190">
        <f>IF(BB67&gt;0,HLOOKUP(BB67,[1]Trav!$C$11:$O$31,$AU$105),0)</f>
        <v>0</v>
      </c>
      <c r="BC113" s="190">
        <f>IF(BC67&gt;0,HLOOKUP(BC67,[1]Trav!$C$11:$O$31,$AU$105),0)</f>
        <v>0</v>
      </c>
      <c r="BD113" s="190">
        <f>IF(BD67&gt;0,HLOOKUP(BD67,[1]Trav!$C$11:$O$31,$AU$105),0)</f>
        <v>0</v>
      </c>
      <c r="BE113" s="190">
        <f>IF(BE67&gt;0,HLOOKUP(BE67,[1]Trav!$C$11:$O$31,$AU$105),0)</f>
        <v>0</v>
      </c>
      <c r="BF113" s="190">
        <f>IF(BF67&gt;0,HLOOKUP(BF67,[1]Trav!$C$11:$O$31,$AU$105),0)</f>
        <v>0</v>
      </c>
      <c r="BG113" s="190">
        <f>IF(BG67&gt;0,HLOOKUP(BG67,[1]Trav!$C$11:$O$31,$AU$105),0)</f>
        <v>0</v>
      </c>
      <c r="BH113" s="190">
        <f>IF(BH67&gt;0,HLOOKUP(BH67,[1]Trav!$C$11:$O$31,$AU$105),0)</f>
        <v>0</v>
      </c>
      <c r="BI113" s="190">
        <f>IF(BI67&gt;0,HLOOKUP(BI67,[1]Trav!$C$11:$O$31,$AU$105),0)</f>
        <v>0</v>
      </c>
      <c r="BJ113" s="190">
        <f>IF(BJ67&gt;0,HLOOKUP(BJ67,[1]Trav!$C$11:$O$31,$AU$105),0)</f>
        <v>0</v>
      </c>
      <c r="BK113" s="190">
        <f>IF(BK67&gt;0,HLOOKUP(BK67,[1]Trav!$C$11:$O$31,$AU$105),0)</f>
        <v>0</v>
      </c>
      <c r="BL113" s="190">
        <f>IF(BL67&gt;0,HLOOKUP(BL67,[1]Trav!$C$11:$O$31,$AU$105),0)</f>
        <v>0</v>
      </c>
      <c r="BM113" s="190">
        <f>IF(BM67&gt;0,HLOOKUP(BM67,[1]Trav!$C$11:$O$31,$AU$105),0)</f>
        <v>0</v>
      </c>
      <c r="BN113" s="190">
        <f>IF(BN67&gt;0,HLOOKUP(BN67,[1]Trav!$C$11:$O$31,$AU$105),0)</f>
        <v>0</v>
      </c>
      <c r="BO113" s="190">
        <f>IF(BO67&gt;0,HLOOKUP(BO67,[1]Trav!$C$11:$O$31,$AU$105),0)</f>
        <v>0</v>
      </c>
      <c r="BP113" s="190">
        <f>IF(BP67&gt;0,HLOOKUP(BP67,[1]Trav!$C$11:$O$31,$AU$105),0)</f>
        <v>0</v>
      </c>
      <c r="BQ113" s="190">
        <f>IF(BQ67&gt;0,HLOOKUP(BQ67,[1]Trav!$C$11:$O$31,$AU$105),0)</f>
        <v>0</v>
      </c>
      <c r="BR113" s="190">
        <f>IF(BR67&gt;0,HLOOKUP(BR67,[1]Trav!$C$11:$O$31,$AU$105),0)</f>
        <v>0</v>
      </c>
      <c r="BS113" s="190">
        <f>IF(BS67&gt;0,HLOOKUP(BS67,[1]Trav!$C$11:$O$31,$AU$105),0)</f>
        <v>0</v>
      </c>
      <c r="BZ113" s="189" t="str">
        <f t="shared" si="81"/>
        <v>lot8</v>
      </c>
      <c r="CB113" s="190">
        <f>IF(CB67&gt;0,HLOOKUP(CB67,[1]Trav!$C$11:$O$31,$CA$105),0)</f>
        <v>0</v>
      </c>
      <c r="CC113" s="190">
        <f>IF(CC67&gt;0,HLOOKUP(CC67,[1]Trav!$C$11:$O$31,$CA$105),0)</f>
        <v>0</v>
      </c>
      <c r="CD113" s="190">
        <f>IF(CD67&gt;0,HLOOKUP(CD67,[1]Trav!$C$11:$O$31,$CA$105),0)</f>
        <v>0</v>
      </c>
      <c r="CE113" s="190">
        <f>IF(CE67&gt;0,HLOOKUP(CE67,[1]Trav!$C$11:$O$31,$CA$105),0)</f>
        <v>0</v>
      </c>
      <c r="CF113" s="190">
        <f>IF(CF67&gt;0,HLOOKUP(CF67,[1]Trav!$C$11:$O$31,$CA$105),0)</f>
        <v>0</v>
      </c>
      <c r="CG113" s="190">
        <f>IF(CG67&gt;0,HLOOKUP(CG67,[1]Trav!$C$11:$O$31,$CA$105),0)</f>
        <v>0</v>
      </c>
      <c r="CH113" s="190">
        <f>IF(CH67&gt;0,HLOOKUP(CH67,[1]Trav!$C$11:$O$31,$CA$105),0)</f>
        <v>0</v>
      </c>
      <c r="CI113" s="190">
        <f>IF(CI67&gt;0,HLOOKUP(CI67,[1]Trav!$C$11:$O$31,$CA$105),0)</f>
        <v>0</v>
      </c>
      <c r="CJ113" s="190">
        <f>IF(CJ67&gt;0,HLOOKUP(CJ67,[1]Trav!$C$11:$O$31,$CA$105),0)</f>
        <v>0</v>
      </c>
      <c r="CK113" s="190">
        <f>IF(CK67&gt;0,HLOOKUP(CK67,[1]Trav!$C$11:$O$31,$CA$105),0)</f>
        <v>0</v>
      </c>
      <c r="CL113" s="190">
        <f>IF(CL67&gt;0,HLOOKUP(CL67,[1]Trav!$C$11:$O$31,$CA$105),0)</f>
        <v>0</v>
      </c>
      <c r="CM113" s="190">
        <f>IF(CM67&gt;0,HLOOKUP(CM67,[1]Trav!$C$11:$O$31,$CA$105),0)</f>
        <v>0</v>
      </c>
      <c r="CN113" s="190">
        <f>IF(CN67&gt;0,HLOOKUP(CN67,[1]Trav!$C$11:$O$31,$CA$105),0)</f>
        <v>0</v>
      </c>
      <c r="CO113" s="190">
        <f>IF(CO67&gt;0,HLOOKUP(CO67,[1]Trav!$C$11:$O$31,$CA$105),0)</f>
        <v>0</v>
      </c>
      <c r="CP113" s="190">
        <f>IF(CP67&gt;0,HLOOKUP(CP67,[1]Trav!$C$11:$O$31,$CA$105),0)</f>
        <v>0</v>
      </c>
      <c r="CQ113" s="190">
        <f>IF(CQ67&gt;0,HLOOKUP(CQ67,[1]Trav!$C$11:$O$31,$CA$105),0)</f>
        <v>0</v>
      </c>
      <c r="CR113" s="190">
        <f>IF(CR67&gt;0,HLOOKUP(CR67,[1]Trav!$C$11:$O$31,$CA$105),0)</f>
        <v>0</v>
      </c>
      <c r="CS113" s="190">
        <f>IF(CS67&gt;0,HLOOKUP(CS67,[1]Trav!$C$11:$O$31,$CA$105),0)</f>
        <v>0</v>
      </c>
      <c r="CT113" s="190">
        <f>IF(CT67&gt;0,HLOOKUP(CT67,[1]Trav!$C$11:$O$31,$CA$105),0)</f>
        <v>0</v>
      </c>
      <c r="CU113" s="190">
        <f>IF(CU67&gt;0,HLOOKUP(CU67,[1]Trav!$C$11:$O$31,$CA$105),0)</f>
        <v>0</v>
      </c>
      <c r="CV113" s="190">
        <f>IF(CV67&gt;0,HLOOKUP(CV67,[1]Trav!$C$11:$O$31,$CA$105),0)</f>
        <v>0</v>
      </c>
      <c r="CW113" s="190">
        <f>IF(CW67&gt;0,HLOOKUP(CW67,[1]Trav!$C$11:$O$31,$CA$105),0)</f>
        <v>0</v>
      </c>
      <c r="CX113" s="190">
        <f>IF(CX67&gt;0,HLOOKUP(CX67,[1]Trav!$C$11:$O$31,$CA$105),0)</f>
        <v>0</v>
      </c>
      <c r="CY113" s="190">
        <f>IF(CY67&gt;0,HLOOKUP(CY67,[1]Trav!$C$11:$O$31,$CA$105),0)</f>
        <v>0</v>
      </c>
      <c r="DC113" s="189" t="str">
        <f t="shared" si="82"/>
        <v>lot8</v>
      </c>
      <c r="DE113" s="190">
        <f>IF(DE67&gt;0,HLOOKUP(DE67,[1]Trav!$C$11:$O$31,$DD$105),0)</f>
        <v>0</v>
      </c>
      <c r="DF113" s="190">
        <f>IF(DF67&gt;0,HLOOKUP(DF67,[1]Trav!$C$11:$O$31,$DD$105),0)</f>
        <v>0</v>
      </c>
      <c r="DG113" s="190">
        <f>IF(DG67&gt;0,HLOOKUP(DG67,[1]Trav!$C$11:$O$31,$DD$105),0)</f>
        <v>0</v>
      </c>
      <c r="DH113" s="190">
        <f>IF(DH67&gt;0,HLOOKUP(DH67,[1]Trav!$C$11:$O$31,$DD$105),0)</f>
        <v>0</v>
      </c>
      <c r="DI113" s="190">
        <f>IF(DI67&gt;0,HLOOKUP(DI67,[1]Trav!$C$11:$O$31,$DD$105),0)</f>
        <v>0</v>
      </c>
      <c r="DJ113" s="190">
        <f>IF(DJ67&gt;0,HLOOKUP(DJ67,[1]Trav!$C$11:$O$31,$DD$105),0)</f>
        <v>0</v>
      </c>
      <c r="DK113" s="190">
        <f>IF(DK67&gt;0,HLOOKUP(DK67,[1]Trav!$C$11:$O$31,$DD$105),0)</f>
        <v>0</v>
      </c>
      <c r="DL113" s="190">
        <f>IF(DL67&gt;0,HLOOKUP(DL67,[1]Trav!$C$11:$O$31,$DD$105),0)</f>
        <v>0</v>
      </c>
      <c r="DM113" s="190">
        <f>IF(DM67&gt;0,HLOOKUP(DM67,[1]Trav!$C$11:$O$31,$DD$105),0)</f>
        <v>0</v>
      </c>
      <c r="DN113" s="190">
        <f>IF(DN67&gt;0,HLOOKUP(DN67,[1]Trav!$C$11:$O$31,$DD$105),0)</f>
        <v>0</v>
      </c>
      <c r="DO113" s="190">
        <f>IF(DO67&gt;0,HLOOKUP(DO67,[1]Trav!$C$11:$O$31,$DD$105),0)</f>
        <v>0</v>
      </c>
      <c r="DP113" s="190">
        <f>IF(DP67&gt;0,HLOOKUP(DP67,[1]Trav!$C$11:$O$31,$DD$105),0)</f>
        <v>0</v>
      </c>
      <c r="DQ113" s="190">
        <f>IF(DQ67&gt;0,HLOOKUP(DQ67,[1]Trav!$C$11:$O$31,$DD$105),0)</f>
        <v>0</v>
      </c>
      <c r="DR113" s="190">
        <f>IF(DR67&gt;0,HLOOKUP(DR67,[1]Trav!$C$11:$O$31,$DD$105),0)</f>
        <v>0</v>
      </c>
      <c r="DS113" s="190">
        <f>IF(DS67&gt;0,HLOOKUP(DS67,[1]Trav!$C$11:$O$31,$DD$105),0)</f>
        <v>0</v>
      </c>
      <c r="DT113" s="190">
        <f>IF(DT67&gt;0,HLOOKUP(DT67,[1]Trav!$C$11:$O$31,$DD$105),0)</f>
        <v>0</v>
      </c>
      <c r="DU113" s="190">
        <f>IF(DU67&gt;0,HLOOKUP(DU67,[1]Trav!$C$11:$O$31,$DD$105),0)</f>
        <v>0</v>
      </c>
      <c r="DV113" s="190">
        <f>IF(DV67&gt;0,HLOOKUP(DV67,[1]Trav!$C$11:$O$31,$DD$105),0)</f>
        <v>0</v>
      </c>
      <c r="DW113" s="190">
        <f>IF(DW67&gt;0,HLOOKUP(DW67,[1]Trav!$C$11:$O$31,$DD$105),0)</f>
        <v>0</v>
      </c>
      <c r="DX113" s="190">
        <f>IF(DX67&gt;0,HLOOKUP(DX67,[1]Trav!$C$11:$O$31,$DD$105),0)</f>
        <v>0</v>
      </c>
      <c r="DY113" s="190">
        <f>IF(DY67&gt;0,HLOOKUP(DY67,[1]Trav!$C$11:$O$31,$DD$105),0)</f>
        <v>0</v>
      </c>
      <c r="DZ113" s="190">
        <f>IF(DZ67&gt;0,HLOOKUP(DZ67,[1]Trav!$C$11:$O$31,$DD$105),0)</f>
        <v>0</v>
      </c>
      <c r="EA113" s="190">
        <f>IF(EA67&gt;0,HLOOKUP(EA67,[1]Trav!$C$11:$O$31,$DD$105),0)</f>
        <v>0</v>
      </c>
      <c r="EB113" s="190">
        <f>IF(EB67&gt;0,HLOOKUP(EB67,[1]Trav!$C$11:$O$31,$DD$105),0)</f>
        <v>0</v>
      </c>
    </row>
    <row r="114" spans="1:132" x14ac:dyDescent="0.25">
      <c r="A114" s="2" t="s">
        <v>862</v>
      </c>
      <c r="B114" s="30">
        <f>F81</f>
        <v>46</v>
      </c>
      <c r="D114" s="197"/>
      <c r="AT114" s="189" t="str">
        <f t="shared" si="80"/>
        <v>lot9</v>
      </c>
      <c r="AV114" s="190">
        <f>IF(AV68&gt;0,HLOOKUP(AV68,[1]Trav!$C$11:$O$31,$AU$105),0)</f>
        <v>0</v>
      </c>
      <c r="AW114" s="190">
        <f>IF(AW68&gt;0,HLOOKUP(AW68,[1]Trav!$C$11:$O$31,$AU$105),0)</f>
        <v>0</v>
      </c>
      <c r="AX114" s="190">
        <f>IF(AX68&gt;0,HLOOKUP(AX68,[1]Trav!$C$11:$O$31,$AU$105),0)</f>
        <v>0</v>
      </c>
      <c r="AY114" s="190">
        <f>IF(AY68&gt;0,HLOOKUP(AY68,[1]Trav!$C$11:$O$31,$AU$105),0)</f>
        <v>0</v>
      </c>
      <c r="AZ114" s="190">
        <f>IF(AZ68&gt;0,HLOOKUP(AZ68,[1]Trav!$C$11:$O$31,$AU$105),0)</f>
        <v>0</v>
      </c>
      <c r="BA114" s="190">
        <f>IF(BA68&gt;0,HLOOKUP(BA68,[1]Trav!$C$11:$O$31,$AU$105),0)</f>
        <v>0</v>
      </c>
      <c r="BB114" s="190">
        <f>IF(BB68&gt;0,HLOOKUP(BB68,[1]Trav!$C$11:$O$31,$AU$105),0)</f>
        <v>0</v>
      </c>
      <c r="BC114" s="190">
        <f>IF(BC68&gt;0,HLOOKUP(BC68,[1]Trav!$C$11:$O$31,$AU$105),0)</f>
        <v>0</v>
      </c>
      <c r="BD114" s="190">
        <f>IF(BD68&gt;0,HLOOKUP(BD68,[1]Trav!$C$11:$O$31,$AU$105),0)</f>
        <v>0</v>
      </c>
      <c r="BE114" s="190">
        <f>IF(BE68&gt;0,HLOOKUP(BE68,[1]Trav!$C$11:$O$31,$AU$105),0)</f>
        <v>0</v>
      </c>
      <c r="BF114" s="190">
        <f>IF(BF68&gt;0,HLOOKUP(BF68,[1]Trav!$C$11:$O$31,$AU$105),0)</f>
        <v>0</v>
      </c>
      <c r="BG114" s="190">
        <f>IF(BG68&gt;0,HLOOKUP(BG68,[1]Trav!$C$11:$O$31,$AU$105),0)</f>
        <v>0</v>
      </c>
      <c r="BH114" s="190">
        <f>IF(BH68&gt;0,HLOOKUP(BH68,[1]Trav!$C$11:$O$31,$AU$105),0)</f>
        <v>0</v>
      </c>
      <c r="BI114" s="190">
        <f>IF(BI68&gt;0,HLOOKUP(BI68,[1]Trav!$C$11:$O$31,$AU$105),0)</f>
        <v>0</v>
      </c>
      <c r="BJ114" s="190">
        <f>IF(BJ68&gt;0,HLOOKUP(BJ68,[1]Trav!$C$11:$O$31,$AU$105),0)</f>
        <v>0</v>
      </c>
      <c r="BK114" s="190">
        <f>IF(BK68&gt;0,HLOOKUP(BK68,[1]Trav!$C$11:$O$31,$AU$105),0)</f>
        <v>0</v>
      </c>
      <c r="BL114" s="190">
        <f>IF(BL68&gt;0,HLOOKUP(BL68,[1]Trav!$C$11:$O$31,$AU$105),0)</f>
        <v>0</v>
      </c>
      <c r="BM114" s="190">
        <f>IF(BM68&gt;0,HLOOKUP(BM68,[1]Trav!$C$11:$O$31,$AU$105),0)</f>
        <v>0</v>
      </c>
      <c r="BN114" s="190">
        <f>IF(BN68&gt;0,HLOOKUP(BN68,[1]Trav!$C$11:$O$31,$AU$105),0)</f>
        <v>0</v>
      </c>
      <c r="BO114" s="190">
        <f>IF(BO68&gt;0,HLOOKUP(BO68,[1]Trav!$C$11:$O$31,$AU$105),0)</f>
        <v>0</v>
      </c>
      <c r="BP114" s="190">
        <f>IF(BP68&gt;0,HLOOKUP(BP68,[1]Trav!$C$11:$O$31,$AU$105),0)</f>
        <v>0</v>
      </c>
      <c r="BQ114" s="190">
        <f>IF(BQ68&gt;0,HLOOKUP(BQ68,[1]Trav!$C$11:$O$31,$AU$105),0)</f>
        <v>0</v>
      </c>
      <c r="BR114" s="190">
        <f>IF(BR68&gt;0,HLOOKUP(BR68,[1]Trav!$C$11:$O$31,$AU$105),0)</f>
        <v>0</v>
      </c>
      <c r="BS114" s="190">
        <f>IF(BS68&gt;0,HLOOKUP(BS68,[1]Trav!$C$11:$O$31,$AU$105),0)</f>
        <v>0</v>
      </c>
      <c r="BZ114" s="189" t="str">
        <f t="shared" si="81"/>
        <v>lot9</v>
      </c>
      <c r="CB114" s="190">
        <f>IF(CB68&gt;0,HLOOKUP(CB68,[1]Trav!$C$11:$O$31,$CA$105),0)</f>
        <v>0</v>
      </c>
      <c r="CC114" s="190">
        <f>IF(CC68&gt;0,HLOOKUP(CC68,[1]Trav!$C$11:$O$31,$CA$105),0)</f>
        <v>0</v>
      </c>
      <c r="CD114" s="190">
        <f>IF(CD68&gt;0,HLOOKUP(CD68,[1]Trav!$C$11:$O$31,$CA$105),0)</f>
        <v>0</v>
      </c>
      <c r="CE114" s="190">
        <f>IF(CE68&gt;0,HLOOKUP(CE68,[1]Trav!$C$11:$O$31,$CA$105),0)</f>
        <v>0</v>
      </c>
      <c r="CF114" s="190">
        <f>IF(CF68&gt;0,HLOOKUP(CF68,[1]Trav!$C$11:$O$31,$CA$105),0)</f>
        <v>0</v>
      </c>
      <c r="CG114" s="190">
        <f>IF(CG68&gt;0,HLOOKUP(CG68,[1]Trav!$C$11:$O$31,$CA$105),0)</f>
        <v>0</v>
      </c>
      <c r="CH114" s="190">
        <f>IF(CH68&gt;0,HLOOKUP(CH68,[1]Trav!$C$11:$O$31,$CA$105),0)</f>
        <v>0</v>
      </c>
      <c r="CI114" s="190">
        <f>IF(CI68&gt;0,HLOOKUP(CI68,[1]Trav!$C$11:$O$31,$CA$105),0)</f>
        <v>0</v>
      </c>
      <c r="CJ114" s="190">
        <f>IF(CJ68&gt;0,HLOOKUP(CJ68,[1]Trav!$C$11:$O$31,$CA$105),0)</f>
        <v>0</v>
      </c>
      <c r="CK114" s="190">
        <f>IF(CK68&gt;0,HLOOKUP(CK68,[1]Trav!$C$11:$O$31,$CA$105),0)</f>
        <v>0</v>
      </c>
      <c r="CL114" s="190">
        <f>IF(CL68&gt;0,HLOOKUP(CL68,[1]Trav!$C$11:$O$31,$CA$105),0)</f>
        <v>0</v>
      </c>
      <c r="CM114" s="190">
        <f>IF(CM68&gt;0,HLOOKUP(CM68,[1]Trav!$C$11:$O$31,$CA$105),0)</f>
        <v>0</v>
      </c>
      <c r="CN114" s="190">
        <f>IF(CN68&gt;0,HLOOKUP(CN68,[1]Trav!$C$11:$O$31,$CA$105),0)</f>
        <v>0</v>
      </c>
      <c r="CO114" s="190">
        <f>IF(CO68&gt;0,HLOOKUP(CO68,[1]Trav!$C$11:$O$31,$CA$105),0)</f>
        <v>0</v>
      </c>
      <c r="CP114" s="190">
        <f>IF(CP68&gt;0,HLOOKUP(CP68,[1]Trav!$C$11:$O$31,$CA$105),0)</f>
        <v>0</v>
      </c>
      <c r="CQ114" s="190">
        <f>IF(CQ68&gt;0,HLOOKUP(CQ68,[1]Trav!$C$11:$O$31,$CA$105),0)</f>
        <v>0</v>
      </c>
      <c r="CR114" s="190">
        <f>IF(CR68&gt;0,HLOOKUP(CR68,[1]Trav!$C$11:$O$31,$CA$105),0)</f>
        <v>0</v>
      </c>
      <c r="CS114" s="190">
        <f>IF(CS68&gt;0,HLOOKUP(CS68,[1]Trav!$C$11:$O$31,$CA$105),0)</f>
        <v>0</v>
      </c>
      <c r="CT114" s="190">
        <f>IF(CT68&gt;0,HLOOKUP(CT68,[1]Trav!$C$11:$O$31,$CA$105),0)</f>
        <v>0</v>
      </c>
      <c r="CU114" s="190">
        <f>IF(CU68&gt;0,HLOOKUP(CU68,[1]Trav!$C$11:$O$31,$CA$105),0)</f>
        <v>0</v>
      </c>
      <c r="CV114" s="190">
        <f>IF(CV68&gt;0,HLOOKUP(CV68,[1]Trav!$C$11:$O$31,$CA$105),0)</f>
        <v>0</v>
      </c>
      <c r="CW114" s="190">
        <f>IF(CW68&gt;0,HLOOKUP(CW68,[1]Trav!$C$11:$O$31,$CA$105),0)</f>
        <v>0</v>
      </c>
      <c r="CX114" s="190">
        <f>IF(CX68&gt;0,HLOOKUP(CX68,[1]Trav!$C$11:$O$31,$CA$105),0)</f>
        <v>0</v>
      </c>
      <c r="CY114" s="190">
        <f>IF(CY68&gt;0,HLOOKUP(CY68,[1]Trav!$C$11:$O$31,$CA$105),0)</f>
        <v>0</v>
      </c>
      <c r="DC114" s="189" t="str">
        <f t="shared" si="82"/>
        <v>lot9</v>
      </c>
      <c r="DE114" s="190">
        <f>IF(DE68&gt;0,HLOOKUP(DE68,[1]Trav!$C$11:$O$31,$DD$105),0)</f>
        <v>0</v>
      </c>
      <c r="DF114" s="190">
        <f>IF(DF68&gt;0,HLOOKUP(DF68,[1]Trav!$C$11:$O$31,$DD$105),0)</f>
        <v>0</v>
      </c>
      <c r="DG114" s="190">
        <f>IF(DG68&gt;0,HLOOKUP(DG68,[1]Trav!$C$11:$O$31,$DD$105),0)</f>
        <v>0</v>
      </c>
      <c r="DH114" s="190">
        <f>IF(DH68&gt;0,HLOOKUP(DH68,[1]Trav!$C$11:$O$31,$DD$105),0)</f>
        <v>0</v>
      </c>
      <c r="DI114" s="190">
        <f>IF(DI68&gt;0,HLOOKUP(DI68,[1]Trav!$C$11:$O$31,$DD$105),0)</f>
        <v>0</v>
      </c>
      <c r="DJ114" s="190">
        <f>IF(DJ68&gt;0,HLOOKUP(DJ68,[1]Trav!$C$11:$O$31,$DD$105),0)</f>
        <v>0</v>
      </c>
      <c r="DK114" s="190">
        <f>IF(DK68&gt;0,HLOOKUP(DK68,[1]Trav!$C$11:$O$31,$DD$105),0)</f>
        <v>0</v>
      </c>
      <c r="DL114" s="190">
        <f>IF(DL68&gt;0,HLOOKUP(DL68,[1]Trav!$C$11:$O$31,$DD$105),0)</f>
        <v>0</v>
      </c>
      <c r="DM114" s="190">
        <f>IF(DM68&gt;0,HLOOKUP(DM68,[1]Trav!$C$11:$O$31,$DD$105),0)</f>
        <v>0</v>
      </c>
      <c r="DN114" s="190">
        <f>IF(DN68&gt;0,HLOOKUP(DN68,[1]Trav!$C$11:$O$31,$DD$105),0)</f>
        <v>0</v>
      </c>
      <c r="DO114" s="190">
        <f>IF(DO68&gt;0,HLOOKUP(DO68,[1]Trav!$C$11:$O$31,$DD$105),0)</f>
        <v>0</v>
      </c>
      <c r="DP114" s="190">
        <f>IF(DP68&gt;0,HLOOKUP(DP68,[1]Trav!$C$11:$O$31,$DD$105),0)</f>
        <v>0</v>
      </c>
      <c r="DQ114" s="190">
        <f>IF(DQ68&gt;0,HLOOKUP(DQ68,[1]Trav!$C$11:$O$31,$DD$105),0)</f>
        <v>0</v>
      </c>
      <c r="DR114" s="190">
        <f>IF(DR68&gt;0,HLOOKUP(DR68,[1]Trav!$C$11:$O$31,$DD$105),0)</f>
        <v>0</v>
      </c>
      <c r="DS114" s="190">
        <f>IF(DS68&gt;0,HLOOKUP(DS68,[1]Trav!$C$11:$O$31,$DD$105),0)</f>
        <v>0</v>
      </c>
      <c r="DT114" s="190">
        <f>IF(DT68&gt;0,HLOOKUP(DT68,[1]Trav!$C$11:$O$31,$DD$105),0)</f>
        <v>0</v>
      </c>
      <c r="DU114" s="190">
        <f>IF(DU68&gt;0,HLOOKUP(DU68,[1]Trav!$C$11:$O$31,$DD$105),0)</f>
        <v>0</v>
      </c>
      <c r="DV114" s="190">
        <f>IF(DV68&gt;0,HLOOKUP(DV68,[1]Trav!$C$11:$O$31,$DD$105),0)</f>
        <v>0</v>
      </c>
      <c r="DW114" s="190">
        <f>IF(DW68&gt;0,HLOOKUP(DW68,[1]Trav!$C$11:$O$31,$DD$105),0)</f>
        <v>0</v>
      </c>
      <c r="DX114" s="190">
        <f>IF(DX68&gt;0,HLOOKUP(DX68,[1]Trav!$C$11:$O$31,$DD$105),0)</f>
        <v>0</v>
      </c>
      <c r="DY114" s="190">
        <f>IF(DY68&gt;0,HLOOKUP(DY68,[1]Trav!$C$11:$O$31,$DD$105),0)</f>
        <v>0</v>
      </c>
      <c r="DZ114" s="190">
        <f>IF(DZ68&gt;0,HLOOKUP(DZ68,[1]Trav!$C$11:$O$31,$DD$105),0)</f>
        <v>0</v>
      </c>
      <c r="EA114" s="190">
        <f>IF(EA68&gt;0,HLOOKUP(EA68,[1]Trav!$C$11:$O$31,$DD$105),0)</f>
        <v>0</v>
      </c>
      <c r="EB114" s="190">
        <f>IF(EB68&gt;0,HLOOKUP(EB68,[1]Trav!$C$11:$O$31,$DD$105),0)</f>
        <v>0</v>
      </c>
    </row>
    <row r="115" spans="1:132" x14ac:dyDescent="0.25">
      <c r="A115" s="2" t="s">
        <v>863</v>
      </c>
      <c r="B115" s="30">
        <f>F83+F84</f>
        <v>10.6</v>
      </c>
      <c r="D115" s="197"/>
      <c r="AT115" s="189" t="str">
        <f t="shared" si="80"/>
        <v>lot10</v>
      </c>
      <c r="AV115" s="190">
        <f>IF(AV69&gt;0,HLOOKUP(AV69,[1]Trav!$C$11:$O$31,$AU$105),0)</f>
        <v>0</v>
      </c>
      <c r="AW115" s="190">
        <f>IF(AW69&gt;0,HLOOKUP(AW69,[1]Trav!$C$11:$O$31,$AU$105),0)</f>
        <v>0</v>
      </c>
      <c r="AX115" s="190">
        <f>IF(AX69&gt;0,HLOOKUP(AX69,[1]Trav!$C$11:$O$31,$AU$105),0)</f>
        <v>0</v>
      </c>
      <c r="AY115" s="190">
        <f>IF(AY69&gt;0,HLOOKUP(AY69,[1]Trav!$C$11:$O$31,$AU$105),0)</f>
        <v>0</v>
      </c>
      <c r="AZ115" s="190">
        <f>IF(AZ69&gt;0,HLOOKUP(AZ69,[1]Trav!$C$11:$O$31,$AU$105),0)</f>
        <v>0</v>
      </c>
      <c r="BA115" s="190">
        <f>IF(BA69&gt;0,HLOOKUP(BA69,[1]Trav!$C$11:$O$31,$AU$105),0)</f>
        <v>0</v>
      </c>
      <c r="BB115" s="190">
        <f>IF(BB69&gt;0,HLOOKUP(BB69,[1]Trav!$C$11:$O$31,$AU$105),0)</f>
        <v>0</v>
      </c>
      <c r="BC115" s="190">
        <f>IF(BC69&gt;0,HLOOKUP(BC69,[1]Trav!$C$11:$O$31,$AU$105),0)</f>
        <v>0</v>
      </c>
      <c r="BD115" s="190">
        <f>IF(BD69&gt;0,HLOOKUP(BD69,[1]Trav!$C$11:$O$31,$AU$105),0)</f>
        <v>0</v>
      </c>
      <c r="BE115" s="190">
        <f>IF(BE69&gt;0,HLOOKUP(BE69,[1]Trav!$C$11:$O$31,$AU$105),0)</f>
        <v>0</v>
      </c>
      <c r="BF115" s="190">
        <f>IF(BF69&gt;0,HLOOKUP(BF69,[1]Trav!$C$11:$O$31,$AU$105),0)</f>
        <v>0</v>
      </c>
      <c r="BG115" s="190">
        <f>IF(BG69&gt;0,HLOOKUP(BG69,[1]Trav!$C$11:$O$31,$AU$105),0)</f>
        <v>0</v>
      </c>
      <c r="BH115" s="190">
        <f>IF(BH69&gt;0,HLOOKUP(BH69,[1]Trav!$C$11:$O$31,$AU$105),0)</f>
        <v>0</v>
      </c>
      <c r="BI115" s="190">
        <f>IF(BI69&gt;0,HLOOKUP(BI69,[1]Trav!$C$11:$O$31,$AU$105),0)</f>
        <v>0</v>
      </c>
      <c r="BJ115" s="190">
        <f>IF(BJ69&gt;0,HLOOKUP(BJ69,[1]Trav!$C$11:$O$31,$AU$105),0)</f>
        <v>0</v>
      </c>
      <c r="BK115" s="190">
        <f>IF(BK69&gt;0,HLOOKUP(BK69,[1]Trav!$C$11:$O$31,$AU$105),0)</f>
        <v>0</v>
      </c>
      <c r="BL115" s="190">
        <f>IF(BL69&gt;0,HLOOKUP(BL69,[1]Trav!$C$11:$O$31,$AU$105),0)</f>
        <v>0</v>
      </c>
      <c r="BM115" s="190">
        <f>IF(BM69&gt;0,HLOOKUP(BM69,[1]Trav!$C$11:$O$31,$AU$105),0)</f>
        <v>0</v>
      </c>
      <c r="BN115" s="190">
        <f>IF(BN69&gt;0,HLOOKUP(BN69,[1]Trav!$C$11:$O$31,$AU$105),0)</f>
        <v>0</v>
      </c>
      <c r="BO115" s="190">
        <f>IF(BO69&gt;0,HLOOKUP(BO69,[1]Trav!$C$11:$O$31,$AU$105),0)</f>
        <v>0</v>
      </c>
      <c r="BP115" s="190">
        <f>IF(BP69&gt;0,HLOOKUP(BP69,[1]Trav!$C$11:$O$31,$AU$105),0)</f>
        <v>0</v>
      </c>
      <c r="BQ115" s="190">
        <f>IF(BQ69&gt;0,HLOOKUP(BQ69,[1]Trav!$C$11:$O$31,$AU$105),0)</f>
        <v>0</v>
      </c>
      <c r="BR115" s="190">
        <f>IF(BR69&gt;0,HLOOKUP(BR69,[1]Trav!$C$11:$O$31,$AU$105),0)</f>
        <v>0</v>
      </c>
      <c r="BS115" s="190">
        <f>IF(BS69&gt;0,HLOOKUP(BS69,[1]Trav!$C$11:$O$31,$AU$105),0)</f>
        <v>0</v>
      </c>
      <c r="BZ115" s="189" t="str">
        <f t="shared" si="81"/>
        <v>lot10</v>
      </c>
      <c r="CB115" s="190">
        <f>IF(CB69&gt;0,HLOOKUP(CB69,[1]Trav!$C$11:$O$31,$CA$105),0)</f>
        <v>0</v>
      </c>
      <c r="CC115" s="190">
        <f>IF(CC69&gt;0,HLOOKUP(CC69,[1]Trav!$C$11:$O$31,$CA$105),0)</f>
        <v>0</v>
      </c>
      <c r="CD115" s="190">
        <f>IF(CD69&gt;0,HLOOKUP(CD69,[1]Trav!$C$11:$O$31,$CA$105),0)</f>
        <v>0</v>
      </c>
      <c r="CE115" s="190">
        <f>IF(CE69&gt;0,HLOOKUP(CE69,[1]Trav!$C$11:$O$31,$CA$105),0)</f>
        <v>0</v>
      </c>
      <c r="CF115" s="190">
        <f>IF(CF69&gt;0,HLOOKUP(CF69,[1]Trav!$C$11:$O$31,$CA$105),0)</f>
        <v>0</v>
      </c>
      <c r="CG115" s="190">
        <f>IF(CG69&gt;0,HLOOKUP(CG69,[1]Trav!$C$11:$O$31,$CA$105),0)</f>
        <v>0</v>
      </c>
      <c r="CH115" s="190">
        <f>IF(CH69&gt;0,HLOOKUP(CH69,[1]Trav!$C$11:$O$31,$CA$105),0)</f>
        <v>0</v>
      </c>
      <c r="CI115" s="190">
        <f>IF(CI69&gt;0,HLOOKUP(CI69,[1]Trav!$C$11:$O$31,$CA$105),0)</f>
        <v>0</v>
      </c>
      <c r="CJ115" s="190">
        <f>IF(CJ69&gt;0,HLOOKUP(CJ69,[1]Trav!$C$11:$O$31,$CA$105),0)</f>
        <v>0</v>
      </c>
      <c r="CK115" s="190">
        <f>IF(CK69&gt;0,HLOOKUP(CK69,[1]Trav!$C$11:$O$31,$CA$105),0)</f>
        <v>0</v>
      </c>
      <c r="CL115" s="190">
        <f>IF(CL69&gt;0,HLOOKUP(CL69,[1]Trav!$C$11:$O$31,$CA$105),0)</f>
        <v>0</v>
      </c>
      <c r="CM115" s="190">
        <f>IF(CM69&gt;0,HLOOKUP(CM69,[1]Trav!$C$11:$O$31,$CA$105),0)</f>
        <v>0</v>
      </c>
      <c r="CN115" s="190">
        <f>IF(CN69&gt;0,HLOOKUP(CN69,[1]Trav!$C$11:$O$31,$CA$105),0)</f>
        <v>0</v>
      </c>
      <c r="CO115" s="190">
        <f>IF(CO69&gt;0,HLOOKUP(CO69,[1]Trav!$C$11:$O$31,$CA$105),0)</f>
        <v>0</v>
      </c>
      <c r="CP115" s="190">
        <f>IF(CP69&gt;0,HLOOKUP(CP69,[1]Trav!$C$11:$O$31,$CA$105),0)</f>
        <v>0</v>
      </c>
      <c r="CQ115" s="190">
        <f>IF(CQ69&gt;0,HLOOKUP(CQ69,[1]Trav!$C$11:$O$31,$CA$105),0)</f>
        <v>0</v>
      </c>
      <c r="CR115" s="190">
        <f>IF(CR69&gt;0,HLOOKUP(CR69,[1]Trav!$C$11:$O$31,$CA$105),0)</f>
        <v>0</v>
      </c>
      <c r="CS115" s="190">
        <f>IF(CS69&gt;0,HLOOKUP(CS69,[1]Trav!$C$11:$O$31,$CA$105),0)</f>
        <v>0</v>
      </c>
      <c r="CT115" s="190">
        <f>IF(CT69&gt;0,HLOOKUP(CT69,[1]Trav!$C$11:$O$31,$CA$105),0)</f>
        <v>0</v>
      </c>
      <c r="CU115" s="190">
        <f>IF(CU69&gt;0,HLOOKUP(CU69,[1]Trav!$C$11:$O$31,$CA$105),0)</f>
        <v>0</v>
      </c>
      <c r="CV115" s="190">
        <f>IF(CV69&gt;0,HLOOKUP(CV69,[1]Trav!$C$11:$O$31,$CA$105),0)</f>
        <v>0</v>
      </c>
      <c r="CW115" s="190">
        <f>IF(CW69&gt;0,HLOOKUP(CW69,[1]Trav!$C$11:$O$31,$CA$105),0)</f>
        <v>0</v>
      </c>
      <c r="CX115" s="190">
        <f>IF(CX69&gt;0,HLOOKUP(CX69,[1]Trav!$C$11:$O$31,$CA$105),0)</f>
        <v>0</v>
      </c>
      <c r="CY115" s="190">
        <f>IF(CY69&gt;0,HLOOKUP(CY69,[1]Trav!$C$11:$O$31,$CA$105),0)</f>
        <v>0</v>
      </c>
      <c r="DC115" s="189" t="str">
        <f t="shared" si="82"/>
        <v>lot10</v>
      </c>
      <c r="DE115" s="190">
        <f>IF(DE69&gt;0,HLOOKUP(DE69,[1]Trav!$C$11:$O$31,$DD$105),0)</f>
        <v>0</v>
      </c>
      <c r="DF115" s="190">
        <f>IF(DF69&gt;0,HLOOKUP(DF69,[1]Trav!$C$11:$O$31,$DD$105),0)</f>
        <v>0</v>
      </c>
      <c r="DG115" s="190">
        <f>IF(DG69&gt;0,HLOOKUP(DG69,[1]Trav!$C$11:$O$31,$DD$105),0)</f>
        <v>0</v>
      </c>
      <c r="DH115" s="190">
        <f>IF(DH69&gt;0,HLOOKUP(DH69,[1]Trav!$C$11:$O$31,$DD$105),0)</f>
        <v>0</v>
      </c>
      <c r="DI115" s="190">
        <f>IF(DI69&gt;0,HLOOKUP(DI69,[1]Trav!$C$11:$O$31,$DD$105),0)</f>
        <v>0</v>
      </c>
      <c r="DJ115" s="190">
        <f>IF(DJ69&gt;0,HLOOKUP(DJ69,[1]Trav!$C$11:$O$31,$DD$105),0)</f>
        <v>0</v>
      </c>
      <c r="DK115" s="190">
        <f>IF(DK69&gt;0,HLOOKUP(DK69,[1]Trav!$C$11:$O$31,$DD$105),0)</f>
        <v>0</v>
      </c>
      <c r="DL115" s="190">
        <f>IF(DL69&gt;0,HLOOKUP(DL69,[1]Trav!$C$11:$O$31,$DD$105),0)</f>
        <v>0</v>
      </c>
      <c r="DM115" s="190">
        <f>IF(DM69&gt;0,HLOOKUP(DM69,[1]Trav!$C$11:$O$31,$DD$105),0)</f>
        <v>0</v>
      </c>
      <c r="DN115" s="190">
        <f>IF(DN69&gt;0,HLOOKUP(DN69,[1]Trav!$C$11:$O$31,$DD$105),0)</f>
        <v>0</v>
      </c>
      <c r="DO115" s="190">
        <f>IF(DO69&gt;0,HLOOKUP(DO69,[1]Trav!$C$11:$O$31,$DD$105),0)</f>
        <v>0</v>
      </c>
      <c r="DP115" s="190">
        <f>IF(DP69&gt;0,HLOOKUP(DP69,[1]Trav!$C$11:$O$31,$DD$105),0)</f>
        <v>0</v>
      </c>
      <c r="DQ115" s="190">
        <f>IF(DQ69&gt;0,HLOOKUP(DQ69,[1]Trav!$C$11:$O$31,$DD$105),0)</f>
        <v>0</v>
      </c>
      <c r="DR115" s="190">
        <f>IF(DR69&gt;0,HLOOKUP(DR69,[1]Trav!$C$11:$O$31,$DD$105),0)</f>
        <v>0</v>
      </c>
      <c r="DS115" s="190">
        <f>IF(DS69&gt;0,HLOOKUP(DS69,[1]Trav!$C$11:$O$31,$DD$105),0)</f>
        <v>0</v>
      </c>
      <c r="DT115" s="190">
        <f>IF(DT69&gt;0,HLOOKUP(DT69,[1]Trav!$C$11:$O$31,$DD$105),0)</f>
        <v>0</v>
      </c>
      <c r="DU115" s="190">
        <f>IF(DU69&gt;0,HLOOKUP(DU69,[1]Trav!$C$11:$O$31,$DD$105),0)</f>
        <v>0</v>
      </c>
      <c r="DV115" s="190">
        <f>IF(DV69&gt;0,HLOOKUP(DV69,[1]Trav!$C$11:$O$31,$DD$105),0)</f>
        <v>0</v>
      </c>
      <c r="DW115" s="190">
        <f>IF(DW69&gt;0,HLOOKUP(DW69,[1]Trav!$C$11:$O$31,$DD$105),0)</f>
        <v>0</v>
      </c>
      <c r="DX115" s="190">
        <f>IF(DX69&gt;0,HLOOKUP(DX69,[1]Trav!$C$11:$O$31,$DD$105),0)</f>
        <v>0</v>
      </c>
      <c r="DY115" s="190">
        <f>IF(DY69&gt;0,HLOOKUP(DY69,[1]Trav!$C$11:$O$31,$DD$105),0)</f>
        <v>0</v>
      </c>
      <c r="DZ115" s="190">
        <f>IF(DZ69&gt;0,HLOOKUP(DZ69,[1]Trav!$C$11:$O$31,$DD$105),0)</f>
        <v>0</v>
      </c>
      <c r="EA115" s="190">
        <f>IF(EA69&gt;0,HLOOKUP(EA69,[1]Trav!$C$11:$O$31,$DD$105),0)</f>
        <v>0</v>
      </c>
      <c r="EB115" s="190">
        <f>IF(EB69&gt;0,HLOOKUP(EB69,[1]Trav!$C$11:$O$31,$DD$105),0)</f>
        <v>0</v>
      </c>
    </row>
    <row r="116" spans="1:132" x14ac:dyDescent="0.25">
      <c r="A116" s="2" t="s">
        <v>864</v>
      </c>
      <c r="B116" s="30">
        <f>F86</f>
        <v>336.00000000000006</v>
      </c>
      <c r="D116" s="197"/>
      <c r="CB116" s="171"/>
      <c r="CC116" s="171"/>
      <c r="CD116" s="171"/>
      <c r="CE116" s="171"/>
      <c r="CF116" s="171"/>
      <c r="CG116" s="171"/>
      <c r="CH116" s="171"/>
      <c r="CI116" s="171"/>
      <c r="CJ116" s="171"/>
      <c r="CK116" s="171"/>
      <c r="CL116" s="171"/>
      <c r="CM116" s="171"/>
      <c r="CN116" s="171"/>
      <c r="CO116" s="171"/>
      <c r="CP116" s="171"/>
      <c r="CQ116" s="171"/>
      <c r="CR116" s="171"/>
      <c r="CS116" s="171"/>
      <c r="CT116" s="171"/>
      <c r="CU116" s="171"/>
      <c r="CV116" s="171"/>
      <c r="CW116" s="171"/>
      <c r="CX116" s="171"/>
      <c r="CY116" s="171"/>
      <c r="DE116" s="171"/>
      <c r="DF116" s="171"/>
      <c r="DG116" s="171"/>
      <c r="DH116" s="171"/>
      <c r="DI116" s="171"/>
      <c r="DJ116" s="171"/>
      <c r="DK116" s="171"/>
      <c r="DL116" s="171"/>
      <c r="DM116" s="171"/>
      <c r="DN116" s="171"/>
      <c r="DO116" s="171"/>
      <c r="DP116" s="171"/>
      <c r="DQ116" s="171"/>
      <c r="DR116" s="171"/>
      <c r="DS116" s="171"/>
      <c r="DT116" s="171"/>
      <c r="DU116" s="171"/>
      <c r="DV116" s="171"/>
      <c r="DW116" s="171"/>
      <c r="DX116" s="171"/>
      <c r="DY116" s="171"/>
      <c r="DZ116" s="171"/>
      <c r="EA116" s="171"/>
      <c r="EB116" s="171"/>
    </row>
    <row r="117" spans="1:132" x14ac:dyDescent="0.25">
      <c r="D117" s="197"/>
      <c r="AT117" s="40" t="s">
        <v>865</v>
      </c>
      <c r="AV117" s="173">
        <f>SUM(AV106:AV115)</f>
        <v>42</v>
      </c>
      <c r="AW117" s="173">
        <f t="shared" ref="AW117:BS117" si="83">SUM(AW106:AW115)</f>
        <v>42</v>
      </c>
      <c r="AX117" s="173">
        <f t="shared" si="83"/>
        <v>42</v>
      </c>
      <c r="AY117" s="173">
        <f t="shared" si="83"/>
        <v>56</v>
      </c>
      <c r="AZ117" s="173">
        <f t="shared" si="83"/>
        <v>56</v>
      </c>
      <c r="BA117" s="173">
        <f t="shared" si="83"/>
        <v>70</v>
      </c>
      <c r="BB117" s="173">
        <f t="shared" si="83"/>
        <v>70</v>
      </c>
      <c r="BC117" s="173">
        <f t="shared" si="83"/>
        <v>70</v>
      </c>
      <c r="BD117" s="173">
        <f t="shared" si="83"/>
        <v>63</v>
      </c>
      <c r="BE117" s="173">
        <f t="shared" si="83"/>
        <v>28</v>
      </c>
      <c r="BF117" s="173">
        <f t="shared" si="83"/>
        <v>28</v>
      </c>
      <c r="BG117" s="173">
        <f t="shared" si="83"/>
        <v>14</v>
      </c>
      <c r="BH117" s="173">
        <f t="shared" si="83"/>
        <v>14</v>
      </c>
      <c r="BI117" s="173">
        <f t="shared" si="83"/>
        <v>14</v>
      </c>
      <c r="BJ117" s="173">
        <f t="shared" si="83"/>
        <v>14</v>
      </c>
      <c r="BK117" s="173">
        <f t="shared" si="83"/>
        <v>14</v>
      </c>
      <c r="BL117" s="173">
        <f t="shared" si="83"/>
        <v>14</v>
      </c>
      <c r="BM117" s="173">
        <f t="shared" si="83"/>
        <v>14</v>
      </c>
      <c r="BN117" s="173">
        <f t="shared" si="83"/>
        <v>28</v>
      </c>
      <c r="BO117" s="173">
        <f t="shared" si="83"/>
        <v>56</v>
      </c>
      <c r="BP117" s="173">
        <f t="shared" si="83"/>
        <v>42</v>
      </c>
      <c r="BQ117" s="173">
        <f t="shared" si="83"/>
        <v>42</v>
      </c>
      <c r="BR117" s="173">
        <f t="shared" si="83"/>
        <v>42</v>
      </c>
      <c r="BS117" s="173">
        <f t="shared" si="83"/>
        <v>42</v>
      </c>
      <c r="CA117" s="40" t="s">
        <v>865</v>
      </c>
      <c r="CB117" s="173">
        <f>SUM(CB106:CB115)</f>
        <v>0</v>
      </c>
      <c r="CC117" s="173">
        <f t="shared" ref="CC117:CY117" si="84">SUM(CC106:CC115)</f>
        <v>0</v>
      </c>
      <c r="CD117" s="173">
        <f t="shared" si="84"/>
        <v>5.25</v>
      </c>
      <c r="CE117" s="173">
        <f t="shared" si="84"/>
        <v>5.25</v>
      </c>
      <c r="CF117" s="173">
        <f t="shared" si="84"/>
        <v>5.25</v>
      </c>
      <c r="CG117" s="173">
        <f t="shared" si="84"/>
        <v>8.75</v>
      </c>
      <c r="CH117" s="173">
        <f t="shared" si="84"/>
        <v>19.25</v>
      </c>
      <c r="CI117" s="173">
        <f t="shared" si="84"/>
        <v>19.25</v>
      </c>
      <c r="CJ117" s="173">
        <f t="shared" si="84"/>
        <v>22.75</v>
      </c>
      <c r="CK117" s="173">
        <f t="shared" si="84"/>
        <v>22.75</v>
      </c>
      <c r="CL117" s="173">
        <f t="shared" si="84"/>
        <v>14</v>
      </c>
      <c r="CM117" s="173">
        <f t="shared" si="84"/>
        <v>14</v>
      </c>
      <c r="CN117" s="173">
        <f t="shared" si="84"/>
        <v>14</v>
      </c>
      <c r="CO117" s="173">
        <f t="shared" si="84"/>
        <v>12.25</v>
      </c>
      <c r="CP117" s="173">
        <f t="shared" si="84"/>
        <v>12.25</v>
      </c>
      <c r="CQ117" s="173">
        <f t="shared" si="84"/>
        <v>12.25</v>
      </c>
      <c r="CR117" s="173">
        <f t="shared" si="84"/>
        <v>14</v>
      </c>
      <c r="CS117" s="173">
        <f t="shared" si="84"/>
        <v>14</v>
      </c>
      <c r="CT117" s="173">
        <f t="shared" si="84"/>
        <v>22.75</v>
      </c>
      <c r="CU117" s="173">
        <f t="shared" si="84"/>
        <v>21</v>
      </c>
      <c r="CV117" s="173">
        <f t="shared" si="84"/>
        <v>28</v>
      </c>
      <c r="CW117" s="173">
        <f t="shared" si="84"/>
        <v>28</v>
      </c>
      <c r="CX117" s="173">
        <f t="shared" si="84"/>
        <v>0</v>
      </c>
      <c r="CY117" s="173">
        <f t="shared" si="84"/>
        <v>0</v>
      </c>
      <c r="DD117" s="40" t="s">
        <v>865</v>
      </c>
      <c r="DE117" s="173">
        <f>SUM(DE106:DE115)</f>
        <v>0</v>
      </c>
      <c r="DF117" s="173">
        <f t="shared" ref="DF117:EB117" si="85">SUM(DF106:DF115)</f>
        <v>0</v>
      </c>
      <c r="DG117" s="173">
        <f t="shared" si="85"/>
        <v>0</v>
      </c>
      <c r="DH117" s="173">
        <f t="shared" si="85"/>
        <v>0</v>
      </c>
      <c r="DI117" s="173">
        <f t="shared" si="85"/>
        <v>0</v>
      </c>
      <c r="DJ117" s="173">
        <f t="shared" si="85"/>
        <v>0</v>
      </c>
      <c r="DK117" s="173">
        <f t="shared" si="85"/>
        <v>0</v>
      </c>
      <c r="DL117" s="173">
        <f t="shared" si="85"/>
        <v>0</v>
      </c>
      <c r="DM117" s="173">
        <f t="shared" si="85"/>
        <v>0</v>
      </c>
      <c r="DN117" s="173">
        <f t="shared" si="85"/>
        <v>0</v>
      </c>
      <c r="DO117" s="173">
        <f t="shared" si="85"/>
        <v>0</v>
      </c>
      <c r="DP117" s="173">
        <f t="shared" si="85"/>
        <v>0</v>
      </c>
      <c r="DQ117" s="173">
        <f t="shared" si="85"/>
        <v>0</v>
      </c>
      <c r="DR117" s="173">
        <f t="shared" si="85"/>
        <v>0</v>
      </c>
      <c r="DS117" s="173">
        <f t="shared" si="85"/>
        <v>0</v>
      </c>
      <c r="DT117" s="173">
        <f t="shared" si="85"/>
        <v>0</v>
      </c>
      <c r="DU117" s="173">
        <f t="shared" si="85"/>
        <v>0</v>
      </c>
      <c r="DV117" s="173">
        <f t="shared" si="85"/>
        <v>0</v>
      </c>
      <c r="DW117" s="173">
        <f t="shared" si="85"/>
        <v>0</v>
      </c>
      <c r="DX117" s="173">
        <f t="shared" si="85"/>
        <v>0</v>
      </c>
      <c r="DY117" s="173">
        <f t="shared" si="85"/>
        <v>0</v>
      </c>
      <c r="DZ117" s="173">
        <f t="shared" si="85"/>
        <v>0</v>
      </c>
      <c r="EA117" s="173">
        <f t="shared" si="85"/>
        <v>0</v>
      </c>
      <c r="EB117" s="173">
        <f t="shared" si="85"/>
        <v>0</v>
      </c>
    </row>
    <row r="118" spans="1:132" x14ac:dyDescent="0.25">
      <c r="A118" s="2" t="s">
        <v>866</v>
      </c>
      <c r="B118" s="201">
        <f>B91+B95+B99+B103</f>
        <v>4818.6113913043482</v>
      </c>
      <c r="D118" s="202">
        <f>B118/Troupeau!$B$17</f>
        <v>15.850695366132724</v>
      </c>
      <c r="CB118" s="171"/>
      <c r="CC118" s="171"/>
      <c r="CD118" s="171"/>
      <c r="CE118" s="171"/>
      <c r="CF118" s="171"/>
      <c r="CG118" s="171"/>
      <c r="CH118" s="171"/>
      <c r="CI118" s="171"/>
      <c r="CJ118" s="171"/>
      <c r="CK118" s="171"/>
      <c r="CL118" s="171"/>
      <c r="CM118" s="171"/>
      <c r="CN118" s="171"/>
      <c r="CO118" s="171"/>
      <c r="CP118" s="171"/>
      <c r="CQ118" s="171"/>
      <c r="CR118" s="171"/>
      <c r="CS118" s="171"/>
      <c r="CT118" s="171"/>
      <c r="CU118" s="171"/>
      <c r="CV118" s="171"/>
      <c r="CW118" s="171"/>
      <c r="CX118" s="171"/>
      <c r="CY118" s="171"/>
      <c r="DE118" s="171"/>
      <c r="DF118" s="171"/>
      <c r="DG118" s="171"/>
      <c r="DH118" s="171"/>
      <c r="DI118" s="171"/>
      <c r="DJ118" s="171"/>
      <c r="DK118" s="171"/>
      <c r="DL118" s="171"/>
      <c r="DM118" s="171"/>
      <c r="DN118" s="171"/>
      <c r="DO118" s="171"/>
      <c r="DP118" s="171"/>
      <c r="DQ118" s="171"/>
      <c r="DR118" s="171"/>
      <c r="DS118" s="171"/>
      <c r="DT118" s="171"/>
      <c r="DU118" s="171"/>
      <c r="DV118" s="171"/>
      <c r="DW118" s="171"/>
      <c r="DX118" s="171"/>
      <c r="DY118" s="171"/>
      <c r="DZ118" s="171"/>
      <c r="EA118" s="171"/>
      <c r="EB118" s="171"/>
    </row>
    <row r="119" spans="1:132" x14ac:dyDescent="0.25">
      <c r="A119" s="2" t="s">
        <v>867</v>
      </c>
      <c r="B119" s="201">
        <f t="shared" ref="B119" si="86">B92+B96+B100+B104</f>
        <v>777</v>
      </c>
      <c r="D119" s="202">
        <f>IF(B119=0,0,B119/Troupeau!$C$17)</f>
        <v>40.89473684210526</v>
      </c>
      <c r="CB119" s="171"/>
      <c r="CC119" s="171"/>
      <c r="CD119" s="171"/>
      <c r="CE119" s="171"/>
      <c r="CF119" s="171"/>
      <c r="CG119" s="171"/>
      <c r="CH119" s="171"/>
      <c r="CI119" s="171"/>
      <c r="CJ119" s="171"/>
      <c r="CK119" s="171"/>
      <c r="CL119" s="171"/>
      <c r="CM119" s="171"/>
      <c r="CN119" s="171"/>
      <c r="CO119" s="171"/>
      <c r="CP119" s="171"/>
      <c r="CQ119" s="171"/>
      <c r="CR119" s="171"/>
      <c r="CS119" s="171"/>
      <c r="CT119" s="171"/>
      <c r="CU119" s="171"/>
      <c r="CV119" s="171"/>
      <c r="CW119" s="171"/>
      <c r="CX119" s="171"/>
      <c r="CY119" s="171"/>
      <c r="DE119" s="171"/>
      <c r="DF119" s="171"/>
      <c r="DG119" s="171"/>
      <c r="DH119" s="171"/>
      <c r="DI119" s="171"/>
      <c r="DJ119" s="171"/>
      <c r="DK119" s="171"/>
      <c r="DL119" s="171"/>
      <c r="DM119" s="171"/>
      <c r="DN119" s="171"/>
      <c r="DO119" s="171"/>
      <c r="DP119" s="171"/>
      <c r="DQ119" s="171"/>
      <c r="DR119" s="171"/>
      <c r="DS119" s="171"/>
      <c r="DT119" s="171"/>
      <c r="DU119" s="171"/>
      <c r="DV119" s="171"/>
      <c r="DW119" s="171"/>
      <c r="DX119" s="171"/>
      <c r="DY119" s="171"/>
      <c r="DZ119" s="171"/>
      <c r="EA119" s="171"/>
      <c r="EB119" s="171"/>
    </row>
    <row r="120" spans="1:132" x14ac:dyDescent="0.25">
      <c r="A120" s="2" t="s">
        <v>868</v>
      </c>
      <c r="B120" s="201">
        <f>B93+B97+B101+B105</f>
        <v>0</v>
      </c>
      <c r="D120" s="202">
        <f>IF(B120=0,0,B120/Troupeau!$D$17)</f>
        <v>0</v>
      </c>
    </row>
    <row r="122" spans="1:132" x14ac:dyDescent="0.25">
      <c r="A122" s="2" t="s">
        <v>869</v>
      </c>
      <c r="B122" s="201">
        <f>SUM(B118:B120)</f>
        <v>5595.6113913043482</v>
      </c>
    </row>
    <row r="123" spans="1:132" x14ac:dyDescent="0.25">
      <c r="A123" s="2" t="s">
        <v>856</v>
      </c>
      <c r="B123" s="30">
        <f>B108</f>
        <v>304</v>
      </c>
    </row>
    <row r="124" spans="1:132" x14ac:dyDescent="0.25">
      <c r="A124" s="2" t="s">
        <v>870</v>
      </c>
      <c r="B124" s="30">
        <f>B107</f>
        <v>600</v>
      </c>
    </row>
    <row r="125" spans="1:132" x14ac:dyDescent="0.25">
      <c r="A125" s="2" t="s">
        <v>871</v>
      </c>
      <c r="B125" s="30">
        <f>B112+B113</f>
        <v>324</v>
      </c>
    </row>
    <row r="126" spans="1:132" x14ac:dyDescent="0.25">
      <c r="A126" s="2" t="s">
        <v>872</v>
      </c>
      <c r="B126" s="30">
        <f>B114+B115+B116</f>
        <v>392.60000000000008</v>
      </c>
    </row>
    <row r="128" spans="1:132" x14ac:dyDescent="0.25">
      <c r="A128" s="2" t="s">
        <v>873</v>
      </c>
      <c r="B128" s="201">
        <f>SUM(B122:B126)</f>
        <v>7216.2113913043486</v>
      </c>
    </row>
    <row r="129" spans="1:2" x14ac:dyDescent="0.25">
      <c r="A129" s="2" t="s">
        <v>874</v>
      </c>
      <c r="B129" s="30">
        <f>IF(Scénario!K129=1,Travail!F77+Travail!F86,F86)</f>
        <v>744</v>
      </c>
    </row>
    <row r="130" spans="1:2" x14ac:dyDescent="0.25">
      <c r="A130" s="2" t="s">
        <v>875</v>
      </c>
      <c r="B130" s="201">
        <f>ROUND((B128-B129)/(Scénario!K4+Scénario!K6),0)</f>
        <v>3236</v>
      </c>
    </row>
    <row r="206" spans="3:3" x14ac:dyDescent="0.25">
      <c r="C206">
        <f>SUM(Travail!F63:F65)</f>
        <v>360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L198" zoomScale="90" zoomScaleNormal="90" workbookViewId="0">
      <selection activeCell="T41" sqref="T41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8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5" t="s">
        <v>876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6" t="s">
        <v>877</v>
      </c>
      <c r="R2" s="23" t="s">
        <v>878</v>
      </c>
      <c r="S2" s="23"/>
      <c r="T2" t="s">
        <v>879</v>
      </c>
    </row>
    <row r="3" spans="1:59" ht="18.75" x14ac:dyDescent="0.3">
      <c r="A3" s="207"/>
      <c r="B3" s="33" t="s">
        <v>880</v>
      </c>
      <c r="C3" s="33" t="s">
        <v>881</v>
      </c>
      <c r="D3" s="33" t="s">
        <v>882</v>
      </c>
      <c r="E3" s="171"/>
      <c r="F3" s="33" t="s">
        <v>883</v>
      </c>
      <c r="G3" s="33" t="s">
        <v>884</v>
      </c>
      <c r="H3" s="33" t="s">
        <v>885</v>
      </c>
      <c r="I3" s="172"/>
    </row>
    <row r="4" spans="1:59" x14ac:dyDescent="0.25">
      <c r="B4" s="171" t="str">
        <f>Troupeau!B3</f>
        <v>OL</v>
      </c>
      <c r="C4" s="171" t="str">
        <f>Troupeau!C3</f>
        <v>BV</v>
      </c>
      <c r="D4" s="171">
        <f>Troupeau!D3</f>
        <v>0</v>
      </c>
      <c r="E4" s="171"/>
      <c r="F4" s="171" t="str">
        <f>+B4</f>
        <v>OL</v>
      </c>
      <c r="G4" s="171" t="str">
        <f t="shared" ref="G4:H4" si="0">+C4</f>
        <v>BV</v>
      </c>
      <c r="H4" s="171">
        <f t="shared" si="0"/>
        <v>0</v>
      </c>
      <c r="I4" s="172"/>
      <c r="J4" s="33" t="s">
        <v>13</v>
      </c>
      <c r="K4" s="171" t="str">
        <f>Troupeau!B3</f>
        <v>OL</v>
      </c>
      <c r="L4" s="171" t="str">
        <f>Troupeau!C3</f>
        <v>BV</v>
      </c>
      <c r="M4" s="171">
        <f>Troupeau!D3</f>
        <v>0</v>
      </c>
      <c r="O4" s="209"/>
      <c r="R4" s="5"/>
      <c r="S4" s="5"/>
      <c r="T4" s="14" t="s">
        <v>886</v>
      </c>
      <c r="U4" s="14"/>
      <c r="V4" s="14"/>
      <c r="W4" s="14"/>
      <c r="AB4" s="2" t="s">
        <v>887</v>
      </c>
    </row>
    <row r="5" spans="1:59" x14ac:dyDescent="0.25">
      <c r="A5" t="s">
        <v>888</v>
      </c>
      <c r="B5" s="173">
        <f>T6-(T5/100*T6)</f>
        <v>0</v>
      </c>
      <c r="C5" s="173">
        <f>U6-(U5/100*U6)</f>
        <v>0</v>
      </c>
      <c r="D5" s="173">
        <f>V6-(V5/100*V6)</f>
        <v>0</v>
      </c>
      <c r="E5" s="171"/>
      <c r="F5" s="190">
        <f>IF(B$4="OL",$Y$5,IF(B$4="BL",[1]Eco!$B$53,0))</f>
        <v>1064</v>
      </c>
      <c r="G5" s="190">
        <f>IF(C$4="OL",$Y$5,IF(C$4="BL",[1]Eco!$B$53,0))</f>
        <v>0</v>
      </c>
      <c r="H5" s="190">
        <f>IF(D$4="OL",$Y$5,IF(D$4="BL",[1]Eco!$B$53,0))</f>
        <v>0</v>
      </c>
      <c r="I5" s="172"/>
      <c r="J5" s="173">
        <f>ROUND((B5*F5+C5*G5+D5*H5+E5*I5)/1000,0)</f>
        <v>0</v>
      </c>
      <c r="K5" s="173">
        <f>ROUND(B5*F5/1000,0)</f>
        <v>0</v>
      </c>
      <c r="L5" s="173">
        <f t="shared" ref="L5:M6" si="1">ROUND(C5*G5/1000,0)</f>
        <v>0</v>
      </c>
      <c r="M5" s="173">
        <f t="shared" si="1"/>
        <v>0</v>
      </c>
      <c r="O5" s="210"/>
      <c r="R5" s="211"/>
      <c r="S5" s="211" t="s">
        <v>889</v>
      </c>
      <c r="T5" s="30">
        <f>Scénario!K16</f>
        <v>100</v>
      </c>
      <c r="U5" s="14"/>
      <c r="V5" s="14"/>
      <c r="X5" s="14" t="s">
        <v>890</v>
      </c>
      <c r="Y5" s="30">
        <f>IF(Scénario!K17=1,[1]Eco!$B$51,[1]Eco!$B$52)</f>
        <v>1064</v>
      </c>
      <c r="AB5" t="s">
        <v>891</v>
      </c>
      <c r="AC5" t="s">
        <v>17</v>
      </c>
      <c r="AD5" t="s">
        <v>278</v>
      </c>
      <c r="AF5" s="171" t="s">
        <v>892</v>
      </c>
      <c r="AG5" s="171" t="s">
        <v>893</v>
      </c>
      <c r="AH5" s="171" t="s">
        <v>894</v>
      </c>
      <c r="AI5" s="171" t="s">
        <v>895</v>
      </c>
      <c r="AJ5" s="171" t="s">
        <v>896</v>
      </c>
    </row>
    <row r="6" spans="1:59" x14ac:dyDescent="0.25">
      <c r="A6" t="s">
        <v>897</v>
      </c>
      <c r="B6" s="173">
        <f>T6-B5</f>
        <v>37947</v>
      </c>
      <c r="C6" s="173">
        <f>U6-C5</f>
        <v>0</v>
      </c>
      <c r="D6" s="173">
        <f>V6-D5</f>
        <v>0</v>
      </c>
      <c r="E6" s="171"/>
      <c r="F6" s="190">
        <f>IF(B$4="OL",$Y$6,0)</f>
        <v>2061</v>
      </c>
      <c r="G6" s="190">
        <f t="shared" ref="G6:H6" si="2">IF(C$4="OL",$Y$6,0)</f>
        <v>0</v>
      </c>
      <c r="H6" s="190">
        <f t="shared" si="2"/>
        <v>0</v>
      </c>
      <c r="I6" s="172"/>
      <c r="J6" s="173">
        <f>ROUND((B6*F6+C6*G6+D6*H6+E6*I6)/1000,0)</f>
        <v>78209</v>
      </c>
      <c r="K6" s="173">
        <f>ROUND(B6*F6/1000,0)</f>
        <v>78209</v>
      </c>
      <c r="L6" s="173">
        <f t="shared" si="1"/>
        <v>0</v>
      </c>
      <c r="M6" s="173">
        <f t="shared" si="1"/>
        <v>0</v>
      </c>
      <c r="O6" s="210"/>
      <c r="P6" s="5"/>
      <c r="R6" s="211"/>
      <c r="S6" s="211" t="s">
        <v>898</v>
      </c>
      <c r="T6" s="30">
        <f>Troupeau!B35</f>
        <v>37947</v>
      </c>
      <c r="U6" s="14"/>
      <c r="V6" s="14"/>
      <c r="X6" s="14" t="s">
        <v>899</v>
      </c>
      <c r="Y6" s="30">
        <f>IF(Scénario!K17=1,[1]Eco!$B$55,[1]Eco!$B$56)</f>
        <v>2061</v>
      </c>
      <c r="AA6">
        <v>1</v>
      </c>
      <c r="AB6" s="30">
        <f>Alim_Surf!D34</f>
        <v>6</v>
      </c>
      <c r="AC6" s="30" t="str">
        <f>LEFT(Alim_Surf!B34,10)</f>
        <v>maïs ensil</v>
      </c>
      <c r="AD6" s="30">
        <f>+Alim_Surf!K34</f>
        <v>0</v>
      </c>
      <c r="AE6" s="30"/>
      <c r="AF6" s="173">
        <f>IF($AC6=AF$5,$AD6,0)</f>
        <v>0</v>
      </c>
      <c r="AG6" s="173">
        <f t="shared" ref="AG6:AJ15" si="3">IF($AC6=AG$5,$AD6,0)</f>
        <v>0</v>
      </c>
      <c r="AH6" s="173">
        <f t="shared" si="3"/>
        <v>0</v>
      </c>
      <c r="AI6" s="173">
        <f t="shared" si="3"/>
        <v>0</v>
      </c>
      <c r="AJ6" s="173">
        <f t="shared" si="3"/>
        <v>0</v>
      </c>
    </row>
    <row r="7" spans="1:59" x14ac:dyDescent="0.25">
      <c r="B7" s="171"/>
      <c r="C7" s="171"/>
      <c r="D7" s="171"/>
      <c r="E7" s="171"/>
      <c r="F7" s="171"/>
      <c r="G7" s="171"/>
      <c r="H7" s="172"/>
      <c r="I7" s="172"/>
      <c r="J7" s="172"/>
      <c r="K7" s="172"/>
      <c r="L7" s="172"/>
      <c r="M7" s="172"/>
      <c r="O7" s="210"/>
      <c r="P7" s="5"/>
      <c r="R7" s="5"/>
      <c r="S7" s="5"/>
      <c r="AA7">
        <v>2</v>
      </c>
      <c r="AB7" s="30">
        <f>Alim_Surf!D35</f>
        <v>0</v>
      </c>
      <c r="AC7" s="30" t="str">
        <f>LEFT(Alim_Surf!B35,10)</f>
        <v>0</v>
      </c>
      <c r="AD7" s="30">
        <f>+Alim_Surf!K35</f>
        <v>0</v>
      </c>
      <c r="AE7" s="30"/>
      <c r="AF7" s="173">
        <f t="shared" ref="AF7:AF15" si="4">IF($AC7=AF$5,$AD7,0)</f>
        <v>0</v>
      </c>
      <c r="AG7" s="173">
        <f t="shared" si="3"/>
        <v>0</v>
      </c>
      <c r="AH7" s="173">
        <f t="shared" si="3"/>
        <v>0</v>
      </c>
      <c r="AI7" s="173">
        <f t="shared" si="3"/>
        <v>0</v>
      </c>
      <c r="AJ7" s="173">
        <f t="shared" si="3"/>
        <v>0</v>
      </c>
    </row>
    <row r="8" spans="1:59" x14ac:dyDescent="0.25">
      <c r="A8" s="5"/>
      <c r="B8" s="172"/>
      <c r="C8" s="172"/>
      <c r="D8" s="172"/>
      <c r="E8" s="172"/>
      <c r="F8" s="172"/>
      <c r="G8" s="172"/>
      <c r="H8" s="172"/>
      <c r="I8" s="172"/>
      <c r="J8" s="172"/>
      <c r="K8" s="172"/>
      <c r="L8" s="172"/>
      <c r="M8" s="172"/>
      <c r="AA8">
        <v>3</v>
      </c>
      <c r="AB8" s="30">
        <f>Alim_Surf!D36</f>
        <v>0</v>
      </c>
      <c r="AC8" s="30" t="str">
        <f>LEFT(Alim_Surf!B36,10)</f>
        <v>0</v>
      </c>
      <c r="AD8" s="30">
        <f>+Alim_Surf!K36</f>
        <v>0</v>
      </c>
      <c r="AE8" s="30"/>
      <c r="AF8" s="173">
        <f t="shared" si="4"/>
        <v>0</v>
      </c>
      <c r="AG8" s="173">
        <f t="shared" si="3"/>
        <v>0</v>
      </c>
      <c r="AH8" s="173">
        <f t="shared" si="3"/>
        <v>0</v>
      </c>
      <c r="AI8" s="173">
        <f t="shared" si="3"/>
        <v>0</v>
      </c>
      <c r="AJ8" s="173">
        <f t="shared" si="3"/>
        <v>0</v>
      </c>
    </row>
    <row r="9" spans="1:59" x14ac:dyDescent="0.25">
      <c r="A9" s="5" t="s">
        <v>900</v>
      </c>
      <c r="B9" s="173">
        <f>Troupeau!B43</f>
        <v>177.5</v>
      </c>
      <c r="C9" s="173">
        <f>Troupeau!C43</f>
        <v>6.5</v>
      </c>
      <c r="D9" s="173">
        <f>Troupeau!D43</f>
        <v>0</v>
      </c>
      <c r="E9" s="172"/>
      <c r="F9" s="190">
        <f>HLOOKUP(Troupeau!$J$17,[1]Anx!$A$122:$CO$164,'Calcul éco'!$O9)</f>
        <v>38.950000000000003</v>
      </c>
      <c r="G9" s="190">
        <f>HLOOKUP(Troupeau!$K$17,[1]Anx!$A$122:$CO$164,'Calcul éco'!$O9)</f>
        <v>972</v>
      </c>
      <c r="H9" s="190">
        <f>HLOOKUP(Troupeau!$L$17,[1]Anx!$A$122:$CO$164,'Calcul éco'!$O9)</f>
        <v>8</v>
      </c>
      <c r="I9" s="172"/>
      <c r="J9" s="173">
        <f>ROUND((B9*F9+C9*G9+D9*H9+E9*I9),0)</f>
        <v>13232</v>
      </c>
      <c r="K9" s="173">
        <f>ROUND(B9*F9,0)</f>
        <v>6914</v>
      </c>
      <c r="L9" s="173">
        <f t="shared" ref="L9:M16" si="5">ROUND(C9*G9,0)</f>
        <v>6318</v>
      </c>
      <c r="M9" s="173">
        <f t="shared" si="5"/>
        <v>0</v>
      </c>
      <c r="O9" s="212">
        <v>8</v>
      </c>
      <c r="P9" s="5"/>
      <c r="S9" s="37" t="s">
        <v>901</v>
      </c>
      <c r="T9" s="36" t="s">
        <v>886</v>
      </c>
      <c r="U9" s="171" t="s">
        <v>902</v>
      </c>
      <c r="V9" s="36" t="s">
        <v>903</v>
      </c>
      <c r="W9" s="171" t="s">
        <v>904</v>
      </c>
      <c r="AA9">
        <v>4</v>
      </c>
      <c r="AB9" s="30">
        <f>Alim_Surf!D37</f>
        <v>0</v>
      </c>
      <c r="AC9" s="30" t="str">
        <f>LEFT(Alim_Surf!B37,10)</f>
        <v>0</v>
      </c>
      <c r="AD9" s="30">
        <f>+Alim_Surf!K37</f>
        <v>0</v>
      </c>
      <c r="AE9" s="30"/>
      <c r="AF9" s="173">
        <f t="shared" si="4"/>
        <v>0</v>
      </c>
      <c r="AG9" s="173">
        <f t="shared" si="3"/>
        <v>0</v>
      </c>
      <c r="AH9" s="173">
        <f t="shared" si="3"/>
        <v>0</v>
      </c>
      <c r="AI9" s="173">
        <f t="shared" si="3"/>
        <v>0</v>
      </c>
      <c r="AJ9" s="173">
        <f t="shared" si="3"/>
        <v>0</v>
      </c>
    </row>
    <row r="10" spans="1:59" x14ac:dyDescent="0.25">
      <c r="A10" s="5" t="s">
        <v>905</v>
      </c>
      <c r="B10" s="173">
        <f>Troupeau!B39</f>
        <v>117.5</v>
      </c>
      <c r="C10" s="173">
        <f>Troupeau!C39</f>
        <v>3.5</v>
      </c>
      <c r="D10" s="173">
        <f>Troupeau!D39</f>
        <v>0</v>
      </c>
      <c r="E10" s="172"/>
      <c r="F10" s="190">
        <f>HLOOKUP(Troupeau!$J$17,[1]Anx!$A$122:$CO$164,'Calcul éco'!$O10)</f>
        <v>38.950000000000003</v>
      </c>
      <c r="G10" s="190">
        <f>HLOOKUP(Troupeau!$K$17,[1]Anx!$A$122:$CO$164,'Calcul éco'!$O10)</f>
        <v>775</v>
      </c>
      <c r="H10" s="190">
        <f>HLOOKUP(Troupeau!$L$17,[1]Anx!$A$122:$CO$164,'Calcul éco'!$O10)</f>
        <v>13</v>
      </c>
      <c r="I10" s="172"/>
      <c r="J10" s="173">
        <f t="shared" ref="J10:J16" si="6">ROUND((B10*F10+C10*G10+D10*H10+E10*I10),0)</f>
        <v>7289</v>
      </c>
      <c r="K10" s="173">
        <f t="shared" ref="K10:K16" si="7">ROUND(B10*F10,0)</f>
        <v>4577</v>
      </c>
      <c r="L10" s="173">
        <f t="shared" si="5"/>
        <v>2713</v>
      </c>
      <c r="M10" s="173">
        <f t="shared" si="5"/>
        <v>0</v>
      </c>
      <c r="O10" s="212">
        <v>13</v>
      </c>
      <c r="P10" s="5"/>
      <c r="Q10" s="5"/>
      <c r="R10" s="5"/>
      <c r="S10" s="32" t="s">
        <v>906</v>
      </c>
      <c r="T10" s="173">
        <f>Scénario!K18</f>
        <v>0</v>
      </c>
      <c r="U10" s="173">
        <f>Scénario!K19</f>
        <v>0</v>
      </c>
      <c r="V10" s="173">
        <f>Scénario!K20</f>
        <v>0</v>
      </c>
      <c r="W10" s="173">
        <f>Scénario!K21</f>
        <v>0</v>
      </c>
      <c r="AA10">
        <v>5</v>
      </c>
      <c r="AB10" s="30">
        <f>Alim_Surf!D38</f>
        <v>0</v>
      </c>
      <c r="AC10" s="30" t="str">
        <f>LEFT(Alim_Surf!B38,10)</f>
        <v>0</v>
      </c>
      <c r="AD10" s="30">
        <f>+Alim_Surf!K38</f>
        <v>0</v>
      </c>
      <c r="AE10" s="30"/>
      <c r="AF10" s="173">
        <f t="shared" si="4"/>
        <v>0</v>
      </c>
      <c r="AG10" s="173">
        <f t="shared" si="3"/>
        <v>0</v>
      </c>
      <c r="AH10" s="173">
        <f t="shared" si="3"/>
        <v>0</v>
      </c>
      <c r="AI10" s="173">
        <f t="shared" si="3"/>
        <v>0</v>
      </c>
      <c r="AJ10" s="173">
        <f t="shared" si="3"/>
        <v>0</v>
      </c>
    </row>
    <row r="11" spans="1:59" x14ac:dyDescent="0.25">
      <c r="A11" s="5" t="s">
        <v>907</v>
      </c>
      <c r="B11" s="173">
        <f>SUM(Troupeau!B44:B46)</f>
        <v>0</v>
      </c>
      <c r="C11" s="173">
        <f>SUM(Troupeau!C44:C46)</f>
        <v>0</v>
      </c>
      <c r="D11" s="173">
        <f>SUM(Troupeau!D44:D46)</f>
        <v>0</v>
      </c>
      <c r="E11" s="172"/>
      <c r="F11" s="190">
        <f>HLOOKUP(Troupeau!$J$17,[1]Anx!$A$122:$CO$164,'Calcul éco'!$O11)</f>
        <v>0</v>
      </c>
      <c r="G11" s="190">
        <f>HLOOKUP(Troupeau!$K$17,[1]Anx!$A$122:$CO$164,'Calcul éco'!$O11)</f>
        <v>0</v>
      </c>
      <c r="H11" s="190">
        <f>HLOOKUP(Troupeau!$L$17,[1]Anx!$A$122:$CO$164,'Calcul éco'!$O11)</f>
        <v>18</v>
      </c>
      <c r="I11" s="172"/>
      <c r="J11" s="173">
        <f t="shared" si="6"/>
        <v>0</v>
      </c>
      <c r="K11" s="173">
        <f t="shared" si="7"/>
        <v>0</v>
      </c>
      <c r="L11" s="173">
        <f t="shared" si="5"/>
        <v>0</v>
      </c>
      <c r="M11" s="173">
        <f t="shared" si="5"/>
        <v>0</v>
      </c>
      <c r="O11" s="212">
        <v>18</v>
      </c>
      <c r="P11" s="5"/>
      <c r="Q11" s="5"/>
      <c r="R11" s="32"/>
      <c r="S11" s="32" t="s">
        <v>908</v>
      </c>
      <c r="T11" s="173">
        <f>Troupeau!B37</f>
        <v>45</v>
      </c>
      <c r="U11" s="173">
        <f>Troupeau!C37</f>
        <v>3</v>
      </c>
      <c r="V11" s="173">
        <f>Troupeau!D37</f>
        <v>0</v>
      </c>
      <c r="W11" s="173">
        <f>Troupeau!E37</f>
        <v>0</v>
      </c>
      <c r="AA11">
        <v>6</v>
      </c>
      <c r="AB11" s="30">
        <f>Alim_Surf!D39</f>
        <v>0</v>
      </c>
      <c r="AC11" s="30" t="str">
        <f>LEFT(Alim_Surf!B39,10)</f>
        <v>0</v>
      </c>
      <c r="AD11" s="30">
        <f>+Alim_Surf!K39</f>
        <v>0</v>
      </c>
      <c r="AE11" s="30"/>
      <c r="AF11" s="173">
        <f t="shared" si="4"/>
        <v>0</v>
      </c>
      <c r="AG11" s="173">
        <f t="shared" si="3"/>
        <v>0</v>
      </c>
      <c r="AH11" s="173">
        <f t="shared" si="3"/>
        <v>0</v>
      </c>
      <c r="AI11" s="173">
        <f t="shared" si="3"/>
        <v>0</v>
      </c>
      <c r="AJ11" s="173">
        <f t="shared" si="3"/>
        <v>0</v>
      </c>
    </row>
    <row r="12" spans="1:59" s="5" customFormat="1" x14ac:dyDescent="0.25">
      <c r="A12" s="5" t="s">
        <v>909</v>
      </c>
      <c r="B12" s="173">
        <f>SUM(Troupeau!B40:B42)</f>
        <v>0</v>
      </c>
      <c r="C12" s="173">
        <f>SUM(Troupeau!C40:C42)</f>
        <v>0</v>
      </c>
      <c r="D12" s="173">
        <f>SUM(Troupeau!D40:D42)</f>
        <v>0</v>
      </c>
      <c r="E12" s="172"/>
      <c r="F12" s="190">
        <f>HLOOKUP(Troupeau!$J$17,[1]Anx!$A$122:$CO$164,'Calcul éco'!$O12)</f>
        <v>0</v>
      </c>
      <c r="G12" s="190">
        <f>HLOOKUP(Troupeau!$K$17,[1]Anx!$A$122:$CO$164,'Calcul éco'!$O12)</f>
        <v>0</v>
      </c>
      <c r="H12" s="190">
        <f>HLOOKUP(Troupeau!$L$17,[1]Anx!$A$122:$CO$164,'Calcul éco'!$O12)</f>
        <v>23</v>
      </c>
      <c r="I12" s="172"/>
      <c r="J12" s="173">
        <f t="shared" si="6"/>
        <v>0</v>
      </c>
      <c r="K12" s="173">
        <f t="shared" si="7"/>
        <v>0</v>
      </c>
      <c r="L12" s="173">
        <f t="shared" si="5"/>
        <v>0</v>
      </c>
      <c r="M12" s="173">
        <f t="shared" si="5"/>
        <v>0</v>
      </c>
      <c r="N12"/>
      <c r="O12" s="212">
        <v>23</v>
      </c>
      <c r="S12" s="32" t="s">
        <v>910</v>
      </c>
      <c r="T12" s="173">
        <f>ROUNDDOWN(T11*T10/100,0)</f>
        <v>0</v>
      </c>
      <c r="U12" s="173">
        <f t="shared" ref="U12:W12" si="8">ROUNDDOWN(U11*U10/100,0)</f>
        <v>0</v>
      </c>
      <c r="V12" s="173">
        <f t="shared" si="8"/>
        <v>0</v>
      </c>
      <c r="W12" s="173">
        <f t="shared" si="8"/>
        <v>0</v>
      </c>
      <c r="AA12">
        <v>7</v>
      </c>
      <c r="AB12" s="30">
        <f>Alim_Surf!D40</f>
        <v>0</v>
      </c>
      <c r="AC12" s="30" t="str">
        <f>LEFT(Alim_Surf!B40,10)</f>
        <v>0</v>
      </c>
      <c r="AD12" s="30">
        <f>+Alim_Surf!K40</f>
        <v>0</v>
      </c>
      <c r="AE12" s="30"/>
      <c r="AF12" s="173">
        <f t="shared" si="4"/>
        <v>0</v>
      </c>
      <c r="AG12" s="173">
        <f t="shared" si="3"/>
        <v>0</v>
      </c>
      <c r="AH12" s="173">
        <f t="shared" si="3"/>
        <v>0</v>
      </c>
      <c r="AI12" s="173">
        <f t="shared" si="3"/>
        <v>0</v>
      </c>
      <c r="AJ12" s="173">
        <f t="shared" si="3"/>
        <v>0</v>
      </c>
      <c r="BG12" s="32"/>
    </row>
    <row r="13" spans="1:59" s="5" customFormat="1" x14ac:dyDescent="0.25">
      <c r="A13" s="5" t="s">
        <v>911</v>
      </c>
      <c r="B13" s="173">
        <f>T11-B14</f>
        <v>45</v>
      </c>
      <c r="C13" s="173">
        <f>U11-C14</f>
        <v>3</v>
      </c>
      <c r="D13" s="173">
        <f>V11-D14</f>
        <v>0</v>
      </c>
      <c r="E13" s="172"/>
      <c r="F13" s="190">
        <f>HLOOKUP(Troupeau!$J$17,[1]Anx!$A$122:$CO$164,'Calcul éco'!$O13)</f>
        <v>26.5</v>
      </c>
      <c r="G13" s="190">
        <f>HLOOKUP(Troupeau!$K$17,[1]Anx!$A$122:$CO$164,'Calcul éco'!$O13)</f>
        <v>1196</v>
      </c>
      <c r="H13" s="190">
        <f>HLOOKUP(Troupeau!$L$17,[1]Anx!$A$122:$CO$164,'Calcul éco'!$O13)</f>
        <v>28</v>
      </c>
      <c r="I13" s="172"/>
      <c r="J13" s="173">
        <f t="shared" si="6"/>
        <v>4781</v>
      </c>
      <c r="K13" s="173">
        <f t="shared" si="7"/>
        <v>1193</v>
      </c>
      <c r="L13" s="173">
        <f t="shared" si="5"/>
        <v>3588</v>
      </c>
      <c r="M13" s="173">
        <f t="shared" si="5"/>
        <v>0</v>
      </c>
      <c r="N13"/>
      <c r="O13" s="212">
        <v>28</v>
      </c>
      <c r="AA13">
        <v>8</v>
      </c>
      <c r="AB13" s="30">
        <f>Alim_Surf!D41</f>
        <v>0</v>
      </c>
      <c r="AC13" s="30" t="str">
        <f>LEFT(Alim_Surf!B41,10)</f>
        <v>0</v>
      </c>
      <c r="AD13" s="30">
        <f>+Alim_Surf!K41</f>
        <v>0</v>
      </c>
      <c r="AE13" s="30"/>
      <c r="AF13" s="173">
        <f t="shared" si="4"/>
        <v>0</v>
      </c>
      <c r="AG13" s="173">
        <f t="shared" si="3"/>
        <v>0</v>
      </c>
      <c r="AH13" s="173">
        <f t="shared" si="3"/>
        <v>0</v>
      </c>
      <c r="AI13" s="173">
        <f t="shared" si="3"/>
        <v>0</v>
      </c>
      <c r="AJ13" s="173">
        <f t="shared" si="3"/>
        <v>0</v>
      </c>
      <c r="BG13" s="32"/>
    </row>
    <row r="14" spans="1:59" s="5" customFormat="1" x14ac:dyDescent="0.25">
      <c r="A14" s="5" t="s">
        <v>912</v>
      </c>
      <c r="B14" s="173">
        <f>ROUNDDOWN(T11*T10/100,0)</f>
        <v>0</v>
      </c>
      <c r="C14" s="173">
        <f t="shared" ref="C14:D14" si="9">ROUNDDOWN(U11*U10/100,0)</f>
        <v>0</v>
      </c>
      <c r="D14" s="173">
        <f t="shared" si="9"/>
        <v>0</v>
      </c>
      <c r="E14" s="172"/>
      <c r="F14" s="190">
        <f>HLOOKUP(Troupeau!$J$17,[1]Anx!$A$122:$CO$164,'Calcul éco'!$O14)</f>
        <v>0</v>
      </c>
      <c r="G14" s="190">
        <f>HLOOKUP(Troupeau!$K$17,[1]Anx!$A$122:$CO$164,'Calcul éco'!$O14)</f>
        <v>0</v>
      </c>
      <c r="H14" s="190">
        <f>HLOOKUP(Troupeau!$L$17,[1]Anx!$A$122:$CO$164,'Calcul éco'!$O14)</f>
        <v>33</v>
      </c>
      <c r="I14" s="172"/>
      <c r="J14" s="173">
        <f t="shared" si="6"/>
        <v>0</v>
      </c>
      <c r="K14" s="173">
        <f t="shared" si="7"/>
        <v>0</v>
      </c>
      <c r="L14" s="173">
        <f t="shared" si="5"/>
        <v>0</v>
      </c>
      <c r="M14" s="173">
        <f t="shared" si="5"/>
        <v>0</v>
      </c>
      <c r="N14"/>
      <c r="O14" s="212">
        <v>33</v>
      </c>
      <c r="Q14" s="23" t="s">
        <v>887</v>
      </c>
      <c r="AA14">
        <v>9</v>
      </c>
      <c r="AB14" s="30">
        <f>Alim_Surf!D42</f>
        <v>0</v>
      </c>
      <c r="AC14" s="30" t="str">
        <f>LEFT(Alim_Surf!B42,10)</f>
        <v>0</v>
      </c>
      <c r="AD14" s="30">
        <f>+Alim_Surf!K42</f>
        <v>0</v>
      </c>
      <c r="AE14" s="30"/>
      <c r="AF14" s="173">
        <f t="shared" si="4"/>
        <v>0</v>
      </c>
      <c r="AG14" s="173">
        <f t="shared" si="3"/>
        <v>0</v>
      </c>
      <c r="AH14" s="173">
        <f t="shared" si="3"/>
        <v>0</v>
      </c>
      <c r="AI14" s="173">
        <f t="shared" si="3"/>
        <v>0</v>
      </c>
      <c r="AJ14" s="173">
        <f t="shared" si="3"/>
        <v>0</v>
      </c>
      <c r="BG14" s="32"/>
    </row>
    <row r="15" spans="1:59" s="5" customFormat="1" x14ac:dyDescent="0.25">
      <c r="A15" s="5" t="s">
        <v>913</v>
      </c>
      <c r="B15" s="173">
        <f>Troupeau!B38</f>
        <v>3.5</v>
      </c>
      <c r="C15" s="173">
        <f>Troupeau!C38</f>
        <v>0</v>
      </c>
      <c r="D15" s="173">
        <f>Troupeau!D38</f>
        <v>0</v>
      </c>
      <c r="E15" s="172"/>
      <c r="F15" s="190">
        <f>HLOOKUP(Troupeau!$J$17,[1]Anx!$A$122:$CO$164,'Calcul éco'!$O15)</f>
        <v>26.5</v>
      </c>
      <c r="G15" s="190">
        <f>HLOOKUP(Troupeau!$K$17,[1]Anx!$A$122:$CO$164,'Calcul éco'!$O15)</f>
        <v>1044</v>
      </c>
      <c r="H15" s="190">
        <f>HLOOKUP(Troupeau!$L$17,[1]Anx!$A$122:$CO$164,'Calcul éco'!$O15)</f>
        <v>38</v>
      </c>
      <c r="I15" s="172"/>
      <c r="J15" s="173">
        <f t="shared" si="6"/>
        <v>93</v>
      </c>
      <c r="K15" s="173">
        <f t="shared" si="7"/>
        <v>93</v>
      </c>
      <c r="L15" s="173">
        <f t="shared" si="5"/>
        <v>0</v>
      </c>
      <c r="M15" s="173">
        <f t="shared" si="5"/>
        <v>0</v>
      </c>
      <c r="N15"/>
      <c r="O15" s="212">
        <v>38</v>
      </c>
      <c r="R15" s="5" t="s">
        <v>914</v>
      </c>
      <c r="S15" s="32" t="s">
        <v>915</v>
      </c>
      <c r="T15" s="5" t="s">
        <v>916</v>
      </c>
      <c r="AA15">
        <v>10</v>
      </c>
      <c r="AB15" s="30">
        <f>Alim_Surf!D43</f>
        <v>0</v>
      </c>
      <c r="AC15" s="30" t="str">
        <f>LEFT(Alim_Surf!B43,10)</f>
        <v>0</v>
      </c>
      <c r="AD15" s="30">
        <f>+Alim_Surf!K43</f>
        <v>0</v>
      </c>
      <c r="AE15" s="30"/>
      <c r="AF15" s="173">
        <f t="shared" si="4"/>
        <v>0</v>
      </c>
      <c r="AG15" s="173">
        <f t="shared" si="3"/>
        <v>0</v>
      </c>
      <c r="AH15" s="173">
        <f t="shared" si="3"/>
        <v>0</v>
      </c>
      <c r="AI15" s="173">
        <f t="shared" si="3"/>
        <v>0</v>
      </c>
      <c r="AJ15" s="173">
        <f t="shared" si="3"/>
        <v>0</v>
      </c>
      <c r="BG15" s="32"/>
    </row>
    <row r="16" spans="1:59" s="5" customFormat="1" x14ac:dyDescent="0.25">
      <c r="A16" s="5" t="s">
        <v>917</v>
      </c>
      <c r="B16" s="173">
        <f>+B15</f>
        <v>3.5</v>
      </c>
      <c r="C16" s="173">
        <f t="shared" ref="C16:D16" si="10">+C15</f>
        <v>0</v>
      </c>
      <c r="D16" s="173">
        <f t="shared" si="10"/>
        <v>0</v>
      </c>
      <c r="E16" s="172"/>
      <c r="F16" s="190">
        <f>HLOOKUP(Troupeau!$J$17,[1]Anx!$A$122:$CO$164,'Calcul éco'!$O16)</f>
        <v>-350</v>
      </c>
      <c r="G16" s="190">
        <f>HLOOKUP(Troupeau!$K$17,[1]Anx!$A$122:$CO$164,'Calcul éco'!$O16)</f>
        <v>-2527.8000000000002</v>
      </c>
      <c r="H16" s="190">
        <f>HLOOKUP(Troupeau!$L$17,[1]Anx!$A$122:$CO$164,'Calcul éco'!$O16)</f>
        <v>43</v>
      </c>
      <c r="I16" s="172"/>
      <c r="J16" s="173">
        <f t="shared" si="6"/>
        <v>-1225</v>
      </c>
      <c r="K16" s="173">
        <f t="shared" si="7"/>
        <v>-1225</v>
      </c>
      <c r="L16" s="173">
        <f t="shared" si="5"/>
        <v>0</v>
      </c>
      <c r="M16" s="173">
        <f t="shared" si="5"/>
        <v>0</v>
      </c>
      <c r="N16"/>
      <c r="O16" s="212">
        <v>43</v>
      </c>
      <c r="Q16" s="5" t="s">
        <v>892</v>
      </c>
      <c r="R16" s="30">
        <f>Alim_Surf!K13</f>
        <v>-21.7</v>
      </c>
      <c r="S16" s="5">
        <f>IF(R16&gt;0,R16,0)</f>
        <v>0</v>
      </c>
      <c r="T16" s="5">
        <f>IF(R16&lt;0,-R16,0)</f>
        <v>21.7</v>
      </c>
      <c r="AF16" s="62">
        <f>SUM(AF6:AF15)</f>
        <v>0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918</v>
      </c>
      <c r="R17" s="30">
        <f>Alim_Surf!K14</f>
        <v>0</v>
      </c>
      <c r="S17" s="5">
        <f>IF(R17&gt;0,R17,0)</f>
        <v>0</v>
      </c>
      <c r="T17" s="5">
        <f t="shared" ref="T17:T18" si="12">IF(R17&lt;0,-R17,0)</f>
        <v>0</v>
      </c>
      <c r="U17" s="5"/>
      <c r="V17" s="5"/>
      <c r="W17" s="5"/>
      <c r="X17" s="5"/>
      <c r="Y17" s="5"/>
      <c r="Z17" s="5"/>
      <c r="AA17" s="5"/>
      <c r="AB17" s="5"/>
      <c r="AC17" s="173" t="s">
        <v>278</v>
      </c>
      <c r="AD17" s="173" t="s">
        <v>914</v>
      </c>
      <c r="AE17" s="173" t="s">
        <v>919</v>
      </c>
      <c r="AF17" s="173" t="s">
        <v>920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921</v>
      </c>
      <c r="B18" s="171"/>
      <c r="C18" s="36" t="s">
        <v>922</v>
      </c>
      <c r="D18" s="33" t="s">
        <v>923</v>
      </c>
      <c r="E18" s="172"/>
      <c r="F18" s="36" t="s">
        <v>924</v>
      </c>
      <c r="G18" s="36" t="s">
        <v>925</v>
      </c>
      <c r="H18" s="172"/>
      <c r="I18" s="172"/>
      <c r="J18" s="5"/>
      <c r="K18" s="5"/>
      <c r="L18" s="5"/>
      <c r="M18" s="5"/>
      <c r="N18" s="5"/>
      <c r="P18" s="5"/>
      <c r="Q18" s="5" t="s">
        <v>926</v>
      </c>
      <c r="R18" s="30">
        <f>Alim_Surf!K15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892</v>
      </c>
      <c r="AC18" s="173">
        <f>SUM(AF6:AF15)</f>
        <v>0</v>
      </c>
      <c r="AD18" s="173">
        <f>Alim_Surf!K13</f>
        <v>-21.7</v>
      </c>
      <c r="AE18" s="173">
        <f>IF(AD18&gt;=0,AD18,0)</f>
        <v>0</v>
      </c>
      <c r="AF18" s="173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3" t="s">
        <v>892</v>
      </c>
      <c r="B19" s="173"/>
      <c r="C19" s="173">
        <f>AE18</f>
        <v>0</v>
      </c>
      <c r="D19" s="173">
        <f>AF18</f>
        <v>0</v>
      </c>
      <c r="E19" s="171"/>
      <c r="F19" s="190">
        <f>VLOOKUP(A19,[1]Eco!$A$61:$B$71,2)</f>
        <v>168</v>
      </c>
      <c r="G19" s="171">
        <f>[1]Conc!$D$5</f>
        <v>200</v>
      </c>
      <c r="H19" s="171"/>
      <c r="I19" s="171"/>
      <c r="J19" s="173">
        <f>C19*F19+D19*G19</f>
        <v>0</v>
      </c>
      <c r="K19" s="173"/>
      <c r="L19" s="173"/>
      <c r="M19" s="173"/>
      <c r="N19" s="173"/>
      <c r="O19" s="210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927</v>
      </c>
      <c r="AC19" s="173">
        <f>SUM(AG6:AI15)</f>
        <v>0</v>
      </c>
      <c r="AD19" s="173">
        <f>Alim_Surf!K14</f>
        <v>0</v>
      </c>
      <c r="AE19" s="173">
        <f>IF(AD19&gt;=0,AD19,0)</f>
        <v>0</v>
      </c>
      <c r="AF19" s="173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3" t="s">
        <v>927</v>
      </c>
      <c r="B20" s="173"/>
      <c r="C20" s="173">
        <f>AE19</f>
        <v>0</v>
      </c>
      <c r="D20" s="173">
        <f t="shared" ref="D20:D21" si="13">AF19</f>
        <v>0</v>
      </c>
      <c r="E20" s="171"/>
      <c r="F20" s="190">
        <f>VLOOKUP(A20,[1]Eco!$A$61:$B$71,2)</f>
        <v>152</v>
      </c>
      <c r="G20" s="171">
        <f>[1]Conc!$D$6</f>
        <v>165</v>
      </c>
      <c r="H20" s="171"/>
      <c r="I20" s="171"/>
      <c r="J20" s="173">
        <f>C20*F20+D20*G20</f>
        <v>0</v>
      </c>
      <c r="K20" s="173"/>
      <c r="L20" s="173"/>
      <c r="M20" s="173"/>
      <c r="N20" s="173"/>
      <c r="O20" s="210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928</v>
      </c>
      <c r="AC20" s="173">
        <f>SUM(AJ6:AJ15)</f>
        <v>0</v>
      </c>
      <c r="AD20" s="173">
        <f>Alim_Surf!K15</f>
        <v>0</v>
      </c>
      <c r="AE20" s="173">
        <f>IF(AD20&gt;=0,AD20,0)</f>
        <v>0</v>
      </c>
      <c r="AF20" s="173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3" t="s">
        <v>896</v>
      </c>
      <c r="B21" s="173"/>
      <c r="C21" s="173">
        <f>AE20</f>
        <v>0</v>
      </c>
      <c r="D21" s="173">
        <f t="shared" si="13"/>
        <v>0</v>
      </c>
      <c r="E21" s="171"/>
      <c r="F21" s="190">
        <f>VLOOKUP(A21,[1]Eco!$A$61:$B$71,2)</f>
        <v>329</v>
      </c>
      <c r="G21" s="171">
        <f>[1]Conc!$D$7</f>
        <v>0</v>
      </c>
      <c r="H21" s="171"/>
      <c r="I21" s="171"/>
      <c r="J21" s="173">
        <f t="shared" ref="J21" si="14">C21*F21+D21*G21</f>
        <v>0</v>
      </c>
      <c r="K21" s="173"/>
      <c r="L21" s="173"/>
      <c r="M21" s="173"/>
      <c r="N21" s="173"/>
      <c r="O21" s="210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72"/>
      <c r="H22" s="172"/>
      <c r="I22" s="172"/>
      <c r="J22" s="172"/>
      <c r="K22" s="173"/>
      <c r="L22" s="173"/>
      <c r="M22" s="173"/>
      <c r="N22" s="173"/>
      <c r="O22" s="210"/>
      <c r="P22"/>
      <c r="U22"/>
      <c r="V22"/>
      <c r="W22"/>
      <c r="X22"/>
      <c r="Y22"/>
      <c r="Z22" t="s">
        <v>929</v>
      </c>
      <c r="AA22"/>
      <c r="AB22"/>
      <c r="AC22"/>
      <c r="AD22"/>
      <c r="AE22" t="s">
        <v>930</v>
      </c>
      <c r="AF22"/>
      <c r="AG22"/>
      <c r="AH22"/>
      <c r="AI22" t="s">
        <v>931</v>
      </c>
      <c r="AJ22"/>
      <c r="AK22"/>
      <c r="AM22"/>
      <c r="AN22" t="s">
        <v>932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72"/>
      <c r="H23" s="172"/>
      <c r="I23" s="172"/>
      <c r="J23" s="172"/>
      <c r="K23" s="173"/>
      <c r="L23" s="173"/>
      <c r="M23" s="173"/>
      <c r="N23" s="173"/>
      <c r="O23" s="210"/>
      <c r="Q23" s="18"/>
      <c r="R23" s="5"/>
      <c r="S23" s="5"/>
      <c r="T23" s="5"/>
      <c r="Z23" s="5" t="s">
        <v>933</v>
      </c>
    </row>
    <row r="24" spans="1:143" x14ac:dyDescent="0.25">
      <c r="G24" s="172"/>
      <c r="H24" s="172"/>
      <c r="I24" s="172"/>
      <c r="J24" s="172"/>
      <c r="K24" s="173"/>
      <c r="L24" s="173"/>
      <c r="M24" s="173"/>
      <c r="N24" s="173"/>
      <c r="O24" s="210"/>
      <c r="Q24" s="18"/>
      <c r="R24" s="2" t="s">
        <v>934</v>
      </c>
      <c r="S24" s="18"/>
      <c r="T24" s="5" t="s">
        <v>935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72"/>
      <c r="H25" s="172"/>
      <c r="I25" s="172"/>
      <c r="J25" s="172"/>
      <c r="K25" s="173"/>
      <c r="L25" s="173"/>
      <c r="M25" s="173"/>
      <c r="N25" s="173"/>
      <c r="O25" s="210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72"/>
      <c r="H26" s="172"/>
      <c r="I26" s="172"/>
      <c r="J26" s="172"/>
      <c r="K26" s="173"/>
      <c r="L26" s="173"/>
      <c r="M26" s="173"/>
      <c r="N26" s="173"/>
      <c r="O26" s="210"/>
      <c r="P26" s="5"/>
      <c r="R26" t="s">
        <v>936</v>
      </c>
      <c r="X26" t="s">
        <v>937</v>
      </c>
      <c r="AA26" s="171" t="s">
        <v>938</v>
      </c>
      <c r="AB26" s="171" t="s">
        <v>939</v>
      </c>
      <c r="AC26" s="171" t="s">
        <v>712</v>
      </c>
      <c r="AD26" s="5"/>
      <c r="AE26" s="171" t="s">
        <v>938</v>
      </c>
      <c r="AF26" s="171" t="s">
        <v>940</v>
      </c>
      <c r="AG26" s="171" t="s">
        <v>712</v>
      </c>
      <c r="AI26" s="171" t="s">
        <v>938</v>
      </c>
      <c r="AJ26" s="171" t="s">
        <v>941</v>
      </c>
      <c r="AK26" s="171" t="s">
        <v>712</v>
      </c>
      <c r="AL26" s="172"/>
      <c r="AN26" s="171" t="s">
        <v>938</v>
      </c>
      <c r="AO26" s="171" t="s">
        <v>942</v>
      </c>
      <c r="AP26" s="171" t="s">
        <v>712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72"/>
      <c r="H27" s="172"/>
      <c r="I27" s="172"/>
      <c r="J27" s="172"/>
      <c r="K27" s="173"/>
      <c r="L27" s="173"/>
      <c r="M27" s="173"/>
      <c r="N27" s="173"/>
      <c r="O27" s="210"/>
      <c r="P27" s="5"/>
      <c r="R27" s="171" t="s">
        <v>886</v>
      </c>
      <c r="S27" s="171" t="s">
        <v>902</v>
      </c>
      <c r="T27" s="171" t="s">
        <v>903</v>
      </c>
      <c r="U27" s="171" t="s">
        <v>904</v>
      </c>
      <c r="V27" s="171" t="s">
        <v>13</v>
      </c>
      <c r="X27" s="15" t="s">
        <v>943</v>
      </c>
      <c r="Z27" s="213" t="s">
        <v>944</v>
      </c>
      <c r="AA27" s="190">
        <f>[1]Eco!$F$4</f>
        <v>166</v>
      </c>
      <c r="AB27" s="214">
        <f>IF(X28&gt;50,50,X28)</f>
        <v>19</v>
      </c>
      <c r="AC27" s="173">
        <f>AA27*AB27</f>
        <v>3154</v>
      </c>
      <c r="AD27" s="5" t="s">
        <v>945</v>
      </c>
      <c r="AE27" s="190">
        <f>[1]Eco!$F$9</f>
        <v>24.3</v>
      </c>
      <c r="AF27" s="214">
        <f>IF(X30&gt;500,500,X30)</f>
        <v>304</v>
      </c>
      <c r="AG27" s="214">
        <f>AE27*AF27</f>
        <v>7387.2</v>
      </c>
      <c r="AI27" s="190">
        <f>[1]Eco!$B$11</f>
        <v>15</v>
      </c>
      <c r="AJ27" s="173">
        <f>IF(X32&gt;400,400,X32)</f>
        <v>0</v>
      </c>
      <c r="AK27" s="173">
        <f>AI27*AJ27</f>
        <v>0</v>
      </c>
      <c r="AL27" s="172"/>
      <c r="AM27" s="14" t="s">
        <v>946</v>
      </c>
      <c r="AN27" s="190">
        <f>[1]Eco!$B$14</f>
        <v>77</v>
      </c>
      <c r="AO27" s="173">
        <f>IF(X29&gt;30,30,X29)</f>
        <v>0</v>
      </c>
      <c r="AP27" s="173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72"/>
      <c r="H28" s="172"/>
      <c r="I28" s="172"/>
      <c r="J28" s="172"/>
      <c r="K28" s="173"/>
      <c r="L28" s="173"/>
      <c r="M28" s="173"/>
      <c r="N28" s="173"/>
      <c r="O28" s="210"/>
      <c r="Q28" s="14" t="s">
        <v>473</v>
      </c>
      <c r="R28" s="173">
        <f>IF(Troupeau!B$3="BV",Troupeau!B$17,0)</f>
        <v>0</v>
      </c>
      <c r="S28" s="173">
        <f>IF(Troupeau!C$3="BV",Troupeau!C$17,0)</f>
        <v>19</v>
      </c>
      <c r="T28" s="173">
        <f>IF(Troupeau!D$3="BV",Troupeau!D$17,0)</f>
        <v>0</v>
      </c>
      <c r="U28" s="173">
        <f>IF(Troupeau!E$3="BV",Troupeau!E$17,0)</f>
        <v>0</v>
      </c>
      <c r="V28" s="173">
        <f>SUM(R28:U28)</f>
        <v>19</v>
      </c>
      <c r="W28" s="14" t="s">
        <v>473</v>
      </c>
      <c r="X28" s="173">
        <f>V28/$T$25</f>
        <v>19</v>
      </c>
      <c r="Z28" s="14" t="s">
        <v>947</v>
      </c>
      <c r="AA28" s="190">
        <f>[1]Eco!$F$5</f>
        <v>121</v>
      </c>
      <c r="AB28" s="214">
        <f>IF(X28&lt;51,0,IF(X28&gt;99,49,X28-50))</f>
        <v>0</v>
      </c>
      <c r="AC28" s="173">
        <f t="shared" ref="AC28:AC29" si="15">AA28*AB28</f>
        <v>0</v>
      </c>
      <c r="AD28" s="5" t="s">
        <v>948</v>
      </c>
      <c r="AE28" s="190">
        <f>[1]Eco!$F$10</f>
        <v>22.3</v>
      </c>
      <c r="AF28" s="214">
        <f>IF(X30&gt;500,X30-500,0)</f>
        <v>0</v>
      </c>
      <c r="AG28" s="214">
        <f>AE28*AF28</f>
        <v>0</v>
      </c>
      <c r="AJ28" s="40" t="s">
        <v>949</v>
      </c>
      <c r="AK28" s="62">
        <f>AK27*T25</f>
        <v>0</v>
      </c>
      <c r="AL28" s="36"/>
      <c r="AM28" s="14" t="s">
        <v>950</v>
      </c>
      <c r="AN28" s="190">
        <f>[1]Eco!$B$15</f>
        <v>38</v>
      </c>
      <c r="AO28" s="173">
        <f>IF(X29&gt;40,40,X29)</f>
        <v>0</v>
      </c>
      <c r="AP28" s="173">
        <f>AN28*AO28</f>
        <v>0</v>
      </c>
    </row>
    <row r="29" spans="1:143" x14ac:dyDescent="0.25">
      <c r="A29" s="15" t="s">
        <v>951</v>
      </c>
      <c r="B29" s="14"/>
      <c r="C29" s="173">
        <f>IF(Alim_Surf!K9&gt;0,Alim_Surf!K9,0)</f>
        <v>0</v>
      </c>
      <c r="D29" s="190">
        <f>[1]Eco!$C$71</f>
        <v>80</v>
      </c>
      <c r="E29" s="172"/>
      <c r="F29" s="172"/>
      <c r="G29" s="172"/>
      <c r="H29" s="172"/>
      <c r="I29" s="172"/>
      <c r="J29" s="173">
        <f>IF(C29&gt;0,C29*D29,0)</f>
        <v>0</v>
      </c>
      <c r="K29" s="173"/>
      <c r="L29" s="173"/>
      <c r="M29" s="173"/>
      <c r="N29" s="173"/>
      <c r="O29" s="210"/>
      <c r="Q29" s="14" t="s">
        <v>504</v>
      </c>
      <c r="R29" s="173">
        <f>IF(Troupeau!B$3="BL",Troupeau!B$17,0)</f>
        <v>0</v>
      </c>
      <c r="S29" s="173">
        <f>IF(Troupeau!C$3="BL",Troupeau!C$17,0)</f>
        <v>0</v>
      </c>
      <c r="T29" s="173">
        <f>IF(Troupeau!D$3="BL",Troupeau!D$17,0)</f>
        <v>0</v>
      </c>
      <c r="U29" s="173">
        <f>IF(Troupeau!E$3="BL",Troupeau!E$17,0)</f>
        <v>0</v>
      </c>
      <c r="V29" s="173">
        <f t="shared" ref="V29:V32" si="16">SUM(R29:U29)</f>
        <v>0</v>
      </c>
      <c r="W29" s="14" t="s">
        <v>504</v>
      </c>
      <c r="X29" s="173">
        <f>V29/$T$25</f>
        <v>0</v>
      </c>
      <c r="Z29" s="14" t="s">
        <v>952</v>
      </c>
      <c r="AA29" s="190">
        <f>[1]Eco!$F$6</f>
        <v>62</v>
      </c>
      <c r="AB29" s="214">
        <f>IF(X28&gt;139,40,IF(X28&gt;99,X28-99,0))</f>
        <v>0</v>
      </c>
      <c r="AC29" s="173">
        <f t="shared" si="15"/>
        <v>0</v>
      </c>
      <c r="AF29" s="40" t="s">
        <v>949</v>
      </c>
      <c r="AG29" s="62">
        <f>SUM(AG27:AG28)*T25</f>
        <v>7387.2</v>
      </c>
      <c r="AO29" s="40" t="s">
        <v>949</v>
      </c>
      <c r="AP29" s="62">
        <f>IF(Scénario!K10=1,'Calcul éco'!AP27,'Calcul éco'!AP28)*T25</f>
        <v>0</v>
      </c>
    </row>
    <row r="30" spans="1:143" x14ac:dyDescent="0.25">
      <c r="A30" s="15" t="s">
        <v>953</v>
      </c>
      <c r="B30" s="172"/>
      <c r="C30" s="173">
        <f>IF(Alim_Surf!K27&gt;0,Alim_Surf!K27,0)</f>
        <v>0</v>
      </c>
      <c r="D30" s="190">
        <f>[1]Eco!$C$72</f>
        <v>135</v>
      </c>
      <c r="E30" s="172"/>
      <c r="F30" s="172"/>
      <c r="G30" s="172"/>
      <c r="H30" s="172"/>
      <c r="I30" s="172"/>
      <c r="J30" s="173">
        <f t="shared" ref="J30" si="17">IF(C30&gt;0,C30*D30,0)</f>
        <v>0</v>
      </c>
      <c r="K30" s="173"/>
      <c r="L30" s="173"/>
      <c r="M30" s="173"/>
      <c r="N30" s="173"/>
      <c r="O30" s="210"/>
      <c r="Q30" s="14" t="s">
        <v>472</v>
      </c>
      <c r="R30" s="173">
        <f>IF(Troupeau!B$3="OL",Troupeau!B$17,0)</f>
        <v>304</v>
      </c>
      <c r="S30" s="173">
        <f>IF(Troupeau!C$3="OL",Troupeau!C$17,0)</f>
        <v>0</v>
      </c>
      <c r="T30" s="173">
        <f>IF(Troupeau!D$3="OL",Troupeau!D$17,0)</f>
        <v>0</v>
      </c>
      <c r="U30" s="173">
        <f>IF(Troupeau!E$3="OL",Troupeau!E$17,0)</f>
        <v>0</v>
      </c>
      <c r="V30" s="173">
        <f t="shared" si="16"/>
        <v>304</v>
      </c>
      <c r="W30" s="14" t="s">
        <v>954</v>
      </c>
      <c r="X30" s="173">
        <f>(V30+V31)/$T$25</f>
        <v>304</v>
      </c>
      <c r="AB30" s="40" t="s">
        <v>949</v>
      </c>
      <c r="AC30" s="62">
        <f>SUM(AC27:AC29)*T25</f>
        <v>3154</v>
      </c>
    </row>
    <row r="31" spans="1:143" s="5" customFormat="1" x14ac:dyDescent="0.25">
      <c r="B31" s="18"/>
      <c r="D31" s="18"/>
      <c r="J31"/>
      <c r="K31"/>
      <c r="L31"/>
      <c r="M31"/>
      <c r="N31"/>
      <c r="O31" s="208"/>
      <c r="P31"/>
      <c r="Q31" s="14" t="s">
        <v>955</v>
      </c>
      <c r="R31" s="173">
        <f>IF(Troupeau!B$3="OV",Troupeau!B$17,0)</f>
        <v>0</v>
      </c>
      <c r="S31" s="173">
        <f>IF(Troupeau!C$3="OV",Troupeau!C$17,0)</f>
        <v>0</v>
      </c>
      <c r="T31" s="173">
        <f>IF(Troupeau!D$3="OV",Troupeau!D$17,0)</f>
        <v>0</v>
      </c>
      <c r="U31" s="173">
        <f>IF(Troupeau!E$3="OV",Troupeau!E$17,0)</f>
        <v>0</v>
      </c>
      <c r="V31" s="173">
        <f t="shared" si="16"/>
        <v>0</v>
      </c>
      <c r="W31" s="14"/>
      <c r="X31" s="172"/>
      <c r="Y31"/>
      <c r="Z31"/>
      <c r="AA31"/>
      <c r="AB31"/>
      <c r="AC31"/>
      <c r="AD31"/>
      <c r="AE31" s="280"/>
      <c r="AF31" s="280"/>
      <c r="AG31" s="284" t="s">
        <v>1430</v>
      </c>
      <c r="AH31" s="284"/>
      <c r="AI31" s="284"/>
      <c r="AJ31" s="284" t="s">
        <v>1431</v>
      </c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956</v>
      </c>
      <c r="Q32" s="14" t="s">
        <v>957</v>
      </c>
      <c r="R32" s="173">
        <f>IF(Troupeau!B$3="CP",Troupeau!B$17,0)</f>
        <v>0</v>
      </c>
      <c r="S32" s="173">
        <f>IF(Troupeau!C$3="CP",Troupeau!C$17,0)</f>
        <v>0</v>
      </c>
      <c r="T32" s="173">
        <f>IF(Troupeau!D$3="CP",Troupeau!D$17,0)</f>
        <v>0</v>
      </c>
      <c r="U32" s="173">
        <f>IF(Troupeau!E$3="CP",Troupeau!E$17,0)</f>
        <v>0</v>
      </c>
      <c r="V32" s="173">
        <f t="shared" si="16"/>
        <v>0</v>
      </c>
      <c r="W32" s="14" t="s">
        <v>957</v>
      </c>
      <c r="X32" s="173">
        <f>V32/T25</f>
        <v>0</v>
      </c>
      <c r="AE32" s="280"/>
      <c r="AF32" s="280"/>
      <c r="AG32" s="280" t="s">
        <v>1432</v>
      </c>
      <c r="AH32" s="280" t="s">
        <v>1433</v>
      </c>
      <c r="AI32" s="280" t="s">
        <v>169</v>
      </c>
      <c r="AJ32" s="280" t="s">
        <v>1434</v>
      </c>
    </row>
    <row r="33" spans="1:143" x14ac:dyDescent="0.25">
      <c r="A33" s="2" t="s">
        <v>958</v>
      </c>
      <c r="Q33" s="171"/>
      <c r="R33" s="171"/>
      <c r="S33" s="171"/>
      <c r="T33" s="171"/>
      <c r="U33" s="171"/>
      <c r="X33" s="172"/>
      <c r="AE33" s="280"/>
      <c r="AF33" s="280" t="s">
        <v>473</v>
      </c>
      <c r="AG33" s="280">
        <f>V28</f>
        <v>19</v>
      </c>
      <c r="AH33" s="280">
        <f>ROUND(AG33*0.24,0)</f>
        <v>5</v>
      </c>
      <c r="AI33" s="280">
        <f>AG33+AH33*1.5*0.6</f>
        <v>23.5</v>
      </c>
      <c r="AJ33" s="280"/>
    </row>
    <row r="34" spans="1:143" x14ac:dyDescent="0.25">
      <c r="A34" t="s">
        <v>959</v>
      </c>
      <c r="J34" s="173">
        <f>AC30</f>
        <v>3154</v>
      </c>
      <c r="K34" s="173"/>
      <c r="L34" s="173"/>
      <c r="M34" s="173"/>
      <c r="N34" s="173"/>
      <c r="O34" s="210"/>
      <c r="Q34" s="204" t="s">
        <v>960</v>
      </c>
      <c r="R34" s="173">
        <f>AB228</f>
        <v>0</v>
      </c>
      <c r="S34" s="171"/>
      <c r="T34" s="152"/>
      <c r="U34" s="171"/>
      <c r="X34" s="172"/>
      <c r="AB34" s="14"/>
      <c r="AE34" s="280"/>
      <c r="AF34" s="280" t="s">
        <v>504</v>
      </c>
      <c r="AG34" s="280">
        <f t="shared" ref="AG34:AG35" si="18">V29</f>
        <v>0</v>
      </c>
      <c r="AH34" s="280">
        <f>ROUND(AG34*0.3,0)</f>
        <v>0</v>
      </c>
      <c r="AI34" s="280">
        <f t="shared" ref="AI34" si="19">AG34+AH34*1.5*0.6</f>
        <v>0</v>
      </c>
      <c r="AJ34" s="280"/>
    </row>
    <row r="35" spans="1:143" x14ac:dyDescent="0.25">
      <c r="A35" t="s">
        <v>961</v>
      </c>
      <c r="J35" s="173">
        <f>AP29</f>
        <v>0</v>
      </c>
      <c r="K35" s="173"/>
      <c r="L35" s="173"/>
      <c r="M35" s="173"/>
      <c r="N35" s="173"/>
      <c r="O35" s="210"/>
      <c r="X35" s="2" t="s">
        <v>962</v>
      </c>
      <c r="Y35" s="14" t="s">
        <v>963</v>
      </c>
      <c r="Z35" s="62" t="str">
        <f>Scénario!K9</f>
        <v>M1</v>
      </c>
      <c r="AE35" s="280"/>
      <c r="AF35" s="280" t="s">
        <v>472</v>
      </c>
      <c r="AG35" s="280">
        <f t="shared" si="18"/>
        <v>304</v>
      </c>
      <c r="AH35" s="280"/>
      <c r="AI35" s="280">
        <f>AG35*0.15</f>
        <v>45.6</v>
      </c>
      <c r="AJ35" s="280"/>
    </row>
    <row r="36" spans="1:143" x14ac:dyDescent="0.25">
      <c r="A36" t="s">
        <v>964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965</v>
      </c>
      <c r="Z36" s="62" t="str">
        <f>IF(Y53&gt;50,CONCATENATE(Z35,"O"),Z35)</f>
        <v>M1O</v>
      </c>
      <c r="AA36" s="5"/>
      <c r="AB36" s="14" t="s">
        <v>966</v>
      </c>
      <c r="AC36" s="190">
        <f>VLOOKUP(Z36,[1]Eco!$A$36:$B$45,2)</f>
        <v>258</v>
      </c>
      <c r="AD36" s="5"/>
      <c r="AE36" s="280"/>
      <c r="AF36" s="282" t="s">
        <v>670</v>
      </c>
      <c r="AG36" s="280"/>
      <c r="AH36" s="280"/>
      <c r="AI36" s="280">
        <f>SUM(AI33:AI35)</f>
        <v>69.099999999999994</v>
      </c>
      <c r="AJ36" s="282">
        <f>ROUND(AI36/V46,2)</f>
        <v>0.73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967</v>
      </c>
      <c r="J37" s="173">
        <f>AG29</f>
        <v>7387.2</v>
      </c>
      <c r="K37" s="173"/>
      <c r="L37" s="173"/>
      <c r="M37" s="173"/>
      <c r="N37" s="173"/>
      <c r="O37" s="210"/>
      <c r="S37" s="40" t="s">
        <v>968</v>
      </c>
      <c r="T37" t="s">
        <v>969</v>
      </c>
      <c r="U37" t="s">
        <v>970</v>
      </c>
      <c r="V37" t="s">
        <v>971</v>
      </c>
      <c r="X37" s="172"/>
      <c r="AB37" s="171" t="s">
        <v>972</v>
      </c>
      <c r="AC37" s="171" t="s">
        <v>938</v>
      </c>
      <c r="AD37" s="171" t="s">
        <v>712</v>
      </c>
      <c r="AE37" s="281" t="s">
        <v>1435</v>
      </c>
      <c r="AF37" s="280"/>
      <c r="AG37" s="280"/>
      <c r="AH37" s="280"/>
      <c r="AI37" s="280"/>
      <c r="AJ37" s="284" t="s">
        <v>1436</v>
      </c>
    </row>
    <row r="38" spans="1:143" x14ac:dyDescent="0.25">
      <c r="A38" t="s">
        <v>973</v>
      </c>
      <c r="J38" s="173">
        <f>AK28</f>
        <v>0</v>
      </c>
      <c r="K38" s="173"/>
      <c r="L38" s="173"/>
      <c r="M38" s="173"/>
      <c r="N38" s="173"/>
      <c r="O38" s="210"/>
      <c r="S38" s="14" t="s">
        <v>974</v>
      </c>
      <c r="T38" s="173">
        <f>SUM(Alim_Surf!E34:E43)</f>
        <v>1</v>
      </c>
      <c r="U38" s="173">
        <v>1</v>
      </c>
      <c r="V38" s="173">
        <f>T38*U38</f>
        <v>1</v>
      </c>
      <c r="Y38" s="14" t="s">
        <v>975</v>
      </c>
      <c r="Z38" s="30">
        <f>V46</f>
        <v>94.88</v>
      </c>
      <c r="AA38" s="14" t="s">
        <v>976</v>
      </c>
      <c r="AB38" s="173">
        <f>IF(Z39&gt;25, 25,Z39)</f>
        <v>25</v>
      </c>
      <c r="AC38" s="173">
        <f>AC40+AC36</f>
        <v>328</v>
      </c>
      <c r="AD38" s="173">
        <f>AB38*AC38</f>
        <v>8200</v>
      </c>
      <c r="AE38" s="282">
        <f>IF($AJ$40=0,AB38*$AC$40,AD38*$AJ$40/100)</f>
        <v>8200</v>
      </c>
      <c r="AF38" s="280"/>
      <c r="AG38" s="280"/>
      <c r="AH38" s="280"/>
      <c r="AI38" s="285" t="s">
        <v>1437</v>
      </c>
      <c r="AJ38" s="282">
        <f>VLOOKUP(Z35,[1]Eco!$I$37:$K$41,2)</f>
        <v>1.7</v>
      </c>
    </row>
    <row r="39" spans="1:143" x14ac:dyDescent="0.25">
      <c r="A39" t="s">
        <v>977</v>
      </c>
      <c r="B39" s="30">
        <f>R34</f>
        <v>0</v>
      </c>
      <c r="C39" s="215">
        <f>[1]Eco!$B$17</f>
        <v>141</v>
      </c>
      <c r="J39" s="173">
        <f>B39*C39</f>
        <v>0</v>
      </c>
      <c r="K39" s="173"/>
      <c r="L39" s="173"/>
      <c r="M39" s="173"/>
      <c r="N39" s="173"/>
      <c r="O39" s="210"/>
      <c r="S39" s="14" t="s">
        <v>268</v>
      </c>
      <c r="T39" s="173">
        <f>Alim_Surf!O7</f>
        <v>18.7</v>
      </c>
      <c r="U39" s="173">
        <f>[1]Eco!$B$20/100</f>
        <v>1</v>
      </c>
      <c r="V39" s="173">
        <f t="shared" ref="V39:V41" si="20">T39*U39</f>
        <v>18.7</v>
      </c>
      <c r="Y39" s="14" t="s">
        <v>978</v>
      </c>
      <c r="Z39" s="30">
        <f>Z38/T25</f>
        <v>94.88</v>
      </c>
      <c r="AA39" s="14" t="s">
        <v>979</v>
      </c>
      <c r="AB39" s="173">
        <f>IF(Z39&gt;50,25,IF(Z39&gt;25,Z39-25,0))</f>
        <v>25</v>
      </c>
      <c r="AC39" s="173">
        <f>AC40+0.66*AC36</f>
        <v>240.28</v>
      </c>
      <c r="AD39" s="173">
        <f t="shared" ref="AD39:AD40" si="21">AB39*AC39</f>
        <v>6007</v>
      </c>
      <c r="AE39" s="282">
        <f>IF($AJ$40=0,AB39*$AC$40,AD39*$AJ$40/100)</f>
        <v>6007</v>
      </c>
      <c r="AF39" s="280"/>
      <c r="AG39" s="280"/>
      <c r="AH39" s="280"/>
      <c r="AI39" s="285" t="s">
        <v>1438</v>
      </c>
      <c r="AJ39" s="282">
        <f>VLOOKUP(Z36,[1]Eco!$I$37:$K$41,3)</f>
        <v>2.5</v>
      </c>
    </row>
    <row r="40" spans="1:143" x14ac:dyDescent="0.25">
      <c r="A40" t="s">
        <v>561</v>
      </c>
      <c r="B40" s="30">
        <f>Scénario!K38</f>
        <v>0</v>
      </c>
      <c r="C40" s="215">
        <f>[1]Eco!$B$18</f>
        <v>35</v>
      </c>
      <c r="J40" s="173">
        <f>B40*C40</f>
        <v>0</v>
      </c>
      <c r="K40" s="173"/>
      <c r="L40" s="173"/>
      <c r="M40" s="173"/>
      <c r="N40" s="173"/>
      <c r="O40" s="210"/>
      <c r="S40" s="14" t="s">
        <v>269</v>
      </c>
      <c r="T40" s="173">
        <f>Alim_Surf!O29</f>
        <v>9.3000000000000007</v>
      </c>
      <c r="U40" s="173">
        <f>[1]Eco!$B$21/100</f>
        <v>1</v>
      </c>
      <c r="V40" s="173">
        <f t="shared" si="20"/>
        <v>9.3000000000000007</v>
      </c>
      <c r="AA40" s="14" t="s">
        <v>980</v>
      </c>
      <c r="AB40" s="173">
        <f>IF(Z39&gt;75,25,IF(Z39&gt;50,Z39-50,0))</f>
        <v>25</v>
      </c>
      <c r="AC40" s="190">
        <f>[1]Eco!$B$34</f>
        <v>70</v>
      </c>
      <c r="AD40" s="173">
        <f t="shared" si="21"/>
        <v>1750</v>
      </c>
      <c r="AE40" s="282">
        <f>IF($AJ$40=0,AB40*$AC$40,AD40*$AJ$40/100)</f>
        <v>1750</v>
      </c>
      <c r="AF40" s="280"/>
      <c r="AG40" s="280"/>
      <c r="AH40" s="280"/>
      <c r="AI40" s="285" t="s">
        <v>1439</v>
      </c>
      <c r="AJ40" s="282">
        <f>IF(AJ36&lt;=AJ38,100,IF(AJ36&lt;=AJ39,90,0))</f>
        <v>100</v>
      </c>
    </row>
    <row r="41" spans="1:143" x14ac:dyDescent="0.25">
      <c r="A41" s="23" t="s">
        <v>981</v>
      </c>
      <c r="B41" s="5"/>
      <c r="C41" s="5"/>
      <c r="D41" s="5"/>
      <c r="E41" s="5"/>
      <c r="F41" s="5"/>
      <c r="G41" s="5"/>
      <c r="H41" s="5"/>
      <c r="I41" s="5"/>
      <c r="J41" s="172"/>
      <c r="K41" s="172"/>
      <c r="L41" s="172"/>
      <c r="M41" s="172"/>
      <c r="N41" s="172"/>
      <c r="O41" s="210"/>
      <c r="S41" s="14" t="s">
        <v>270</v>
      </c>
      <c r="T41" s="173">
        <f>Alim_Surf!O51</f>
        <v>11.1</v>
      </c>
      <c r="U41" s="173">
        <f>[1]Eco!$B$22/100</f>
        <v>0.6</v>
      </c>
      <c r="V41" s="173">
        <f t="shared" si="20"/>
        <v>6.6599999999999993</v>
      </c>
      <c r="AC41" s="40" t="s">
        <v>949</v>
      </c>
      <c r="AD41" s="62">
        <f>SUM(AD38:AD40)*T25</f>
        <v>15957</v>
      </c>
      <c r="AE41" s="283">
        <f>ROUND(SUM(AE38:AE40)*T25,0)</f>
        <v>15957</v>
      </c>
      <c r="AF41" s="280"/>
      <c r="AG41" s="280"/>
      <c r="AH41" s="280"/>
      <c r="AI41" s="280"/>
      <c r="AJ41" s="280"/>
    </row>
    <row r="42" spans="1:143" x14ac:dyDescent="0.25">
      <c r="A42" t="s">
        <v>982</v>
      </c>
      <c r="B42" s="30">
        <f>V46</f>
        <v>94.88</v>
      </c>
      <c r="C42" s="215">
        <f>[1]Eco!$B$24</f>
        <v>97</v>
      </c>
      <c r="J42" s="173">
        <f>B42*C42</f>
        <v>9203.3599999999988</v>
      </c>
      <c r="K42" s="173"/>
      <c r="L42" s="173"/>
      <c r="M42" s="173"/>
      <c r="N42" s="173"/>
      <c r="O42" s="210"/>
      <c r="R42" s="216"/>
      <c r="S42" s="211" t="s">
        <v>983</v>
      </c>
      <c r="T42" s="173">
        <f>AA228</f>
        <v>0</v>
      </c>
      <c r="X42" s="217"/>
      <c r="Y42" s="217"/>
      <c r="Z42" s="217"/>
      <c r="AA42" s="217"/>
      <c r="AB42" s="217"/>
      <c r="AC42" s="217"/>
      <c r="AD42" s="217"/>
      <c r="AE42" s="217"/>
      <c r="AF42" s="217" t="s">
        <v>984</v>
      </c>
      <c r="AG42" s="217" t="s">
        <v>985</v>
      </c>
      <c r="AH42" s="217"/>
      <c r="AI42" s="217"/>
      <c r="AJ42" s="217"/>
      <c r="AK42" s="217"/>
      <c r="AL42" s="217"/>
      <c r="AM42" s="217"/>
      <c r="AN42" s="217"/>
      <c r="AO42" s="217"/>
      <c r="AP42" s="217"/>
      <c r="AQ42" s="217"/>
      <c r="AR42" s="217"/>
      <c r="AS42" s="217"/>
      <c r="AT42" s="217"/>
      <c r="AU42" s="217"/>
      <c r="AV42" s="217"/>
      <c r="AW42" s="217"/>
      <c r="AX42" s="217"/>
      <c r="AY42" s="217"/>
      <c r="AZ42" s="217"/>
      <c r="BA42" s="217"/>
      <c r="BB42" s="217"/>
      <c r="BC42" s="217"/>
      <c r="BD42" s="217"/>
      <c r="BE42" s="217"/>
      <c r="BF42" s="217"/>
      <c r="BG42" s="218"/>
      <c r="BH42" s="217"/>
      <c r="BI42" s="217"/>
      <c r="BJ42" s="217"/>
      <c r="BK42" s="217"/>
      <c r="BL42" s="217"/>
      <c r="BM42" s="217"/>
      <c r="BN42" s="217"/>
      <c r="BO42" s="217"/>
      <c r="BP42" s="217"/>
      <c r="BQ42" s="217"/>
      <c r="BR42" s="217"/>
      <c r="BS42" s="217"/>
      <c r="BT42" s="217"/>
      <c r="BU42" s="217"/>
      <c r="BV42" s="217"/>
      <c r="BW42" s="217"/>
      <c r="BX42" s="217"/>
      <c r="BY42" s="217"/>
      <c r="BZ42" s="217"/>
      <c r="CA42" s="217"/>
      <c r="CB42" s="217"/>
      <c r="CC42" s="217"/>
      <c r="CD42" s="217"/>
      <c r="CE42" s="217"/>
      <c r="CF42" s="217"/>
      <c r="CG42" s="217"/>
      <c r="CH42" s="217"/>
      <c r="CI42" s="217"/>
      <c r="CJ42" s="217"/>
      <c r="CK42" s="217"/>
      <c r="CL42" s="217"/>
      <c r="CM42" s="217"/>
      <c r="CN42" s="217"/>
      <c r="CO42" s="217"/>
      <c r="CP42" s="217"/>
      <c r="CQ42" s="217"/>
      <c r="CR42" s="217"/>
      <c r="CS42" s="217"/>
      <c r="CT42" s="217"/>
      <c r="CU42" s="217"/>
      <c r="CV42" s="217"/>
      <c r="CW42" s="217"/>
      <c r="CX42" s="217"/>
      <c r="CY42" s="217"/>
      <c r="CZ42" s="217"/>
      <c r="DA42" s="217"/>
      <c r="DB42" s="217"/>
      <c r="DC42" s="217"/>
      <c r="DD42" s="217"/>
      <c r="DE42" s="217"/>
      <c r="DF42" s="217"/>
      <c r="DG42" s="217"/>
      <c r="DH42" s="217"/>
      <c r="DI42" s="217"/>
      <c r="DJ42" s="217"/>
      <c r="DK42" s="217"/>
      <c r="DL42" s="217"/>
      <c r="DM42" s="217"/>
      <c r="DN42" s="217"/>
      <c r="DO42" s="217"/>
      <c r="DP42" s="217"/>
      <c r="DQ42" s="217"/>
      <c r="DR42" s="217"/>
      <c r="DS42" s="217"/>
      <c r="DT42" s="217"/>
      <c r="DU42" s="217"/>
      <c r="DV42" s="217"/>
      <c r="DW42" s="217"/>
      <c r="DX42" s="217"/>
      <c r="DY42" s="217"/>
      <c r="DZ42" s="217"/>
      <c r="EA42" s="217"/>
      <c r="EB42" s="217"/>
      <c r="EC42" s="217"/>
      <c r="ED42" s="217"/>
      <c r="EE42" s="217"/>
      <c r="EF42" s="217"/>
      <c r="EG42" s="217"/>
      <c r="EH42" s="217"/>
      <c r="EI42" s="217"/>
      <c r="EJ42" s="217"/>
    </row>
    <row r="43" spans="1:143" x14ac:dyDescent="0.25">
      <c r="A43" s="5" t="s">
        <v>986</v>
      </c>
      <c r="B43" s="30">
        <f>IF(Z39&gt;52,52,Z39)*T25</f>
        <v>52</v>
      </c>
      <c r="C43" s="215">
        <f>[1]Eco!$B$31</f>
        <v>49</v>
      </c>
      <c r="D43" s="5"/>
      <c r="E43" s="5"/>
      <c r="F43" s="5"/>
      <c r="G43" s="5"/>
      <c r="H43" s="5"/>
      <c r="I43" s="5"/>
      <c r="J43" s="173">
        <f>B43*C43</f>
        <v>2548</v>
      </c>
      <c r="K43" s="173"/>
      <c r="L43" s="173"/>
      <c r="M43" s="173"/>
      <c r="N43" s="173"/>
      <c r="O43" s="210"/>
      <c r="X43" s="217"/>
      <c r="Y43" s="217"/>
      <c r="Z43" s="217"/>
      <c r="AA43" s="217"/>
      <c r="AB43" s="217"/>
      <c r="AC43" s="217"/>
      <c r="AD43" s="217"/>
      <c r="AE43" s="217"/>
      <c r="AF43" s="217"/>
      <c r="AG43" s="217"/>
      <c r="AH43" s="217"/>
      <c r="AI43" s="217"/>
      <c r="AJ43" s="217"/>
      <c r="AK43" s="217"/>
      <c r="AL43" s="217"/>
      <c r="AM43" s="217"/>
      <c r="AN43" s="217"/>
      <c r="AO43" s="217"/>
      <c r="AP43" s="217"/>
      <c r="AQ43" s="217"/>
      <c r="AR43" s="217"/>
      <c r="AS43" s="217"/>
      <c r="AT43" s="217"/>
      <c r="AU43" s="217"/>
      <c r="AV43" s="217"/>
      <c r="AW43" s="217"/>
      <c r="AX43" s="217"/>
      <c r="AY43" s="217"/>
      <c r="AZ43" s="217"/>
      <c r="BA43" s="217"/>
      <c r="BB43" s="217"/>
      <c r="BC43" s="217"/>
      <c r="BD43" s="217"/>
      <c r="BE43" s="217"/>
      <c r="BF43" s="217"/>
      <c r="BG43" s="218"/>
      <c r="BH43" s="217"/>
      <c r="BI43" s="217"/>
      <c r="BJ43" s="217"/>
      <c r="BK43" s="217"/>
      <c r="BL43" s="217"/>
      <c r="BM43" s="217"/>
      <c r="BN43" s="217"/>
      <c r="BO43" s="217"/>
      <c r="BP43" s="217"/>
      <c r="BQ43" s="217"/>
      <c r="BR43" s="217"/>
      <c r="BS43" s="217"/>
      <c r="BT43" s="217"/>
      <c r="BU43" s="217"/>
      <c r="BV43" s="217"/>
      <c r="BW43" s="217"/>
      <c r="BX43" s="217"/>
      <c r="BY43" s="217"/>
      <c r="BZ43" s="217"/>
      <c r="CA43" s="217"/>
      <c r="CB43" s="217"/>
      <c r="CC43" s="217"/>
      <c r="CD43" s="217"/>
      <c r="CE43" s="217"/>
      <c r="CF43" s="217"/>
      <c r="CG43" s="217"/>
      <c r="CH43" s="217"/>
      <c r="CI43" s="217"/>
      <c r="CJ43" s="217"/>
      <c r="CK43" s="217"/>
      <c r="CL43" s="217"/>
      <c r="CM43" s="217"/>
      <c r="CN43" s="217"/>
      <c r="CO43" s="217"/>
      <c r="CP43" s="217"/>
      <c r="CQ43" s="217"/>
      <c r="CR43" s="217"/>
      <c r="CS43" s="217"/>
      <c r="CT43" s="217"/>
      <c r="CU43" s="217"/>
      <c r="CV43" s="217"/>
      <c r="CW43" s="217"/>
      <c r="CX43" s="217"/>
      <c r="CY43" s="217"/>
      <c r="CZ43" s="217"/>
      <c r="DA43" s="217"/>
      <c r="DB43" s="217"/>
      <c r="DC43" s="217"/>
      <c r="DD43" s="217"/>
      <c r="DE43" s="217"/>
      <c r="DF43" s="217"/>
      <c r="DG43" s="217"/>
      <c r="DH43" s="217"/>
      <c r="DI43" s="217"/>
      <c r="DJ43" s="217"/>
      <c r="DK43" s="217"/>
      <c r="DL43" s="217"/>
      <c r="DM43" s="217"/>
      <c r="DN43" s="217"/>
      <c r="DO43" s="217"/>
      <c r="DP43" s="217"/>
      <c r="DQ43" s="217"/>
      <c r="DR43" s="217"/>
      <c r="DS43" s="217"/>
      <c r="DT43" s="217"/>
      <c r="DU43" s="217"/>
      <c r="DV43" s="217"/>
      <c r="DW43" s="217"/>
      <c r="DX43" s="217"/>
      <c r="DY43" s="217"/>
      <c r="DZ43" s="217"/>
      <c r="EA43" s="217"/>
      <c r="EB43" s="217"/>
      <c r="EC43" s="217"/>
      <c r="ED43" s="217"/>
      <c r="EE43" s="217"/>
      <c r="EF43" s="217"/>
      <c r="EG43" s="217"/>
      <c r="EH43" s="217"/>
      <c r="EI43" s="217"/>
      <c r="EJ43" s="217"/>
    </row>
    <row r="44" spans="1:143" x14ac:dyDescent="0.25">
      <c r="A44" s="5" t="s">
        <v>987</v>
      </c>
      <c r="B44" s="30">
        <f>B42</f>
        <v>94.88</v>
      </c>
      <c r="C44" s="215">
        <f>[1]Eco!$B$29</f>
        <v>67</v>
      </c>
      <c r="D44" s="5"/>
      <c r="E44" s="5"/>
      <c r="F44" s="5"/>
      <c r="G44" s="5"/>
      <c r="H44" s="5"/>
      <c r="I44" s="5"/>
      <c r="J44" s="173">
        <f>B44*C44</f>
        <v>6356.96</v>
      </c>
      <c r="K44" s="173"/>
      <c r="L44" s="173"/>
      <c r="M44" s="173"/>
      <c r="N44" s="173"/>
      <c r="O44" s="210"/>
      <c r="U44" s="40" t="s">
        <v>988</v>
      </c>
      <c r="V44" s="62">
        <f>SUM(V38:V41)-T42</f>
        <v>35.659999999999997</v>
      </c>
      <c r="X44" s="217"/>
      <c r="Y44" s="217"/>
      <c r="Z44" s="217"/>
      <c r="AA44" s="217"/>
      <c r="AB44" s="217"/>
      <c r="AC44" s="217"/>
      <c r="AD44" s="217"/>
      <c r="AE44" s="217"/>
      <c r="AF44" s="217"/>
      <c r="AG44" s="217"/>
      <c r="AH44" s="217"/>
      <c r="AI44" s="217"/>
      <c r="AJ44" s="217"/>
      <c r="AK44" s="217"/>
      <c r="AL44" s="217"/>
      <c r="AM44" s="217"/>
      <c r="AN44" s="217"/>
      <c r="AO44" s="217"/>
      <c r="AP44" s="217"/>
      <c r="AQ44" s="217"/>
      <c r="AR44" s="217"/>
      <c r="AS44" s="217"/>
      <c r="AT44" s="217"/>
      <c r="AU44" s="217"/>
      <c r="AV44" s="217"/>
      <c r="AW44" s="217"/>
      <c r="AX44" s="217"/>
      <c r="AY44" s="217"/>
      <c r="AZ44" s="217"/>
      <c r="BA44" s="217"/>
      <c r="BB44" s="217"/>
      <c r="BC44" s="217"/>
      <c r="BD44" s="217"/>
      <c r="BE44" s="217"/>
      <c r="BF44" s="217"/>
      <c r="BG44" s="218"/>
      <c r="BH44" s="217"/>
      <c r="BI44" s="217"/>
      <c r="BJ44" s="217"/>
      <c r="BK44" s="217"/>
      <c r="BL44" s="217"/>
      <c r="BM44" s="217"/>
      <c r="BN44" s="217"/>
      <c r="BO44" s="217"/>
      <c r="BP44" s="217"/>
      <c r="BQ44" s="217"/>
      <c r="BR44" s="217"/>
      <c r="BS44" s="217"/>
      <c r="BT44" s="217"/>
      <c r="BU44" s="217"/>
      <c r="BV44" s="217"/>
      <c r="BW44" s="217"/>
      <c r="BX44" s="217"/>
      <c r="BY44" s="217"/>
      <c r="BZ44" s="217"/>
      <c r="CA44" s="217"/>
      <c r="CB44" s="217"/>
      <c r="CC44" s="217"/>
      <c r="CD44" s="217"/>
      <c r="CE44" s="217"/>
      <c r="CF44" s="217"/>
      <c r="CG44" s="217"/>
      <c r="CH44" s="217"/>
      <c r="CI44" s="217"/>
      <c r="CJ44" s="217"/>
      <c r="CK44" s="217"/>
      <c r="CL44" s="217"/>
      <c r="CM44" s="217"/>
      <c r="CN44" s="217"/>
      <c r="CO44" s="217"/>
      <c r="CP44" s="217"/>
      <c r="CQ44" s="217"/>
      <c r="CR44" s="217"/>
      <c r="CS44" s="217"/>
      <c r="CT44" s="217"/>
      <c r="CU44" s="217"/>
      <c r="CV44" s="217"/>
      <c r="CW44" s="217"/>
      <c r="CX44" s="217"/>
      <c r="CY44" s="217"/>
      <c r="CZ44" s="217"/>
      <c r="DA44" s="217"/>
      <c r="DB44" s="217"/>
      <c r="DC44" s="217"/>
      <c r="DD44" s="217"/>
      <c r="DE44" s="217"/>
      <c r="DF44" s="217"/>
      <c r="DG44" s="217"/>
      <c r="DH44" s="217"/>
      <c r="DI44" s="217"/>
      <c r="DJ44" s="217"/>
      <c r="DK44" s="217"/>
      <c r="DL44" s="217"/>
      <c r="DM44" s="217"/>
      <c r="DN44" s="217"/>
      <c r="DO44" s="217"/>
      <c r="DP44" s="217"/>
      <c r="DQ44" s="217"/>
      <c r="DR44" s="217"/>
      <c r="DS44" s="217"/>
      <c r="DT44" s="217"/>
      <c r="DU44" s="217"/>
      <c r="DV44" s="217"/>
      <c r="DW44" s="217"/>
      <c r="DX44" s="217"/>
      <c r="DY44" s="217"/>
      <c r="DZ44" s="217"/>
      <c r="EA44" s="217"/>
      <c r="EB44" s="217"/>
      <c r="EC44" s="217"/>
      <c r="ED44" s="217"/>
      <c r="EE44" s="217"/>
      <c r="EF44" s="217"/>
      <c r="EG44" s="217"/>
      <c r="EH44" s="217"/>
      <c r="EI44" s="217"/>
      <c r="EJ44" s="217"/>
    </row>
    <row r="45" spans="1:143" x14ac:dyDescent="0.25">
      <c r="A45" s="2" t="s">
        <v>989</v>
      </c>
      <c r="J45" s="287">
        <f>IF(Scénario!K9=0,0,AE41)</f>
        <v>15957</v>
      </c>
      <c r="K45" s="173"/>
      <c r="L45" s="173"/>
      <c r="M45" s="173"/>
      <c r="N45" s="173"/>
      <c r="O45" s="210"/>
      <c r="U45" s="14" t="s">
        <v>990</v>
      </c>
      <c r="V45" s="173">
        <f>S55</f>
        <v>59.22</v>
      </c>
      <c r="X45" s="217" t="s">
        <v>991</v>
      </c>
      <c r="Y45" s="217"/>
      <c r="Z45" s="217"/>
      <c r="AA45" s="217"/>
      <c r="AB45" s="217"/>
      <c r="AC45" s="217"/>
      <c r="AD45" s="217"/>
      <c r="AE45" s="217"/>
      <c r="AF45" s="219" t="s">
        <v>568</v>
      </c>
      <c r="AG45" s="217"/>
      <c r="AH45" s="217" t="s">
        <v>992</v>
      </c>
      <c r="AI45" s="217"/>
      <c r="AJ45" s="217"/>
      <c r="AK45" s="217"/>
      <c r="AL45" s="217"/>
      <c r="AM45" s="217"/>
      <c r="AN45" s="217"/>
      <c r="AO45" s="217"/>
      <c r="AP45" s="217"/>
      <c r="AQ45" s="217"/>
      <c r="AR45" s="217"/>
      <c r="AS45" s="217"/>
      <c r="AT45" s="217"/>
      <c r="AU45" s="217"/>
      <c r="AV45" s="217"/>
      <c r="AW45" s="217"/>
      <c r="AX45" s="217"/>
      <c r="AY45" s="217"/>
      <c r="AZ45" s="217"/>
      <c r="BA45" s="217"/>
      <c r="BB45" s="217"/>
      <c r="BC45" s="217"/>
      <c r="BD45" s="217"/>
      <c r="BE45" s="217"/>
      <c r="BF45" s="217"/>
      <c r="BG45" s="219" t="s">
        <v>601</v>
      </c>
      <c r="BH45" s="217"/>
      <c r="BI45" s="217" t="s">
        <v>992</v>
      </c>
      <c r="BJ45" s="217"/>
      <c r="BK45" s="217"/>
      <c r="BL45" s="217"/>
      <c r="BM45" s="217"/>
      <c r="BN45" s="217"/>
      <c r="BO45" s="217"/>
      <c r="BP45" s="217"/>
      <c r="BQ45" s="217"/>
      <c r="BR45" s="217"/>
      <c r="BS45" s="217"/>
      <c r="BT45" s="217"/>
      <c r="BU45" s="217"/>
      <c r="BV45" s="217"/>
      <c r="BW45" s="217"/>
      <c r="BX45" s="217"/>
      <c r="BY45" s="217"/>
      <c r="BZ45" s="217"/>
      <c r="CA45" s="217"/>
      <c r="CB45" s="217"/>
      <c r="CC45" s="217"/>
      <c r="CD45" s="217"/>
      <c r="CE45" s="217"/>
      <c r="CF45" s="217"/>
      <c r="CG45" s="217"/>
      <c r="CH45" s="217"/>
      <c r="CI45" s="219" t="s">
        <v>738</v>
      </c>
      <c r="CJ45" s="219"/>
      <c r="CK45" s="219" t="s">
        <v>992</v>
      </c>
      <c r="CL45" s="217"/>
      <c r="CM45" s="217"/>
      <c r="CN45" s="217"/>
      <c r="CO45" s="217"/>
      <c r="CP45" s="217"/>
      <c r="CQ45" s="217"/>
      <c r="CR45" s="217"/>
      <c r="CS45" s="217"/>
      <c r="CT45" s="217"/>
      <c r="CU45" s="217"/>
      <c r="CV45" s="217"/>
      <c r="CW45" s="217"/>
      <c r="CX45" s="217"/>
      <c r="CY45" s="217"/>
      <c r="CZ45" s="217"/>
      <c r="DA45" s="217"/>
      <c r="DB45" s="217"/>
      <c r="DC45" s="217"/>
      <c r="DD45" s="217"/>
      <c r="DE45" s="217"/>
      <c r="DF45" s="217"/>
      <c r="DG45" s="217"/>
      <c r="DH45" s="217"/>
      <c r="DI45" s="217"/>
      <c r="DJ45" s="217"/>
      <c r="DK45" s="219" t="s">
        <v>993</v>
      </c>
      <c r="DL45" s="219"/>
      <c r="DM45" s="219" t="s">
        <v>992</v>
      </c>
      <c r="DN45" s="217"/>
      <c r="DO45" s="217"/>
      <c r="DP45" s="217"/>
      <c r="DQ45" s="217"/>
      <c r="DR45" s="217"/>
      <c r="DS45" s="217"/>
      <c r="DT45" s="217"/>
      <c r="DU45" s="217"/>
      <c r="DV45" s="217"/>
      <c r="DW45" s="217"/>
      <c r="DX45" s="217"/>
      <c r="DY45" s="217"/>
      <c r="DZ45" s="217"/>
      <c r="EA45" s="217"/>
      <c r="EB45" s="217"/>
      <c r="EC45" s="217"/>
      <c r="ED45" s="217"/>
      <c r="EE45" s="217"/>
      <c r="EF45" s="217"/>
      <c r="EG45" s="217"/>
      <c r="EH45" s="217"/>
      <c r="EI45" s="217"/>
      <c r="EJ45" s="217"/>
    </row>
    <row r="46" spans="1:143" s="223" customFormat="1" x14ac:dyDescent="0.25">
      <c r="A46" s="2" t="s">
        <v>994</v>
      </c>
      <c r="B46"/>
      <c r="C46"/>
      <c r="D46"/>
      <c r="E46"/>
      <c r="F46"/>
      <c r="G46"/>
      <c r="H46"/>
      <c r="I46"/>
      <c r="J46" s="173">
        <f>V263</f>
        <v>10535.2</v>
      </c>
      <c r="K46" s="173"/>
      <c r="L46" s="173"/>
      <c r="M46" s="173"/>
      <c r="N46" s="173"/>
      <c r="O46" s="220"/>
      <c r="P46"/>
      <c r="Q46"/>
      <c r="R46"/>
      <c r="S46"/>
      <c r="T46"/>
      <c r="U46" s="40" t="s">
        <v>995</v>
      </c>
      <c r="V46" s="62">
        <f>V44+V45</f>
        <v>94.88</v>
      </c>
      <c r="W46"/>
      <c r="X46" s="217"/>
      <c r="Y46" s="221" t="s">
        <v>886</v>
      </c>
      <c r="Z46" s="221" t="s">
        <v>902</v>
      </c>
      <c r="AA46" s="221" t="s">
        <v>903</v>
      </c>
      <c r="AB46" s="221" t="s">
        <v>904</v>
      </c>
      <c r="AC46" s="221" t="s">
        <v>13</v>
      </c>
      <c r="AD46" s="217"/>
      <c r="AE46" s="217"/>
      <c r="AF46" s="217"/>
      <c r="AG46" s="217"/>
      <c r="AH46" s="222">
        <v>1</v>
      </c>
      <c r="AI46" s="222">
        <v>2</v>
      </c>
      <c r="AJ46" s="222">
        <v>3</v>
      </c>
      <c r="AK46" s="222">
        <v>4</v>
      </c>
      <c r="AL46" s="222">
        <v>5</v>
      </c>
      <c r="AM46" s="222">
        <v>6</v>
      </c>
      <c r="AN46" s="222">
        <v>7</v>
      </c>
      <c r="AO46" s="222">
        <v>8</v>
      </c>
      <c r="AP46" s="222">
        <v>9</v>
      </c>
      <c r="AQ46" s="222">
        <v>10</v>
      </c>
      <c r="AR46" s="222">
        <v>11</v>
      </c>
      <c r="AS46" s="222">
        <v>12</v>
      </c>
      <c r="AT46" s="222">
        <v>13</v>
      </c>
      <c r="AU46" s="222">
        <v>14</v>
      </c>
      <c r="AV46" s="222">
        <v>15</v>
      </c>
      <c r="AW46" s="222">
        <v>16</v>
      </c>
      <c r="AX46" s="222">
        <v>17</v>
      </c>
      <c r="AY46" s="222">
        <v>18</v>
      </c>
      <c r="AZ46" s="222">
        <v>19</v>
      </c>
      <c r="BA46" s="222">
        <v>20</v>
      </c>
      <c r="BB46" s="222">
        <v>21</v>
      </c>
      <c r="BC46" s="222">
        <v>22</v>
      </c>
      <c r="BD46" s="222">
        <v>23</v>
      </c>
      <c r="BE46" s="222">
        <v>24</v>
      </c>
      <c r="BF46" s="217"/>
      <c r="BG46" s="218"/>
      <c r="BH46" s="217"/>
      <c r="BI46" s="221">
        <v>1</v>
      </c>
      <c r="BJ46" s="221">
        <v>2</v>
      </c>
      <c r="BK46" s="221">
        <v>3</v>
      </c>
      <c r="BL46" s="221">
        <v>4</v>
      </c>
      <c r="BM46" s="221">
        <v>5</v>
      </c>
      <c r="BN46" s="221">
        <v>6</v>
      </c>
      <c r="BO46" s="221">
        <v>7</v>
      </c>
      <c r="BP46" s="221">
        <v>8</v>
      </c>
      <c r="BQ46" s="221">
        <v>9</v>
      </c>
      <c r="BR46" s="221">
        <v>10</v>
      </c>
      <c r="BS46" s="221">
        <v>11</v>
      </c>
      <c r="BT46" s="221">
        <v>12</v>
      </c>
      <c r="BU46" s="221">
        <v>13</v>
      </c>
      <c r="BV46" s="221">
        <v>14</v>
      </c>
      <c r="BW46" s="221">
        <v>15</v>
      </c>
      <c r="BX46" s="221">
        <v>16</v>
      </c>
      <c r="BY46" s="221">
        <v>17</v>
      </c>
      <c r="BZ46" s="221">
        <v>18</v>
      </c>
      <c r="CA46" s="221">
        <v>19</v>
      </c>
      <c r="CB46" s="221">
        <v>20</v>
      </c>
      <c r="CC46" s="221">
        <v>21</v>
      </c>
      <c r="CD46" s="221">
        <v>22</v>
      </c>
      <c r="CE46" s="221">
        <v>23</v>
      </c>
      <c r="CF46" s="221">
        <v>24</v>
      </c>
      <c r="CG46" s="217"/>
      <c r="CH46" s="217"/>
      <c r="CI46" s="218"/>
      <c r="CJ46" s="217"/>
      <c r="CK46" s="221">
        <v>1</v>
      </c>
      <c r="CL46" s="221">
        <v>2</v>
      </c>
      <c r="CM46" s="221">
        <v>3</v>
      </c>
      <c r="CN46" s="221">
        <v>4</v>
      </c>
      <c r="CO46" s="221">
        <v>5</v>
      </c>
      <c r="CP46" s="221">
        <v>6</v>
      </c>
      <c r="CQ46" s="221">
        <v>7</v>
      </c>
      <c r="CR46" s="221">
        <v>8</v>
      </c>
      <c r="CS46" s="221">
        <v>9</v>
      </c>
      <c r="CT46" s="221">
        <v>10</v>
      </c>
      <c r="CU46" s="221">
        <v>11</v>
      </c>
      <c r="CV46" s="221">
        <v>12</v>
      </c>
      <c r="CW46" s="221">
        <v>13</v>
      </c>
      <c r="CX46" s="221">
        <v>14</v>
      </c>
      <c r="CY46" s="221">
        <v>15</v>
      </c>
      <c r="CZ46" s="221">
        <v>16</v>
      </c>
      <c r="DA46" s="221">
        <v>17</v>
      </c>
      <c r="DB46" s="221">
        <v>18</v>
      </c>
      <c r="DC46" s="221">
        <v>19</v>
      </c>
      <c r="DD46" s="221">
        <v>20</v>
      </c>
      <c r="DE46" s="221">
        <v>21</v>
      </c>
      <c r="DF46" s="221">
        <v>22</v>
      </c>
      <c r="DG46" s="221">
        <v>23</v>
      </c>
      <c r="DH46" s="221">
        <v>24</v>
      </c>
      <c r="DI46" s="221"/>
      <c r="DJ46" s="217"/>
      <c r="DK46" s="218"/>
      <c r="DL46" s="217"/>
      <c r="DM46" s="221">
        <v>1</v>
      </c>
      <c r="DN46" s="221">
        <v>2</v>
      </c>
      <c r="DO46" s="221">
        <v>3</v>
      </c>
      <c r="DP46" s="221">
        <v>4</v>
      </c>
      <c r="DQ46" s="221">
        <v>5</v>
      </c>
      <c r="DR46" s="221">
        <v>6</v>
      </c>
      <c r="DS46" s="221">
        <v>7</v>
      </c>
      <c r="DT46" s="221">
        <v>8</v>
      </c>
      <c r="DU46" s="221">
        <v>9</v>
      </c>
      <c r="DV46" s="221">
        <v>10</v>
      </c>
      <c r="DW46" s="221">
        <v>11</v>
      </c>
      <c r="DX46" s="221">
        <v>12</v>
      </c>
      <c r="DY46" s="221">
        <v>13</v>
      </c>
      <c r="DZ46" s="221">
        <v>14</v>
      </c>
      <c r="EA46" s="221">
        <v>15</v>
      </c>
      <c r="EB46" s="221">
        <v>16</v>
      </c>
      <c r="EC46" s="221">
        <v>17</v>
      </c>
      <c r="ED46" s="221">
        <v>18</v>
      </c>
      <c r="EE46" s="221">
        <v>19</v>
      </c>
      <c r="EF46" s="221">
        <v>20</v>
      </c>
      <c r="EG46" s="221">
        <v>21</v>
      </c>
      <c r="EH46" s="221">
        <v>22</v>
      </c>
      <c r="EI46" s="221">
        <v>23</v>
      </c>
      <c r="EJ46" s="221">
        <v>24</v>
      </c>
      <c r="EK46" s="171"/>
      <c r="EL46" s="171"/>
      <c r="EM46" s="171"/>
    </row>
    <row r="47" spans="1:143" x14ac:dyDescent="0.25">
      <c r="X47" s="218" t="s">
        <v>473</v>
      </c>
      <c r="Y47" s="221">
        <f>IF(Troupeau!B$3="BV",Troupeau!B$49,0)</f>
        <v>0</v>
      </c>
      <c r="Z47" s="221">
        <f>IF(Troupeau!C$3="BV",Troupeau!C$49,0)</f>
        <v>21.4</v>
      </c>
      <c r="AA47" s="221">
        <f>IF(Troupeau!D$3="BV",Troupeau!D$49,0)</f>
        <v>0</v>
      </c>
      <c r="AB47" s="221">
        <f>IF(Troupeau!E$3="BV",Troupeau!E$49,0)</f>
        <v>0</v>
      </c>
      <c r="AC47" s="221">
        <f>SUM(Y47:AB47)</f>
        <v>21.4</v>
      </c>
      <c r="AD47" s="217"/>
      <c r="AE47" s="217"/>
      <c r="AF47" s="224" t="s">
        <v>996</v>
      </c>
      <c r="AG47" s="217" t="str">
        <f>CdTrp1!A39</f>
        <v>brebis</v>
      </c>
      <c r="AH47" s="221">
        <f>CdTrp1!B39</f>
        <v>37.008695652173913</v>
      </c>
      <c r="AI47" s="221">
        <f>CdTrp1!C39</f>
        <v>36.638608695652181</v>
      </c>
      <c r="AJ47" s="221">
        <f>CdTrp1!D39</f>
        <v>36.268521739130435</v>
      </c>
      <c r="AK47" s="221">
        <f>CdTrp1!E39</f>
        <v>36.083478260869569</v>
      </c>
      <c r="AL47" s="221">
        <f>CdTrp1!F39</f>
        <v>35.898434782608696</v>
      </c>
      <c r="AM47" s="221">
        <f>CdTrp1!G39</f>
        <v>35.71339130434783</v>
      </c>
      <c r="AN47" s="221">
        <f>CdTrp1!H39</f>
        <v>35.528347826086964</v>
      </c>
      <c r="AO47" s="221">
        <f>CdTrp1!I39</f>
        <v>35.343304347826091</v>
      </c>
      <c r="AP47" s="221">
        <f>CdTrp1!J39</f>
        <v>34.973217391304352</v>
      </c>
      <c r="AQ47" s="221">
        <f>CdTrp1!K39</f>
        <v>35.71339130434783</v>
      </c>
      <c r="AR47" s="221">
        <f>CdTrp1!L39</f>
        <v>35.71339130434783</v>
      </c>
      <c r="AS47" s="221">
        <f>CdTrp1!M39</f>
        <v>35.71339130434783</v>
      </c>
      <c r="AT47" s="221">
        <f>CdTrp1!N39</f>
        <v>35.71339130434783</v>
      </c>
      <c r="AU47" s="221">
        <f>CdTrp1!O39</f>
        <v>35.71339130434783</v>
      </c>
      <c r="AV47" s="221">
        <f>CdTrp1!P39</f>
        <v>35.71339130434783</v>
      </c>
      <c r="AW47" s="221">
        <f>CdTrp1!Q39</f>
        <v>35.71339130434783</v>
      </c>
      <c r="AX47" s="221">
        <f>CdTrp1!R39</f>
        <v>35.71339130434783</v>
      </c>
      <c r="AY47" s="221">
        <f>CdTrp1!S39</f>
        <v>35.71339130434783</v>
      </c>
      <c r="AZ47" s="221">
        <f>CdTrp1!T39</f>
        <v>35.71339130434783</v>
      </c>
      <c r="BA47" s="221">
        <f>CdTrp1!U39</f>
        <v>39.04417391304348</v>
      </c>
      <c r="BB47" s="221">
        <f>CdTrp1!V39</f>
        <v>39.04417391304348</v>
      </c>
      <c r="BC47" s="221">
        <f>CdTrp1!W39</f>
        <v>37.008695652173913</v>
      </c>
      <c r="BD47" s="221">
        <f>CdTrp1!X39</f>
        <v>37.008695652173913</v>
      </c>
      <c r="BE47" s="221">
        <f>CdTrp1!Y39</f>
        <v>37.008695652173913</v>
      </c>
      <c r="BF47" s="217"/>
      <c r="BG47" s="218" t="s">
        <v>996</v>
      </c>
      <c r="BH47" s="217" t="str">
        <f>CdTrp2!A39</f>
        <v xml:space="preserve">vaches </v>
      </c>
      <c r="BI47" s="217">
        <f>CdTrp2!B39</f>
        <v>13.920159999999999</v>
      </c>
      <c r="BJ47" s="217">
        <f>CdTrp2!C39</f>
        <v>13.862399999999999</v>
      </c>
      <c r="BK47" s="217">
        <f>CdTrp2!D39</f>
        <v>13.862399999999999</v>
      </c>
      <c r="BL47" s="217">
        <f>CdTrp2!E39</f>
        <v>13.862399999999999</v>
      </c>
      <c r="BM47" s="217">
        <f>CdTrp2!F39</f>
        <v>13.862399999999999</v>
      </c>
      <c r="BN47" s="217">
        <f>CdTrp2!G39</f>
        <v>13.05376</v>
      </c>
      <c r="BO47" s="217">
        <f>CdTrp2!H39</f>
        <v>12.793839999999999</v>
      </c>
      <c r="BP47" s="217">
        <f>CdTrp2!I39</f>
        <v>12.53392</v>
      </c>
      <c r="BQ47" s="217">
        <f>CdTrp2!J39</f>
        <v>12.273999999999999</v>
      </c>
      <c r="BR47" s="217">
        <f>CdTrp2!K39</f>
        <v>12.273999999999999</v>
      </c>
      <c r="BS47" s="217">
        <f>CdTrp2!L39</f>
        <v>12.273999999999999</v>
      </c>
      <c r="BT47" s="217">
        <f>CdTrp2!M39</f>
        <v>12.273999999999999</v>
      </c>
      <c r="BU47" s="217">
        <f>CdTrp2!N39</f>
        <v>12.273999999999999</v>
      </c>
      <c r="BV47" s="217">
        <f>CdTrp2!O39</f>
        <v>12.273999999999999</v>
      </c>
      <c r="BW47" s="217">
        <f>CdTrp2!P39</f>
        <v>12.273999999999999</v>
      </c>
      <c r="BX47" s="217">
        <f>CdTrp2!Q39</f>
        <v>12.273999999999999</v>
      </c>
      <c r="BY47" s="217">
        <f>CdTrp2!R39</f>
        <v>11.628</v>
      </c>
      <c r="BZ47" s="217">
        <f>CdTrp2!S39</f>
        <v>11.628</v>
      </c>
      <c r="CA47" s="217">
        <f>CdTrp2!T39</f>
        <v>11.95632</v>
      </c>
      <c r="CB47" s="217">
        <f>CdTrp2!U39</f>
        <v>12.284640000000001</v>
      </c>
      <c r="CC47" s="217">
        <f>CdTrp2!V39</f>
        <v>13.313679999999998</v>
      </c>
      <c r="CD47" s="217">
        <f>CdTrp2!W39</f>
        <v>13.573599999999999</v>
      </c>
      <c r="CE47" s="217">
        <f>CdTrp2!X39</f>
        <v>13.833519999999998</v>
      </c>
      <c r="CF47" s="217">
        <f>CdTrp2!Y39</f>
        <v>14.093439999999999</v>
      </c>
      <c r="CG47" s="217"/>
      <c r="CH47" s="217"/>
      <c r="CI47" s="218" t="s">
        <v>996</v>
      </c>
      <c r="CJ47" s="217" t="str">
        <f>CdTrp3!A39</f>
        <v>lot1</v>
      </c>
      <c r="CK47" s="221">
        <f>CdTrp3!B39</f>
        <v>0</v>
      </c>
      <c r="CL47" s="221">
        <f>CdTrp3!C39</f>
        <v>0</v>
      </c>
      <c r="CM47" s="221">
        <f>CdTrp3!D39</f>
        <v>0</v>
      </c>
      <c r="CN47" s="221">
        <f>CdTrp3!E39</f>
        <v>0</v>
      </c>
      <c r="CO47" s="221">
        <f>CdTrp3!F39</f>
        <v>0</v>
      </c>
      <c r="CP47" s="221">
        <f>CdTrp3!G39</f>
        <v>0</v>
      </c>
      <c r="CQ47" s="221">
        <f>CdTrp3!H39</f>
        <v>0</v>
      </c>
      <c r="CR47" s="221">
        <f>CdTrp3!I39</f>
        <v>0</v>
      </c>
      <c r="CS47" s="221">
        <f>CdTrp3!J39</f>
        <v>0</v>
      </c>
      <c r="CT47" s="221">
        <f>CdTrp3!K39</f>
        <v>0</v>
      </c>
      <c r="CU47" s="221">
        <f>CdTrp3!L39</f>
        <v>0</v>
      </c>
      <c r="CV47" s="221">
        <f>CdTrp3!M39</f>
        <v>0</v>
      </c>
      <c r="CW47" s="221">
        <f>CdTrp3!N39</f>
        <v>0</v>
      </c>
      <c r="CX47" s="221">
        <f>CdTrp3!O39</f>
        <v>0</v>
      </c>
      <c r="CY47" s="221">
        <f>CdTrp3!P39</f>
        <v>0</v>
      </c>
      <c r="CZ47" s="221">
        <f>CdTrp3!Q39</f>
        <v>0</v>
      </c>
      <c r="DA47" s="221">
        <f>CdTrp3!R39</f>
        <v>0</v>
      </c>
      <c r="DB47" s="221">
        <f>CdTrp3!S39</f>
        <v>0</v>
      </c>
      <c r="DC47" s="221">
        <f>CdTrp3!T39</f>
        <v>0</v>
      </c>
      <c r="DD47" s="221">
        <f>CdTrp3!U39</f>
        <v>0</v>
      </c>
      <c r="DE47" s="221">
        <f>CdTrp3!V39</f>
        <v>0</v>
      </c>
      <c r="DF47" s="221">
        <f>CdTrp3!W39</f>
        <v>0</v>
      </c>
      <c r="DG47" s="221">
        <f>CdTrp3!X39</f>
        <v>0</v>
      </c>
      <c r="DH47" s="221">
        <f>CdTrp3!Y39</f>
        <v>0</v>
      </c>
      <c r="DI47" s="217"/>
      <c r="DJ47" s="217"/>
      <c r="DK47" s="218" t="s">
        <v>996</v>
      </c>
      <c r="DL47" s="217" t="str">
        <f>CdTrp4!A39</f>
        <v>lot1</v>
      </c>
      <c r="DM47" s="221">
        <f>CdTrp4!B39</f>
        <v>0</v>
      </c>
      <c r="DN47" s="221">
        <f>CdTrp4!C39</f>
        <v>0</v>
      </c>
      <c r="DO47" s="221">
        <f>CdTrp4!D39</f>
        <v>0</v>
      </c>
      <c r="DP47" s="221">
        <f>CdTrp4!E39</f>
        <v>0</v>
      </c>
      <c r="DQ47" s="221">
        <f>CdTrp4!F39</f>
        <v>0</v>
      </c>
      <c r="DR47" s="221">
        <f>CdTrp4!G39</f>
        <v>0</v>
      </c>
      <c r="DS47" s="221">
        <f>CdTrp4!H39</f>
        <v>0</v>
      </c>
      <c r="DT47" s="221">
        <f>CdTrp4!I39</f>
        <v>0</v>
      </c>
      <c r="DU47" s="221">
        <f>CdTrp4!J39</f>
        <v>0</v>
      </c>
      <c r="DV47" s="221">
        <f>CdTrp4!K39</f>
        <v>0</v>
      </c>
      <c r="DW47" s="221">
        <f>CdTrp4!L39</f>
        <v>0</v>
      </c>
      <c r="DX47" s="221">
        <f>CdTrp4!M39</f>
        <v>0</v>
      </c>
      <c r="DY47" s="221">
        <f>CdTrp4!N39</f>
        <v>0</v>
      </c>
      <c r="DZ47" s="221">
        <f>CdTrp4!O39</f>
        <v>0</v>
      </c>
      <c r="EA47" s="221">
        <f>CdTrp4!P39</f>
        <v>0</v>
      </c>
      <c r="EB47" s="221">
        <f>CdTrp4!Q39</f>
        <v>0</v>
      </c>
      <c r="EC47" s="221">
        <f>CdTrp4!R39</f>
        <v>0</v>
      </c>
      <c r="ED47" s="221">
        <f>CdTrp4!S39</f>
        <v>0</v>
      </c>
      <c r="EE47" s="221">
        <f>CdTrp4!T39</f>
        <v>0</v>
      </c>
      <c r="EF47" s="221">
        <f>CdTrp4!U39</f>
        <v>0</v>
      </c>
      <c r="EG47" s="221">
        <f>CdTrp4!V39</f>
        <v>0</v>
      </c>
      <c r="EH47" s="221">
        <f>CdTrp4!W39</f>
        <v>0</v>
      </c>
      <c r="EI47" s="221">
        <f>CdTrp4!X39</f>
        <v>0</v>
      </c>
      <c r="EJ47" s="221">
        <f>CdTrp4!Y39</f>
        <v>0</v>
      </c>
    </row>
    <row r="48" spans="1:143" x14ac:dyDescent="0.25">
      <c r="A48" s="225" t="s">
        <v>997</v>
      </c>
      <c r="B48" s="225"/>
      <c r="C48" s="225"/>
      <c r="D48" s="225"/>
      <c r="E48" s="225"/>
      <c r="F48" s="225"/>
      <c r="G48" s="225"/>
      <c r="H48" s="225"/>
      <c r="I48" s="225"/>
      <c r="J48" s="226">
        <f>SUM(J5:J46)</f>
        <v>157520.72000000003</v>
      </c>
      <c r="K48" s="226"/>
      <c r="L48" s="226"/>
      <c r="M48" s="226"/>
      <c r="N48" s="226"/>
      <c r="O48" s="227"/>
      <c r="X48" s="218" t="s">
        <v>504</v>
      </c>
      <c r="Y48" s="221">
        <f>IF(Troupeau!B$3="BL",Troupeau!B$49,0)</f>
        <v>0</v>
      </c>
      <c r="Z48" s="221">
        <f>IF(Troupeau!C$3="BL",Troupeau!C$49,0)</f>
        <v>0</v>
      </c>
      <c r="AA48" s="221">
        <f>IF(Troupeau!D$3="BL",Troupeau!D$49,0)</f>
        <v>0</v>
      </c>
      <c r="AB48" s="221">
        <f>IF(Troupeau!E$3="BL",Troupeau!E$49,0)</f>
        <v>0</v>
      </c>
      <c r="AC48" s="221">
        <f>SUM(Y48:AB48)</f>
        <v>0</v>
      </c>
      <c r="AD48" s="217"/>
      <c r="AE48" s="217"/>
      <c r="AF48" s="217"/>
      <c r="AG48" s="272" t="str">
        <f>CdTrp1!A40</f>
        <v>vides</v>
      </c>
      <c r="AH48" s="221">
        <f>CdTrp1!B40</f>
        <v>3.5158260869565221</v>
      </c>
      <c r="AI48" s="221">
        <f>CdTrp1!C40</f>
        <v>3.5158260869565221</v>
      </c>
      <c r="AJ48" s="221">
        <f>CdTrp1!D40</f>
        <v>3.5158260869565221</v>
      </c>
      <c r="AK48" s="221">
        <f>CdTrp1!E40</f>
        <v>3.5158260869565221</v>
      </c>
      <c r="AL48" s="221">
        <f>CdTrp1!F40</f>
        <v>3.5158260869565221</v>
      </c>
      <c r="AM48" s="221">
        <f>CdTrp1!G40</f>
        <v>3.5158260869565221</v>
      </c>
      <c r="AN48" s="221">
        <f>CdTrp1!H40</f>
        <v>3.5158260869565221</v>
      </c>
      <c r="AO48" s="221">
        <f>CdTrp1!I40</f>
        <v>3.5158260869565221</v>
      </c>
      <c r="AP48" s="221">
        <f>CdTrp1!J40</f>
        <v>3.5158260869565221</v>
      </c>
      <c r="AQ48" s="221">
        <f>CdTrp1!K40</f>
        <v>0</v>
      </c>
      <c r="AR48" s="221">
        <f>CdTrp1!L40</f>
        <v>0</v>
      </c>
      <c r="AS48" s="221">
        <f>CdTrp1!M40</f>
        <v>0</v>
      </c>
      <c r="AT48" s="221">
        <f>CdTrp1!N40</f>
        <v>0</v>
      </c>
      <c r="AU48" s="221">
        <f>CdTrp1!O40</f>
        <v>0</v>
      </c>
      <c r="AV48" s="221">
        <f>CdTrp1!P40</f>
        <v>0</v>
      </c>
      <c r="AW48" s="221">
        <f>CdTrp1!Q40</f>
        <v>0</v>
      </c>
      <c r="AX48" s="221">
        <f>CdTrp1!R40</f>
        <v>0</v>
      </c>
      <c r="AY48" s="221">
        <f>CdTrp1!S40</f>
        <v>0</v>
      </c>
      <c r="AZ48" s="221">
        <f>CdTrp1!T40</f>
        <v>0</v>
      </c>
      <c r="BA48" s="221">
        <f>CdTrp1!U40</f>
        <v>3.5158260869565221</v>
      </c>
      <c r="BB48" s="221">
        <f>CdTrp1!V40</f>
        <v>3.5158260869565221</v>
      </c>
      <c r="BC48" s="221">
        <f>CdTrp1!W40</f>
        <v>3.5158260869565221</v>
      </c>
      <c r="BD48" s="221">
        <f>CdTrp1!X40</f>
        <v>3.5158260869565221</v>
      </c>
      <c r="BE48" s="221">
        <f>CdTrp1!Y40</f>
        <v>3.5158260869565221</v>
      </c>
      <c r="BF48" s="217"/>
      <c r="BG48" s="218"/>
      <c r="BH48" s="272" t="str">
        <f>CdTrp2!A40</f>
        <v>genisses -1an</v>
      </c>
      <c r="BI48" s="217">
        <f>CdTrp2!B40</f>
        <v>0</v>
      </c>
      <c r="BJ48" s="217">
        <f>CdTrp2!C40</f>
        <v>0</v>
      </c>
      <c r="BK48" s="217">
        <f>CdTrp2!D40</f>
        <v>0</v>
      </c>
      <c r="BL48" s="217">
        <f>CdTrp2!E40</f>
        <v>0</v>
      </c>
      <c r="BM48" s="217">
        <f>CdTrp2!F40</f>
        <v>0</v>
      </c>
      <c r="BN48" s="217">
        <f>CdTrp2!G40</f>
        <v>0.53199999999999992</v>
      </c>
      <c r="BO48" s="217">
        <f>CdTrp2!H40</f>
        <v>1.0639999999999998</v>
      </c>
      <c r="BP48" s="217">
        <f>CdTrp2!I40</f>
        <v>1.5959999999999999</v>
      </c>
      <c r="BQ48" s="217">
        <f>CdTrp2!J40</f>
        <v>1.5959999999999999</v>
      </c>
      <c r="BR48" s="217">
        <f>CdTrp2!K40</f>
        <v>1.5959999999999999</v>
      </c>
      <c r="BS48" s="217">
        <f>CdTrp2!L40</f>
        <v>1.5959999999999999</v>
      </c>
      <c r="BT48" s="217">
        <f>CdTrp2!M40</f>
        <v>1.5959999999999999</v>
      </c>
      <c r="BU48" s="217">
        <f>CdTrp2!N40</f>
        <v>1.5959999999999999</v>
      </c>
      <c r="BV48" s="217">
        <f>CdTrp2!O40</f>
        <v>1.5959999999999999</v>
      </c>
      <c r="BW48" s="217">
        <f>CdTrp2!P40</f>
        <v>1.5959999999999999</v>
      </c>
      <c r="BX48" s="217">
        <f>CdTrp2!Q40</f>
        <v>1.5959999999999999</v>
      </c>
      <c r="BY48" s="217">
        <f>CdTrp2!R40</f>
        <v>1.5959999999999999</v>
      </c>
      <c r="BZ48" s="217">
        <f>CdTrp2!S40</f>
        <v>1.5959999999999999</v>
      </c>
      <c r="CA48" s="217">
        <f>CdTrp2!T40</f>
        <v>1.3299999999999998</v>
      </c>
      <c r="CB48" s="217">
        <f>CdTrp2!U40</f>
        <v>1.3299999999999998</v>
      </c>
      <c r="CC48" s="217">
        <f>CdTrp2!V40</f>
        <v>0.53199999999999992</v>
      </c>
      <c r="CD48" s="217">
        <f>CdTrp2!W40</f>
        <v>0.26599999999999996</v>
      </c>
      <c r="CE48" s="217">
        <f>CdTrp2!X40</f>
        <v>0</v>
      </c>
      <c r="CF48" s="217">
        <f>CdTrp2!Y40</f>
        <v>0</v>
      </c>
      <c r="CG48" s="217"/>
      <c r="CH48" s="217"/>
      <c r="CI48" s="218"/>
      <c r="CJ48" s="272" t="str">
        <f>CdTrp3!A40</f>
        <v>lot2</v>
      </c>
      <c r="CK48" s="221">
        <f>CdTrp3!B40</f>
        <v>0</v>
      </c>
      <c r="CL48" s="221">
        <f>CdTrp3!C40</f>
        <v>0</v>
      </c>
      <c r="CM48" s="221">
        <f>CdTrp3!D40</f>
        <v>0</v>
      </c>
      <c r="CN48" s="221">
        <f>CdTrp3!E40</f>
        <v>0</v>
      </c>
      <c r="CO48" s="221">
        <f>CdTrp3!F40</f>
        <v>0</v>
      </c>
      <c r="CP48" s="221">
        <f>CdTrp3!G40</f>
        <v>0</v>
      </c>
      <c r="CQ48" s="221">
        <f>CdTrp3!H40</f>
        <v>0</v>
      </c>
      <c r="CR48" s="221">
        <f>CdTrp3!I40</f>
        <v>0</v>
      </c>
      <c r="CS48" s="221">
        <f>CdTrp3!J40</f>
        <v>0</v>
      </c>
      <c r="CT48" s="221">
        <f>CdTrp3!K40</f>
        <v>0</v>
      </c>
      <c r="CU48" s="221">
        <f>CdTrp3!L40</f>
        <v>0</v>
      </c>
      <c r="CV48" s="221">
        <f>CdTrp3!M40</f>
        <v>0</v>
      </c>
      <c r="CW48" s="221">
        <f>CdTrp3!N40</f>
        <v>0</v>
      </c>
      <c r="CX48" s="221">
        <f>CdTrp3!O40</f>
        <v>0</v>
      </c>
      <c r="CY48" s="221">
        <f>CdTrp3!P40</f>
        <v>0</v>
      </c>
      <c r="CZ48" s="221">
        <f>CdTrp3!Q40</f>
        <v>0</v>
      </c>
      <c r="DA48" s="221">
        <f>CdTrp3!R40</f>
        <v>0</v>
      </c>
      <c r="DB48" s="221">
        <f>CdTrp3!S40</f>
        <v>0</v>
      </c>
      <c r="DC48" s="221">
        <f>CdTrp3!T40</f>
        <v>0</v>
      </c>
      <c r="DD48" s="221">
        <f>CdTrp3!U40</f>
        <v>0</v>
      </c>
      <c r="DE48" s="221">
        <f>CdTrp3!V40</f>
        <v>0</v>
      </c>
      <c r="DF48" s="221">
        <f>CdTrp3!W40</f>
        <v>0</v>
      </c>
      <c r="DG48" s="221">
        <f>CdTrp3!X40</f>
        <v>0</v>
      </c>
      <c r="DH48" s="221">
        <f>CdTrp3!Y40</f>
        <v>0</v>
      </c>
      <c r="DI48" s="217"/>
      <c r="DJ48" s="217"/>
      <c r="DK48" s="218"/>
      <c r="DL48" s="272" t="str">
        <f>CdTrp4!A40</f>
        <v>lot2</v>
      </c>
      <c r="DM48" s="221">
        <f>CdTrp4!B40</f>
        <v>0</v>
      </c>
      <c r="DN48" s="221">
        <f>CdTrp4!C40</f>
        <v>0</v>
      </c>
      <c r="DO48" s="221">
        <f>CdTrp4!D40</f>
        <v>0</v>
      </c>
      <c r="DP48" s="221">
        <f>CdTrp4!E40</f>
        <v>0</v>
      </c>
      <c r="DQ48" s="221">
        <f>CdTrp4!F40</f>
        <v>0</v>
      </c>
      <c r="DR48" s="221">
        <f>CdTrp4!G40</f>
        <v>0</v>
      </c>
      <c r="DS48" s="221">
        <f>CdTrp4!H40</f>
        <v>0</v>
      </c>
      <c r="DT48" s="221">
        <f>CdTrp4!I40</f>
        <v>0</v>
      </c>
      <c r="DU48" s="221">
        <f>CdTrp4!J40</f>
        <v>0</v>
      </c>
      <c r="DV48" s="221">
        <f>CdTrp4!K40</f>
        <v>0</v>
      </c>
      <c r="DW48" s="221">
        <f>CdTrp4!L40</f>
        <v>0</v>
      </c>
      <c r="DX48" s="221">
        <f>CdTrp4!M40</f>
        <v>0</v>
      </c>
      <c r="DY48" s="221">
        <f>CdTrp4!N40</f>
        <v>0</v>
      </c>
      <c r="DZ48" s="221">
        <f>CdTrp4!O40</f>
        <v>0</v>
      </c>
      <c r="EA48" s="221">
        <f>CdTrp4!P40</f>
        <v>0</v>
      </c>
      <c r="EB48" s="221">
        <f>CdTrp4!Q40</f>
        <v>0</v>
      </c>
      <c r="EC48" s="221">
        <f>CdTrp4!R40</f>
        <v>0</v>
      </c>
      <c r="ED48" s="221">
        <f>CdTrp4!S40</f>
        <v>0</v>
      </c>
      <c r="EE48" s="221">
        <f>CdTrp4!T40</f>
        <v>0</v>
      </c>
      <c r="EF48" s="221">
        <f>CdTrp4!U40</f>
        <v>0</v>
      </c>
      <c r="EG48" s="221">
        <f>CdTrp4!V40</f>
        <v>0</v>
      </c>
      <c r="EH48" s="221">
        <f>CdTrp4!W40</f>
        <v>0</v>
      </c>
      <c r="EI48" s="221">
        <f>CdTrp4!X40</f>
        <v>0</v>
      </c>
      <c r="EJ48" s="221">
        <f>CdTrp4!Y40</f>
        <v>0</v>
      </c>
    </row>
    <row r="49" spans="1:143" x14ac:dyDescent="0.25">
      <c r="R49" s="2" t="s">
        <v>998</v>
      </c>
      <c r="X49" s="218" t="s">
        <v>472</v>
      </c>
      <c r="Y49" s="221">
        <f>IF(Troupeau!B$3="OL",Troupeau!B$49,0)</f>
        <v>57.449999999999996</v>
      </c>
      <c r="Z49" s="221">
        <f>IF(Troupeau!C$3="OL",Troupeau!C$49,0)</f>
        <v>0</v>
      </c>
      <c r="AA49" s="221">
        <f>IF(Troupeau!D$3="OL",Troupeau!D$49,0)</f>
        <v>0</v>
      </c>
      <c r="AB49" s="221">
        <f>IF(Troupeau!E$3="OL",Troupeau!E$49,0)</f>
        <v>0</v>
      </c>
      <c r="AC49" s="221">
        <f>SUM(Y49:AB49)</f>
        <v>57.449999999999996</v>
      </c>
      <c r="AD49" s="217"/>
      <c r="AE49" s="217"/>
      <c r="AF49" s="217"/>
      <c r="AG49" s="272" t="str">
        <f>CdTrp1!A41</f>
        <v>agnelles</v>
      </c>
      <c r="AH49" s="221">
        <f>CdTrp1!B41</f>
        <v>1.9244521739130436</v>
      </c>
      <c r="AI49" s="221">
        <f>CdTrp1!C41</f>
        <v>1.9244521739130436</v>
      </c>
      <c r="AJ49" s="221">
        <f>CdTrp1!D41</f>
        <v>1.9244521739130436</v>
      </c>
      <c r="AK49" s="221">
        <f>CdTrp1!E41</f>
        <v>1.9244521739130436</v>
      </c>
      <c r="AL49" s="221">
        <f>CdTrp1!F41</f>
        <v>1.9244521739130436</v>
      </c>
      <c r="AM49" s="221">
        <f>CdTrp1!G41</f>
        <v>1.9244521739130436</v>
      </c>
      <c r="AN49" s="221">
        <f>CdTrp1!H41</f>
        <v>1.9244521739130436</v>
      </c>
      <c r="AO49" s="221">
        <f>CdTrp1!I41</f>
        <v>1.9244521739130436</v>
      </c>
      <c r="AP49" s="221">
        <f>CdTrp1!J41</f>
        <v>4.8111304347826094</v>
      </c>
      <c r="AQ49" s="221">
        <f>CdTrp1!K41</f>
        <v>4.8111304347826094</v>
      </c>
      <c r="AR49" s="221">
        <f>CdTrp1!L41</f>
        <v>4.8111304347826094</v>
      </c>
      <c r="AS49" s="221">
        <f>CdTrp1!M41</f>
        <v>4.8111304347826094</v>
      </c>
      <c r="AT49" s="221">
        <f>CdTrp1!N41</f>
        <v>4.8111304347826094</v>
      </c>
      <c r="AU49" s="221">
        <f>CdTrp1!O41</f>
        <v>4.8111304347826094</v>
      </c>
      <c r="AV49" s="221">
        <f>CdTrp1!P41</f>
        <v>4.8111304347826094</v>
      </c>
      <c r="AW49" s="221">
        <f>CdTrp1!Q41</f>
        <v>4.8111304347826094</v>
      </c>
      <c r="AX49" s="221">
        <f>CdTrp1!R41</f>
        <v>4.8111304347826094</v>
      </c>
      <c r="AY49" s="221">
        <f>CdTrp1!S41</f>
        <v>4.8111304347826094</v>
      </c>
      <c r="AZ49" s="221">
        <f>CdTrp1!T41</f>
        <v>4.8111304347826094</v>
      </c>
      <c r="BA49" s="221">
        <f>CdTrp1!U41</f>
        <v>0</v>
      </c>
      <c r="BB49" s="221">
        <f>CdTrp1!V41</f>
        <v>0</v>
      </c>
      <c r="BC49" s="221">
        <f>CdTrp1!W41</f>
        <v>1.9244521739130436</v>
      </c>
      <c r="BD49" s="221">
        <f>CdTrp1!X41</f>
        <v>1.9244521739130436</v>
      </c>
      <c r="BE49" s="221">
        <f>CdTrp1!Y41</f>
        <v>1.9244521739130436</v>
      </c>
      <c r="BF49" s="217"/>
      <c r="BG49" s="218"/>
      <c r="BH49" s="272" t="str">
        <f>CdTrp2!A41</f>
        <v>genisses +1an</v>
      </c>
      <c r="BI49" s="217">
        <f>CdTrp2!B41</f>
        <v>6.3839999999999995</v>
      </c>
      <c r="BJ49" s="217">
        <f>CdTrp2!C41</f>
        <v>6.3839999999999995</v>
      </c>
      <c r="BK49" s="217">
        <f>CdTrp2!D41</f>
        <v>6.3839999999999995</v>
      </c>
      <c r="BL49" s="217">
        <f>CdTrp2!E41</f>
        <v>6.3839999999999995</v>
      </c>
      <c r="BM49" s="217">
        <f>CdTrp2!F41</f>
        <v>6.3839999999999995</v>
      </c>
      <c r="BN49" s="217">
        <f>CdTrp2!G41</f>
        <v>6.3839999999999995</v>
      </c>
      <c r="BO49" s="217">
        <f>CdTrp2!H41</f>
        <v>6.3839999999999995</v>
      </c>
      <c r="BP49" s="217">
        <f>CdTrp2!I41</f>
        <v>6.3839999999999995</v>
      </c>
      <c r="BQ49" s="217">
        <f>CdTrp2!J41</f>
        <v>6.3839999999999995</v>
      </c>
      <c r="BR49" s="217">
        <f>CdTrp2!K41</f>
        <v>6.3839999999999995</v>
      </c>
      <c r="BS49" s="217">
        <f>CdTrp2!L41</f>
        <v>6.3839999999999995</v>
      </c>
      <c r="BT49" s="217">
        <f>CdTrp2!M41</f>
        <v>6.3839999999999995</v>
      </c>
      <c r="BU49" s="217">
        <f>CdTrp2!N41</f>
        <v>6.3839999999999995</v>
      </c>
      <c r="BV49" s="217">
        <f>CdTrp2!O41</f>
        <v>6.3839999999999995</v>
      </c>
      <c r="BW49" s="217">
        <f>CdTrp2!P41</f>
        <v>6.3839999999999995</v>
      </c>
      <c r="BX49" s="217">
        <f>CdTrp2!Q41</f>
        <v>6.3839999999999995</v>
      </c>
      <c r="BY49" s="217">
        <f>CdTrp2!R41</f>
        <v>6.3839999999999995</v>
      </c>
      <c r="BZ49" s="217">
        <f>CdTrp2!S41</f>
        <v>6.3839999999999995</v>
      </c>
      <c r="CA49" s="217">
        <f>CdTrp2!T41</f>
        <v>6.3839999999999995</v>
      </c>
      <c r="CB49" s="217">
        <f>CdTrp2!U41</f>
        <v>6.3839999999999995</v>
      </c>
      <c r="CC49" s="217">
        <f>CdTrp2!V41</f>
        <v>6.3839999999999995</v>
      </c>
      <c r="CD49" s="217">
        <f>CdTrp2!W41</f>
        <v>6.3839999999999995</v>
      </c>
      <c r="CE49" s="217">
        <f>CdTrp2!X41</f>
        <v>6.3839999999999995</v>
      </c>
      <c r="CF49" s="217">
        <f>CdTrp2!Y41</f>
        <v>6.3839999999999995</v>
      </c>
      <c r="CG49" s="217"/>
      <c r="CH49" s="217"/>
      <c r="CI49" s="218"/>
      <c r="CJ49" s="272" t="str">
        <f>CdTrp3!A41</f>
        <v>lot3</v>
      </c>
      <c r="CK49" s="221">
        <f>CdTrp3!B41</f>
        <v>0</v>
      </c>
      <c r="CL49" s="221">
        <f>CdTrp3!C41</f>
        <v>0</v>
      </c>
      <c r="CM49" s="221">
        <f>CdTrp3!D41</f>
        <v>0</v>
      </c>
      <c r="CN49" s="221">
        <f>CdTrp3!E41</f>
        <v>0</v>
      </c>
      <c r="CO49" s="221">
        <f>CdTrp3!F41</f>
        <v>0</v>
      </c>
      <c r="CP49" s="221">
        <f>CdTrp3!G41</f>
        <v>0</v>
      </c>
      <c r="CQ49" s="221">
        <f>CdTrp3!H41</f>
        <v>0</v>
      </c>
      <c r="CR49" s="221">
        <f>CdTrp3!I41</f>
        <v>0</v>
      </c>
      <c r="CS49" s="221">
        <f>CdTrp3!J41</f>
        <v>0</v>
      </c>
      <c r="CT49" s="221">
        <f>CdTrp3!K41</f>
        <v>0</v>
      </c>
      <c r="CU49" s="221">
        <f>CdTrp3!L41</f>
        <v>0</v>
      </c>
      <c r="CV49" s="221">
        <f>CdTrp3!M41</f>
        <v>0</v>
      </c>
      <c r="CW49" s="221">
        <f>CdTrp3!N41</f>
        <v>0</v>
      </c>
      <c r="CX49" s="221">
        <f>CdTrp3!O41</f>
        <v>0</v>
      </c>
      <c r="CY49" s="221">
        <f>CdTrp3!P41</f>
        <v>0</v>
      </c>
      <c r="CZ49" s="221">
        <f>CdTrp3!Q41</f>
        <v>0</v>
      </c>
      <c r="DA49" s="221">
        <f>CdTrp3!R41</f>
        <v>0</v>
      </c>
      <c r="DB49" s="221">
        <f>CdTrp3!S41</f>
        <v>0</v>
      </c>
      <c r="DC49" s="221">
        <f>CdTrp3!T41</f>
        <v>0</v>
      </c>
      <c r="DD49" s="221">
        <f>CdTrp3!U41</f>
        <v>0</v>
      </c>
      <c r="DE49" s="221">
        <f>CdTrp3!V41</f>
        <v>0</v>
      </c>
      <c r="DF49" s="221">
        <f>CdTrp3!W41</f>
        <v>0</v>
      </c>
      <c r="DG49" s="221">
        <f>CdTrp3!X41</f>
        <v>0</v>
      </c>
      <c r="DH49" s="221">
        <f>CdTrp3!Y41</f>
        <v>0</v>
      </c>
      <c r="DI49" s="217"/>
      <c r="DJ49" s="217"/>
      <c r="DK49" s="218"/>
      <c r="DL49" s="272" t="str">
        <f>CdTrp4!A41</f>
        <v>lot3</v>
      </c>
      <c r="DM49" s="221">
        <f>CdTrp4!B41</f>
        <v>0</v>
      </c>
      <c r="DN49" s="221">
        <f>CdTrp4!C41</f>
        <v>0</v>
      </c>
      <c r="DO49" s="221">
        <f>CdTrp4!D41</f>
        <v>0</v>
      </c>
      <c r="DP49" s="221">
        <f>CdTrp4!E41</f>
        <v>0</v>
      </c>
      <c r="DQ49" s="221">
        <f>CdTrp4!F41</f>
        <v>0</v>
      </c>
      <c r="DR49" s="221">
        <f>CdTrp4!G41</f>
        <v>0</v>
      </c>
      <c r="DS49" s="221">
        <f>CdTrp4!H41</f>
        <v>0</v>
      </c>
      <c r="DT49" s="221">
        <f>CdTrp4!I41</f>
        <v>0</v>
      </c>
      <c r="DU49" s="221">
        <f>CdTrp4!J41</f>
        <v>0</v>
      </c>
      <c r="DV49" s="221">
        <f>CdTrp4!K41</f>
        <v>0</v>
      </c>
      <c r="DW49" s="221">
        <f>CdTrp4!L41</f>
        <v>0</v>
      </c>
      <c r="DX49" s="221">
        <f>CdTrp4!M41</f>
        <v>0</v>
      </c>
      <c r="DY49" s="221">
        <f>CdTrp4!N41</f>
        <v>0</v>
      </c>
      <c r="DZ49" s="221">
        <f>CdTrp4!O41</f>
        <v>0</v>
      </c>
      <c r="EA49" s="221">
        <f>CdTrp4!P41</f>
        <v>0</v>
      </c>
      <c r="EB49" s="221">
        <f>CdTrp4!Q41</f>
        <v>0</v>
      </c>
      <c r="EC49" s="221">
        <f>CdTrp4!R41</f>
        <v>0</v>
      </c>
      <c r="ED49" s="221">
        <f>CdTrp4!S41</f>
        <v>0</v>
      </c>
      <c r="EE49" s="221">
        <f>CdTrp4!T41</f>
        <v>0</v>
      </c>
      <c r="EF49" s="221">
        <f>CdTrp4!U41</f>
        <v>0</v>
      </c>
      <c r="EG49" s="221">
        <f>CdTrp4!V41</f>
        <v>0</v>
      </c>
      <c r="EH49" s="221">
        <f>CdTrp4!W41</f>
        <v>0</v>
      </c>
      <c r="EI49" s="221">
        <f>CdTrp4!X41</f>
        <v>0</v>
      </c>
      <c r="EJ49" s="221">
        <f>CdTrp4!Y41</f>
        <v>0</v>
      </c>
    </row>
    <row r="50" spans="1:143" x14ac:dyDescent="0.25">
      <c r="A50" s="5"/>
      <c r="B50" s="5"/>
      <c r="C50" s="5"/>
      <c r="D50" s="5"/>
      <c r="Q50" t="s">
        <v>568</v>
      </c>
      <c r="R50" t="str">
        <f>Troupeau!B3</f>
        <v>OL</v>
      </c>
      <c r="S50" s="30">
        <f>Scénario!K54*Scénario!K55+Scénario!K76*Scénario!K77</f>
        <v>126</v>
      </c>
      <c r="X50" s="218" t="s">
        <v>955</v>
      </c>
      <c r="Y50" s="221">
        <f>IF(Troupeau!B$3="OV",Troupeau!B$49,0)</f>
        <v>0</v>
      </c>
      <c r="Z50" s="221">
        <f>IF(Troupeau!C$3="OV",Troupeau!C$49,0)</f>
        <v>0</v>
      </c>
      <c r="AA50" s="221">
        <f>IF(Troupeau!D$3="OV",Troupeau!D$49,0)</f>
        <v>0</v>
      </c>
      <c r="AB50" s="221">
        <f>IF(Troupeau!E$3="OV",Troupeau!E$49,0)</f>
        <v>0</v>
      </c>
      <c r="AC50" s="221">
        <f>SUM(Y50:AB50)</f>
        <v>0</v>
      </c>
      <c r="AD50" s="217"/>
      <c r="AE50" s="217"/>
      <c r="AF50" s="217"/>
      <c r="AG50" s="217" t="str">
        <f>CdTrp1!A42</f>
        <v>beliers</v>
      </c>
      <c r="AH50" s="221">
        <f>CdTrp1!B42</f>
        <v>1.1102608695652176</v>
      </c>
      <c r="AI50" s="221">
        <f>CdTrp1!C42</f>
        <v>1.1102608695652176</v>
      </c>
      <c r="AJ50" s="221">
        <f>CdTrp1!D42</f>
        <v>1.1102608695652176</v>
      </c>
      <c r="AK50" s="221">
        <f>CdTrp1!E42</f>
        <v>1.1102608695652176</v>
      </c>
      <c r="AL50" s="221">
        <f>CdTrp1!F42</f>
        <v>1.1102608695652176</v>
      </c>
      <c r="AM50" s="221">
        <f>CdTrp1!G42</f>
        <v>1.1102608695652176</v>
      </c>
      <c r="AN50" s="221">
        <f>CdTrp1!H42</f>
        <v>1.1102608695652176</v>
      </c>
      <c r="AO50" s="221">
        <f>CdTrp1!I42</f>
        <v>1.1102608695652176</v>
      </c>
      <c r="AP50" s="221">
        <f>CdTrp1!J42</f>
        <v>1.1102608695652176</v>
      </c>
      <c r="AQ50" s="221">
        <f>CdTrp1!K42</f>
        <v>0</v>
      </c>
      <c r="AR50" s="221">
        <f>CdTrp1!L42</f>
        <v>0</v>
      </c>
      <c r="AS50" s="221">
        <f>CdTrp1!M42</f>
        <v>0</v>
      </c>
      <c r="AT50" s="221">
        <f>CdTrp1!N42</f>
        <v>0</v>
      </c>
      <c r="AU50" s="221">
        <f>CdTrp1!O42</f>
        <v>0</v>
      </c>
      <c r="AV50" s="221">
        <f>CdTrp1!P42</f>
        <v>0</v>
      </c>
      <c r="AW50" s="221">
        <f>CdTrp1!Q42</f>
        <v>0</v>
      </c>
      <c r="AX50" s="221">
        <f>CdTrp1!R42</f>
        <v>0</v>
      </c>
      <c r="AY50" s="221">
        <f>CdTrp1!S42</f>
        <v>0</v>
      </c>
      <c r="AZ50" s="221">
        <f>CdTrp1!T42</f>
        <v>0</v>
      </c>
      <c r="BA50" s="221">
        <f>CdTrp1!U42</f>
        <v>1.1102608695652176</v>
      </c>
      <c r="BB50" s="221">
        <f>CdTrp1!V42</f>
        <v>1.1102608695652176</v>
      </c>
      <c r="BC50" s="221">
        <f>CdTrp1!W42</f>
        <v>1.1102608695652176</v>
      </c>
      <c r="BD50" s="221">
        <f>CdTrp1!X42</f>
        <v>1.1102608695652176</v>
      </c>
      <c r="BE50" s="221">
        <f>CdTrp1!Y42</f>
        <v>1.1102608695652176</v>
      </c>
      <c r="BF50" s="217"/>
      <c r="BG50" s="218"/>
      <c r="BH50" s="217" t="str">
        <f>CdTrp2!A42</f>
        <v>lot4</v>
      </c>
      <c r="BI50" s="217">
        <f>CdTrp2!B42</f>
        <v>0</v>
      </c>
      <c r="BJ50" s="217">
        <f>CdTrp2!C42</f>
        <v>0</v>
      </c>
      <c r="BK50" s="217">
        <f>CdTrp2!D42</f>
        <v>0</v>
      </c>
      <c r="BL50" s="217">
        <f>CdTrp2!E42</f>
        <v>0</v>
      </c>
      <c r="BM50" s="217">
        <f>CdTrp2!F42</f>
        <v>0</v>
      </c>
      <c r="BN50" s="217">
        <f>CdTrp2!G42</f>
        <v>0</v>
      </c>
      <c r="BO50" s="217">
        <f>CdTrp2!H42</f>
        <v>0</v>
      </c>
      <c r="BP50" s="217">
        <f>CdTrp2!I42</f>
        <v>0</v>
      </c>
      <c r="BQ50" s="217">
        <f>CdTrp2!J42</f>
        <v>0</v>
      </c>
      <c r="BR50" s="217">
        <f>CdTrp2!K42</f>
        <v>0</v>
      </c>
      <c r="BS50" s="217">
        <f>CdTrp2!L42</f>
        <v>0</v>
      </c>
      <c r="BT50" s="217">
        <f>CdTrp2!M42</f>
        <v>0</v>
      </c>
      <c r="BU50" s="217">
        <f>CdTrp2!N42</f>
        <v>0</v>
      </c>
      <c r="BV50" s="217">
        <f>CdTrp2!O42</f>
        <v>0</v>
      </c>
      <c r="BW50" s="217">
        <f>CdTrp2!P42</f>
        <v>0</v>
      </c>
      <c r="BX50" s="217">
        <f>CdTrp2!Q42</f>
        <v>0</v>
      </c>
      <c r="BY50" s="217">
        <f>CdTrp2!R42</f>
        <v>0</v>
      </c>
      <c r="BZ50" s="217">
        <f>CdTrp2!S42</f>
        <v>0</v>
      </c>
      <c r="CA50" s="217">
        <f>CdTrp2!T42</f>
        <v>0</v>
      </c>
      <c r="CB50" s="217">
        <f>CdTrp2!U42</f>
        <v>0</v>
      </c>
      <c r="CC50" s="217">
        <f>CdTrp2!V42</f>
        <v>0</v>
      </c>
      <c r="CD50" s="217">
        <f>CdTrp2!W42</f>
        <v>0</v>
      </c>
      <c r="CE50" s="217">
        <f>CdTrp2!X42</f>
        <v>0</v>
      </c>
      <c r="CF50" s="217">
        <f>CdTrp2!Y42</f>
        <v>0</v>
      </c>
      <c r="CG50" s="217"/>
      <c r="CH50" s="217"/>
      <c r="CI50" s="218"/>
      <c r="CJ50" s="217" t="str">
        <f>CdTrp3!A42</f>
        <v>lot4</v>
      </c>
      <c r="CK50" s="221">
        <f>CdTrp3!B42</f>
        <v>0</v>
      </c>
      <c r="CL50" s="221">
        <f>CdTrp3!C42</f>
        <v>0</v>
      </c>
      <c r="CM50" s="221">
        <f>CdTrp3!D42</f>
        <v>0</v>
      </c>
      <c r="CN50" s="221">
        <f>CdTrp3!E42</f>
        <v>0</v>
      </c>
      <c r="CO50" s="221">
        <f>CdTrp3!F42</f>
        <v>0</v>
      </c>
      <c r="CP50" s="221">
        <f>CdTrp3!G42</f>
        <v>0</v>
      </c>
      <c r="CQ50" s="221">
        <f>CdTrp3!H42</f>
        <v>0</v>
      </c>
      <c r="CR50" s="221">
        <f>CdTrp3!I42</f>
        <v>0</v>
      </c>
      <c r="CS50" s="221">
        <f>CdTrp3!J42</f>
        <v>0</v>
      </c>
      <c r="CT50" s="221">
        <f>CdTrp3!K42</f>
        <v>0</v>
      </c>
      <c r="CU50" s="221">
        <f>CdTrp3!L42</f>
        <v>0</v>
      </c>
      <c r="CV50" s="221">
        <f>CdTrp3!M42</f>
        <v>0</v>
      </c>
      <c r="CW50" s="221">
        <f>CdTrp3!N42</f>
        <v>0</v>
      </c>
      <c r="CX50" s="221">
        <f>CdTrp3!O42</f>
        <v>0</v>
      </c>
      <c r="CY50" s="221">
        <f>CdTrp3!P42</f>
        <v>0</v>
      </c>
      <c r="CZ50" s="221">
        <f>CdTrp3!Q42</f>
        <v>0</v>
      </c>
      <c r="DA50" s="221">
        <f>CdTrp3!R42</f>
        <v>0</v>
      </c>
      <c r="DB50" s="221">
        <f>CdTrp3!S42</f>
        <v>0</v>
      </c>
      <c r="DC50" s="221">
        <f>CdTrp3!T42</f>
        <v>0</v>
      </c>
      <c r="DD50" s="221">
        <f>CdTrp3!U42</f>
        <v>0</v>
      </c>
      <c r="DE50" s="221">
        <f>CdTrp3!V42</f>
        <v>0</v>
      </c>
      <c r="DF50" s="221">
        <f>CdTrp3!W42</f>
        <v>0</v>
      </c>
      <c r="DG50" s="221">
        <f>CdTrp3!X42</f>
        <v>0</v>
      </c>
      <c r="DH50" s="221">
        <f>CdTrp3!Y42</f>
        <v>0</v>
      </c>
      <c r="DI50" s="217"/>
      <c r="DJ50" s="217"/>
      <c r="DK50" s="218"/>
      <c r="DL50" s="217" t="str">
        <f>CdTrp4!A42</f>
        <v>lot4</v>
      </c>
      <c r="DM50" s="221">
        <f>CdTrp4!B42</f>
        <v>0</v>
      </c>
      <c r="DN50" s="221">
        <f>CdTrp4!C42</f>
        <v>0</v>
      </c>
      <c r="DO50" s="221">
        <f>CdTrp4!D42</f>
        <v>0</v>
      </c>
      <c r="DP50" s="221">
        <f>CdTrp4!E42</f>
        <v>0</v>
      </c>
      <c r="DQ50" s="221">
        <f>CdTrp4!F42</f>
        <v>0</v>
      </c>
      <c r="DR50" s="221">
        <f>CdTrp4!G42</f>
        <v>0</v>
      </c>
      <c r="DS50" s="221">
        <f>CdTrp4!H42</f>
        <v>0</v>
      </c>
      <c r="DT50" s="221">
        <f>CdTrp4!I42</f>
        <v>0</v>
      </c>
      <c r="DU50" s="221">
        <f>CdTrp4!J42</f>
        <v>0</v>
      </c>
      <c r="DV50" s="221">
        <f>CdTrp4!K42</f>
        <v>0</v>
      </c>
      <c r="DW50" s="221">
        <f>CdTrp4!L42</f>
        <v>0</v>
      </c>
      <c r="DX50" s="221">
        <f>CdTrp4!M42</f>
        <v>0</v>
      </c>
      <c r="DY50" s="221">
        <f>CdTrp4!N42</f>
        <v>0</v>
      </c>
      <c r="DZ50" s="221">
        <f>CdTrp4!O42</f>
        <v>0</v>
      </c>
      <c r="EA50" s="221">
        <f>CdTrp4!P42</f>
        <v>0</v>
      </c>
      <c r="EB50" s="221">
        <f>CdTrp4!Q42</f>
        <v>0</v>
      </c>
      <c r="EC50" s="221">
        <f>CdTrp4!R42</f>
        <v>0</v>
      </c>
      <c r="ED50" s="221">
        <f>CdTrp4!S42</f>
        <v>0</v>
      </c>
      <c r="EE50" s="221">
        <f>CdTrp4!T42</f>
        <v>0</v>
      </c>
      <c r="EF50" s="221">
        <f>CdTrp4!U42</f>
        <v>0</v>
      </c>
      <c r="EG50" s="221">
        <f>CdTrp4!V42</f>
        <v>0</v>
      </c>
      <c r="EH50" s="221">
        <f>CdTrp4!W42</f>
        <v>0</v>
      </c>
      <c r="EI50" s="221">
        <f>CdTrp4!X42</f>
        <v>0</v>
      </c>
      <c r="EJ50" s="221">
        <f>CdTrp4!Y42</f>
        <v>0</v>
      </c>
    </row>
    <row r="51" spans="1:143" x14ac:dyDescent="0.25">
      <c r="A51" s="5"/>
      <c r="B51" s="5"/>
      <c r="C51" s="5"/>
      <c r="D51" s="5"/>
      <c r="P51" s="223"/>
      <c r="Q51" s="223" t="s">
        <v>601</v>
      </c>
      <c r="R51" s="223" t="str">
        <f>Troupeau!C3</f>
        <v>BV</v>
      </c>
      <c r="S51" s="48">
        <f>Scénario!K61*Scénario!K62+Scénario!K79*Scénario!K80</f>
        <v>0</v>
      </c>
      <c r="T51" s="223"/>
      <c r="U51" s="223"/>
      <c r="V51" s="223"/>
      <c r="W51" s="223"/>
      <c r="X51" s="218" t="s">
        <v>957</v>
      </c>
      <c r="Y51" s="221">
        <f>IF(Troupeau!B$3="CP",Troupeau!B$49,0)</f>
        <v>0</v>
      </c>
      <c r="Z51" s="221">
        <f>IF(Troupeau!C$3="CP",Troupeau!C$49,0)</f>
        <v>0</v>
      </c>
      <c r="AA51" s="221">
        <f>IF(Troupeau!D$3="CP",Troupeau!D$49,0)</f>
        <v>0</v>
      </c>
      <c r="AB51" s="221">
        <f>IF(Troupeau!E$3="CP",Troupeau!E$49,0)</f>
        <v>0</v>
      </c>
      <c r="AC51" s="221">
        <f>SUM(Y51:AB51)</f>
        <v>0</v>
      </c>
      <c r="AD51" s="217"/>
      <c r="AE51" s="217"/>
      <c r="AF51" s="217"/>
      <c r="AG51" s="272" t="str">
        <f>CdTrp1!A43</f>
        <v>lot5</v>
      </c>
      <c r="AH51" s="221">
        <f>CdTrp1!B43</f>
        <v>0</v>
      </c>
      <c r="AI51" s="221">
        <f>CdTrp1!C43</f>
        <v>0</v>
      </c>
      <c r="AJ51" s="221">
        <f>CdTrp1!D43</f>
        <v>0</v>
      </c>
      <c r="AK51" s="221">
        <f>CdTrp1!E43</f>
        <v>0</v>
      </c>
      <c r="AL51" s="221">
        <f>CdTrp1!F43</f>
        <v>0</v>
      </c>
      <c r="AM51" s="221">
        <f>CdTrp1!G43</f>
        <v>0</v>
      </c>
      <c r="AN51" s="221">
        <f>CdTrp1!H43</f>
        <v>0</v>
      </c>
      <c r="AO51" s="221">
        <f>CdTrp1!I43</f>
        <v>0</v>
      </c>
      <c r="AP51" s="221">
        <f>CdTrp1!J43</f>
        <v>0</v>
      </c>
      <c r="AQ51" s="221">
        <f>CdTrp1!K43</f>
        <v>0</v>
      </c>
      <c r="AR51" s="221">
        <f>CdTrp1!L43</f>
        <v>0</v>
      </c>
      <c r="AS51" s="221">
        <f>CdTrp1!M43</f>
        <v>0</v>
      </c>
      <c r="AT51" s="221">
        <f>CdTrp1!N43</f>
        <v>0</v>
      </c>
      <c r="AU51" s="221">
        <f>CdTrp1!O43</f>
        <v>0</v>
      </c>
      <c r="AV51" s="228" t="e">
        <f ca="1">'Calcul éco'!AF234($AT$50,AT51,$AT$60,-$AT$49)</f>
        <v>#REF!</v>
      </c>
      <c r="AW51" s="221">
        <f>CdTrp1!Q43</f>
        <v>0</v>
      </c>
      <c r="AX51" s="221">
        <f>CdTrp1!R43</f>
        <v>0</v>
      </c>
      <c r="AY51" s="221">
        <f>CdTrp1!S43</f>
        <v>0</v>
      </c>
      <c r="AZ51" s="221">
        <f>CdTrp1!T43</f>
        <v>0</v>
      </c>
      <c r="BA51" s="221">
        <f>CdTrp1!U43</f>
        <v>0</v>
      </c>
      <c r="BB51" s="221">
        <f>CdTrp1!V43</f>
        <v>0</v>
      </c>
      <c r="BC51" s="221">
        <f>CdTrp1!W43</f>
        <v>0</v>
      </c>
      <c r="BD51" s="221">
        <f>CdTrp1!X43</f>
        <v>0</v>
      </c>
      <c r="BE51" s="221">
        <f>CdTrp1!Y43</f>
        <v>0</v>
      </c>
      <c r="BF51" s="217"/>
      <c r="BG51" s="218"/>
      <c r="BH51" s="272" t="str">
        <f>CdTrp2!A43</f>
        <v>lot5</v>
      </c>
      <c r="BI51" s="217">
        <f>CdTrp2!B43</f>
        <v>0</v>
      </c>
      <c r="BJ51" s="217">
        <f>CdTrp2!C43</f>
        <v>0</v>
      </c>
      <c r="BK51" s="217">
        <f>CdTrp2!D43</f>
        <v>0</v>
      </c>
      <c r="BL51" s="217">
        <f>CdTrp2!E43</f>
        <v>0</v>
      </c>
      <c r="BM51" s="217">
        <f>CdTrp2!F43</f>
        <v>0</v>
      </c>
      <c r="BN51" s="217">
        <f>CdTrp2!G43</f>
        <v>0</v>
      </c>
      <c r="BO51" s="217">
        <f>CdTrp2!H43</f>
        <v>0</v>
      </c>
      <c r="BP51" s="217">
        <f>CdTrp2!I43</f>
        <v>0</v>
      </c>
      <c r="BQ51" s="217">
        <f>CdTrp2!J43</f>
        <v>0</v>
      </c>
      <c r="BR51" s="217">
        <f>CdTrp2!K43</f>
        <v>0</v>
      </c>
      <c r="BS51" s="217">
        <f>CdTrp2!L43</f>
        <v>0</v>
      </c>
      <c r="BT51" s="217">
        <f>CdTrp2!M43</f>
        <v>0</v>
      </c>
      <c r="BU51" s="217">
        <f>CdTrp2!N43</f>
        <v>0</v>
      </c>
      <c r="BV51" s="217">
        <f>CdTrp2!O43</f>
        <v>0</v>
      </c>
      <c r="BW51" s="217">
        <f>CdTrp2!P43</f>
        <v>0</v>
      </c>
      <c r="BX51" s="217">
        <f>CdTrp2!Q43</f>
        <v>0</v>
      </c>
      <c r="BY51" s="217">
        <f>CdTrp2!R43</f>
        <v>0</v>
      </c>
      <c r="BZ51" s="217">
        <f>CdTrp2!S43</f>
        <v>0</v>
      </c>
      <c r="CA51" s="217">
        <f>CdTrp2!T43</f>
        <v>0</v>
      </c>
      <c r="CB51" s="217">
        <f>CdTrp2!U43</f>
        <v>0</v>
      </c>
      <c r="CC51" s="217">
        <f>CdTrp2!V43</f>
        <v>0</v>
      </c>
      <c r="CD51" s="217">
        <f>CdTrp2!W43</f>
        <v>0</v>
      </c>
      <c r="CE51" s="217">
        <f>CdTrp2!X43</f>
        <v>0</v>
      </c>
      <c r="CF51" s="217">
        <f>CdTrp2!Y43</f>
        <v>0</v>
      </c>
      <c r="CG51" s="217"/>
      <c r="CH51" s="217"/>
      <c r="CI51" s="218"/>
      <c r="CJ51" s="272" t="str">
        <f>CdTrp3!A43</f>
        <v>lot5</v>
      </c>
      <c r="CK51" s="221">
        <f>CdTrp3!B43</f>
        <v>0</v>
      </c>
      <c r="CL51" s="221">
        <f>CdTrp3!C43</f>
        <v>0</v>
      </c>
      <c r="CM51" s="221">
        <f>CdTrp3!D43</f>
        <v>0</v>
      </c>
      <c r="CN51" s="221">
        <f>CdTrp3!E43</f>
        <v>0</v>
      </c>
      <c r="CO51" s="221">
        <f>CdTrp3!F43</f>
        <v>0</v>
      </c>
      <c r="CP51" s="221">
        <f>CdTrp3!G43</f>
        <v>0</v>
      </c>
      <c r="CQ51" s="221">
        <f>CdTrp3!H43</f>
        <v>0</v>
      </c>
      <c r="CR51" s="221">
        <f>CdTrp3!I43</f>
        <v>0</v>
      </c>
      <c r="CS51" s="221">
        <f>CdTrp3!J43</f>
        <v>0</v>
      </c>
      <c r="CT51" s="221">
        <f>CdTrp3!K43</f>
        <v>0</v>
      </c>
      <c r="CU51" s="221">
        <f>CdTrp3!L43</f>
        <v>0</v>
      </c>
      <c r="CV51" s="221">
        <f>CdTrp3!M43</f>
        <v>0</v>
      </c>
      <c r="CW51" s="221">
        <f>CdTrp3!N43</f>
        <v>0</v>
      </c>
      <c r="CX51" s="221">
        <f>CdTrp3!O43</f>
        <v>0</v>
      </c>
      <c r="CY51" s="221">
        <f>CdTrp3!P43</f>
        <v>0</v>
      </c>
      <c r="CZ51" s="221">
        <f>CdTrp3!Q43</f>
        <v>0</v>
      </c>
      <c r="DA51" s="221">
        <f>CdTrp3!R43</f>
        <v>0</v>
      </c>
      <c r="DB51" s="221">
        <f>CdTrp3!S43</f>
        <v>0</v>
      </c>
      <c r="DC51" s="221">
        <f>CdTrp3!T43</f>
        <v>0</v>
      </c>
      <c r="DD51" s="221">
        <f>CdTrp3!U43</f>
        <v>0</v>
      </c>
      <c r="DE51" s="221">
        <f>CdTrp3!V43</f>
        <v>0</v>
      </c>
      <c r="DF51" s="221">
        <f>CdTrp3!W43</f>
        <v>0</v>
      </c>
      <c r="DG51" s="221">
        <f>CdTrp3!X43</f>
        <v>0</v>
      </c>
      <c r="DH51" s="221">
        <f>CdTrp3!Y43</f>
        <v>0</v>
      </c>
      <c r="DI51" s="217"/>
      <c r="DJ51" s="217"/>
      <c r="DK51" s="218"/>
      <c r="DL51" s="272" t="str">
        <f>CdTrp4!A43</f>
        <v>lot5</v>
      </c>
      <c r="DM51" s="221">
        <f>CdTrp4!B43</f>
        <v>0</v>
      </c>
      <c r="DN51" s="221">
        <f>CdTrp4!C43</f>
        <v>0</v>
      </c>
      <c r="DO51" s="221">
        <f>CdTrp4!D43</f>
        <v>0</v>
      </c>
      <c r="DP51" s="221">
        <f>CdTrp4!E43</f>
        <v>0</v>
      </c>
      <c r="DQ51" s="221">
        <f>CdTrp4!F43</f>
        <v>0</v>
      </c>
      <c r="DR51" s="221">
        <f>CdTrp4!G43</f>
        <v>0</v>
      </c>
      <c r="DS51" s="221">
        <f>CdTrp4!H43</f>
        <v>0</v>
      </c>
      <c r="DT51" s="221">
        <f>CdTrp4!I43</f>
        <v>0</v>
      </c>
      <c r="DU51" s="221">
        <f>CdTrp4!J43</f>
        <v>0</v>
      </c>
      <c r="DV51" s="221">
        <f>CdTrp4!K43</f>
        <v>0</v>
      </c>
      <c r="DW51" s="221">
        <f>CdTrp4!L43</f>
        <v>0</v>
      </c>
      <c r="DX51" s="221">
        <f>CdTrp4!M43</f>
        <v>0</v>
      </c>
      <c r="DY51" s="221">
        <f>CdTrp4!N43</f>
        <v>0</v>
      </c>
      <c r="DZ51" s="221">
        <f>CdTrp4!O43</f>
        <v>0</v>
      </c>
      <c r="EA51" s="221">
        <f>CdTrp4!P43</f>
        <v>0</v>
      </c>
      <c r="EB51" s="221">
        <f>CdTrp4!Q43</f>
        <v>0</v>
      </c>
      <c r="EC51" s="221">
        <f>CdTrp4!R43</f>
        <v>0</v>
      </c>
      <c r="ED51" s="221">
        <f>CdTrp4!S43</f>
        <v>0</v>
      </c>
      <c r="EE51" s="221">
        <f>CdTrp4!T43</f>
        <v>0</v>
      </c>
      <c r="EF51" s="221">
        <f>CdTrp4!U43</f>
        <v>0</v>
      </c>
      <c r="EG51" s="221">
        <f>CdTrp4!V43</f>
        <v>0</v>
      </c>
      <c r="EH51" s="221">
        <f>CdTrp4!W43</f>
        <v>0</v>
      </c>
      <c r="EI51" s="221">
        <f>CdTrp4!X43</f>
        <v>0</v>
      </c>
      <c r="EJ51" s="221">
        <f>CdTrp4!Y43</f>
        <v>0</v>
      </c>
      <c r="EK51" s="223"/>
      <c r="EL51" s="223"/>
      <c r="EM51" s="223"/>
    </row>
    <row r="52" spans="1:143" x14ac:dyDescent="0.25">
      <c r="Q52" t="s">
        <v>738</v>
      </c>
      <c r="R52">
        <f>Troupeau!D3</f>
        <v>0</v>
      </c>
      <c r="S52" s="30">
        <f>Scénario!K66*Scénario!K67+Scénario!K82*Scénario!K83</f>
        <v>0</v>
      </c>
      <c r="X52" s="217"/>
      <c r="Y52" s="217"/>
      <c r="Z52" s="217"/>
      <c r="AA52" s="217"/>
      <c r="AB52" s="217"/>
      <c r="AC52" s="217"/>
      <c r="AD52" s="217"/>
      <c r="AE52" s="217"/>
      <c r="AF52" s="217"/>
      <c r="AG52" s="217" t="str">
        <f>CdTrp1!A44</f>
        <v>lot6</v>
      </c>
      <c r="AH52" s="221">
        <f>CdTrp1!B44</f>
        <v>0</v>
      </c>
      <c r="AI52" s="221">
        <f>CdTrp1!C44</f>
        <v>0</v>
      </c>
      <c r="AJ52" s="221">
        <f>CdTrp1!D44</f>
        <v>0</v>
      </c>
      <c r="AK52" s="221">
        <f>CdTrp1!E44</f>
        <v>0</v>
      </c>
      <c r="AL52" s="221">
        <f>CdTrp1!F44</f>
        <v>0</v>
      </c>
      <c r="AM52" s="221">
        <f>CdTrp1!G44</f>
        <v>0</v>
      </c>
      <c r="AN52" s="221">
        <f>CdTrp1!H44</f>
        <v>0</v>
      </c>
      <c r="AO52" s="221">
        <f>CdTrp1!I44</f>
        <v>0</v>
      </c>
      <c r="AP52" s="221">
        <f>CdTrp1!J44</f>
        <v>0</v>
      </c>
      <c r="AQ52" s="221">
        <f>CdTrp1!K44</f>
        <v>0</v>
      </c>
      <c r="AR52" s="221">
        <f>CdTrp1!L44</f>
        <v>0</v>
      </c>
      <c r="AS52" s="221">
        <f>CdTrp1!M44</f>
        <v>0</v>
      </c>
      <c r="AT52" s="221">
        <f>CdTrp1!N44</f>
        <v>0</v>
      </c>
      <c r="AU52" s="221">
        <f>CdTrp1!O44</f>
        <v>0</v>
      </c>
      <c r="AV52" s="221">
        <f>CdTrp1!P44</f>
        <v>0</v>
      </c>
      <c r="AW52" s="221">
        <f>CdTrp1!Q44</f>
        <v>0</v>
      </c>
      <c r="AX52" s="221">
        <f>CdTrp1!R44</f>
        <v>0</v>
      </c>
      <c r="AY52" s="221">
        <f>CdTrp1!S44</f>
        <v>0</v>
      </c>
      <c r="AZ52" s="221">
        <f>CdTrp1!T44</f>
        <v>0</v>
      </c>
      <c r="BA52" s="221">
        <f>CdTrp1!U44</f>
        <v>0</v>
      </c>
      <c r="BB52" s="221">
        <f>CdTrp1!V44</f>
        <v>0</v>
      </c>
      <c r="BC52" s="221">
        <f>CdTrp1!W44</f>
        <v>0</v>
      </c>
      <c r="BD52" s="221">
        <f>CdTrp1!X44</f>
        <v>0</v>
      </c>
      <c r="BE52" s="221">
        <f>CdTrp1!Y44</f>
        <v>0</v>
      </c>
      <c r="BF52" s="217"/>
      <c r="BG52" s="218"/>
      <c r="BH52" s="217" t="str">
        <f>CdTrp2!A44</f>
        <v>lot6</v>
      </c>
      <c r="BI52" s="217">
        <f>CdTrp2!B44</f>
        <v>0</v>
      </c>
      <c r="BJ52" s="217">
        <f>CdTrp2!C44</f>
        <v>0</v>
      </c>
      <c r="BK52" s="217">
        <f>CdTrp2!D44</f>
        <v>0</v>
      </c>
      <c r="BL52" s="217">
        <f>CdTrp2!E44</f>
        <v>0</v>
      </c>
      <c r="BM52" s="217">
        <f>CdTrp2!F44</f>
        <v>0</v>
      </c>
      <c r="BN52" s="217">
        <f>CdTrp2!G44</f>
        <v>0</v>
      </c>
      <c r="BO52" s="217">
        <f>CdTrp2!H44</f>
        <v>0</v>
      </c>
      <c r="BP52" s="217">
        <f>CdTrp2!I44</f>
        <v>0</v>
      </c>
      <c r="BQ52" s="217">
        <f>CdTrp2!J44</f>
        <v>0</v>
      </c>
      <c r="BR52" s="217">
        <f>CdTrp2!K44</f>
        <v>0</v>
      </c>
      <c r="BS52" s="217">
        <f>CdTrp2!L44</f>
        <v>0</v>
      </c>
      <c r="BT52" s="217">
        <f>CdTrp2!M44</f>
        <v>0</v>
      </c>
      <c r="BU52" s="217">
        <f>CdTrp2!N44</f>
        <v>0</v>
      </c>
      <c r="BV52" s="217">
        <f>CdTrp2!O44</f>
        <v>0</v>
      </c>
      <c r="BW52" s="217">
        <f>CdTrp2!P44</f>
        <v>0</v>
      </c>
      <c r="BX52" s="217">
        <f>CdTrp2!Q44</f>
        <v>0</v>
      </c>
      <c r="BY52" s="217">
        <f>CdTrp2!R44</f>
        <v>0</v>
      </c>
      <c r="BZ52" s="217">
        <f>CdTrp2!S44</f>
        <v>0</v>
      </c>
      <c r="CA52" s="217">
        <f>CdTrp2!T44</f>
        <v>0</v>
      </c>
      <c r="CB52" s="217">
        <f>CdTrp2!U44</f>
        <v>0</v>
      </c>
      <c r="CC52" s="217">
        <f>CdTrp2!V44</f>
        <v>0</v>
      </c>
      <c r="CD52" s="217">
        <f>CdTrp2!W44</f>
        <v>0</v>
      </c>
      <c r="CE52" s="217">
        <f>CdTrp2!X44</f>
        <v>0</v>
      </c>
      <c r="CF52" s="217">
        <f>CdTrp2!Y44</f>
        <v>0</v>
      </c>
      <c r="CG52" s="217"/>
      <c r="CH52" s="217"/>
      <c r="CI52" s="218"/>
      <c r="CJ52" s="217" t="str">
        <f>CdTrp3!A44</f>
        <v>lot6</v>
      </c>
      <c r="CK52" s="221">
        <f>CdTrp3!B44</f>
        <v>0</v>
      </c>
      <c r="CL52" s="221">
        <f>CdTrp3!C44</f>
        <v>0</v>
      </c>
      <c r="CM52" s="221">
        <f>CdTrp3!D44</f>
        <v>0</v>
      </c>
      <c r="CN52" s="221">
        <f>CdTrp3!E44</f>
        <v>0</v>
      </c>
      <c r="CO52" s="221">
        <f>CdTrp3!F44</f>
        <v>0</v>
      </c>
      <c r="CP52" s="221">
        <f>CdTrp3!G44</f>
        <v>0</v>
      </c>
      <c r="CQ52" s="221">
        <f>CdTrp3!H44</f>
        <v>0</v>
      </c>
      <c r="CR52" s="221">
        <f>CdTrp3!I44</f>
        <v>0</v>
      </c>
      <c r="CS52" s="221">
        <f>CdTrp3!J44</f>
        <v>0</v>
      </c>
      <c r="CT52" s="221">
        <f>CdTrp3!K44</f>
        <v>0</v>
      </c>
      <c r="CU52" s="221">
        <f>CdTrp3!L44</f>
        <v>0</v>
      </c>
      <c r="CV52" s="221">
        <f>CdTrp3!M44</f>
        <v>0</v>
      </c>
      <c r="CW52" s="221">
        <f>CdTrp3!N44</f>
        <v>0</v>
      </c>
      <c r="CX52" s="221">
        <f>CdTrp3!O44</f>
        <v>0</v>
      </c>
      <c r="CY52" s="221">
        <f>CdTrp3!P44</f>
        <v>0</v>
      </c>
      <c r="CZ52" s="221">
        <f>CdTrp3!Q44</f>
        <v>0</v>
      </c>
      <c r="DA52" s="221">
        <f>CdTrp3!R44</f>
        <v>0</v>
      </c>
      <c r="DB52" s="221">
        <f>CdTrp3!S44</f>
        <v>0</v>
      </c>
      <c r="DC52" s="221">
        <f>CdTrp3!T44</f>
        <v>0</v>
      </c>
      <c r="DD52" s="221">
        <f>CdTrp3!U44</f>
        <v>0</v>
      </c>
      <c r="DE52" s="221">
        <f>CdTrp3!V44</f>
        <v>0</v>
      </c>
      <c r="DF52" s="221">
        <f>CdTrp3!W44</f>
        <v>0</v>
      </c>
      <c r="DG52" s="221">
        <f>CdTrp3!X44</f>
        <v>0</v>
      </c>
      <c r="DH52" s="221">
        <f>CdTrp3!Y44</f>
        <v>0</v>
      </c>
      <c r="DI52" s="217"/>
      <c r="DJ52" s="217"/>
      <c r="DK52" s="218"/>
      <c r="DL52" s="217" t="str">
        <f>CdTrp4!A44</f>
        <v>lot6</v>
      </c>
      <c r="DM52" s="221">
        <f>CdTrp4!B44</f>
        <v>0</v>
      </c>
      <c r="DN52" s="221">
        <f>CdTrp4!C44</f>
        <v>0</v>
      </c>
      <c r="DO52" s="221">
        <f>CdTrp4!D44</f>
        <v>0</v>
      </c>
      <c r="DP52" s="221">
        <f>CdTrp4!E44</f>
        <v>0</v>
      </c>
      <c r="DQ52" s="221">
        <f>CdTrp4!F44</f>
        <v>0</v>
      </c>
      <c r="DR52" s="221">
        <f>CdTrp4!G44</f>
        <v>0</v>
      </c>
      <c r="DS52" s="221">
        <f>CdTrp4!H44</f>
        <v>0</v>
      </c>
      <c r="DT52" s="221">
        <f>CdTrp4!I44</f>
        <v>0</v>
      </c>
      <c r="DU52" s="221">
        <f>CdTrp4!J44</f>
        <v>0</v>
      </c>
      <c r="DV52" s="221">
        <f>CdTrp4!K44</f>
        <v>0</v>
      </c>
      <c r="DW52" s="221">
        <f>CdTrp4!L44</f>
        <v>0</v>
      </c>
      <c r="DX52" s="221">
        <f>CdTrp4!M44</f>
        <v>0</v>
      </c>
      <c r="DY52" s="221">
        <f>CdTrp4!N44</f>
        <v>0</v>
      </c>
      <c r="DZ52" s="221">
        <f>CdTrp4!O44</f>
        <v>0</v>
      </c>
      <c r="EA52" s="221">
        <f>CdTrp4!P44</f>
        <v>0</v>
      </c>
      <c r="EB52" s="221">
        <f>CdTrp4!Q44</f>
        <v>0</v>
      </c>
      <c r="EC52" s="221">
        <f>CdTrp4!R44</f>
        <v>0</v>
      </c>
      <c r="ED52" s="221">
        <f>CdTrp4!S44</f>
        <v>0</v>
      </c>
      <c r="EE52" s="221">
        <f>CdTrp4!T44</f>
        <v>0</v>
      </c>
      <c r="EF52" s="221">
        <f>CdTrp4!U44</f>
        <v>0</v>
      </c>
      <c r="EG52" s="221">
        <f>CdTrp4!V44</f>
        <v>0</v>
      </c>
      <c r="EH52" s="221">
        <f>CdTrp4!W44</f>
        <v>0</v>
      </c>
      <c r="EI52" s="221">
        <f>CdTrp4!X44</f>
        <v>0</v>
      </c>
      <c r="EJ52" s="221">
        <f>CdTrp4!Y44</f>
        <v>0</v>
      </c>
    </row>
    <row r="53" spans="1:143" x14ac:dyDescent="0.25">
      <c r="A53" s="5"/>
      <c r="B53" s="5"/>
      <c r="C53" s="5"/>
      <c r="D53" s="5"/>
      <c r="X53" s="218" t="s">
        <v>999</v>
      </c>
      <c r="Y53" s="217">
        <f>ROUND(SUM(AC49:AC51)/SUM(AC47:AC51)*100,0)</f>
        <v>73</v>
      </c>
      <c r="Z53" s="217" t="s">
        <v>453</v>
      </c>
      <c r="AA53" s="217"/>
      <c r="AB53" s="217"/>
      <c r="AC53" s="217"/>
      <c r="AD53" s="217"/>
      <c r="AE53" s="217"/>
      <c r="AF53" s="217"/>
      <c r="AG53" s="272" t="str">
        <f>CdTrp1!A45</f>
        <v>lot7</v>
      </c>
      <c r="AH53" s="221">
        <f>CdTrp1!B45</f>
        <v>0</v>
      </c>
      <c r="AI53" s="221">
        <f>CdTrp1!C45</f>
        <v>0</v>
      </c>
      <c r="AJ53" s="221">
        <f>CdTrp1!D45</f>
        <v>0</v>
      </c>
      <c r="AK53" s="221">
        <f>CdTrp1!E45</f>
        <v>0</v>
      </c>
      <c r="AL53" s="221">
        <f>CdTrp1!F45</f>
        <v>0</v>
      </c>
      <c r="AM53" s="221">
        <f>CdTrp1!G45</f>
        <v>0</v>
      </c>
      <c r="AN53" s="221">
        <f>CdTrp1!H45</f>
        <v>0</v>
      </c>
      <c r="AO53" s="221">
        <f>CdTrp1!I45</f>
        <v>0</v>
      </c>
      <c r="AP53" s="221">
        <f>CdTrp1!J45</f>
        <v>0</v>
      </c>
      <c r="AQ53" s="221">
        <f>CdTrp1!K45</f>
        <v>0</v>
      </c>
      <c r="AR53" s="221">
        <f>CdTrp1!L45</f>
        <v>0</v>
      </c>
      <c r="AS53" s="221">
        <f>CdTrp1!M45</f>
        <v>0</v>
      </c>
      <c r="AT53" s="221">
        <f>CdTrp1!N45</f>
        <v>0</v>
      </c>
      <c r="AU53" s="221">
        <f>CdTrp1!O45</f>
        <v>0</v>
      </c>
      <c r="AV53" s="221">
        <f>CdTrp1!P45</f>
        <v>0</v>
      </c>
      <c r="AW53" s="221">
        <f>CdTrp1!Q45</f>
        <v>0</v>
      </c>
      <c r="AX53" s="221">
        <f>CdTrp1!R45</f>
        <v>0</v>
      </c>
      <c r="AY53" s="221">
        <f>CdTrp1!S45</f>
        <v>0</v>
      </c>
      <c r="AZ53" s="221">
        <f>CdTrp1!T45</f>
        <v>0</v>
      </c>
      <c r="BA53" s="221">
        <f>CdTrp1!U45</f>
        <v>0</v>
      </c>
      <c r="BB53" s="221">
        <f>CdTrp1!V45</f>
        <v>0</v>
      </c>
      <c r="BC53" s="221">
        <f>CdTrp1!W45</f>
        <v>0</v>
      </c>
      <c r="BD53" s="221">
        <f>CdTrp1!X45</f>
        <v>0</v>
      </c>
      <c r="BE53" s="221">
        <f>CdTrp1!Y45</f>
        <v>0</v>
      </c>
      <c r="BF53" s="217"/>
      <c r="BG53" s="218"/>
      <c r="BH53" s="272" t="str">
        <f>CdTrp2!A45</f>
        <v>lot7</v>
      </c>
      <c r="BI53" s="217">
        <f>CdTrp2!B45</f>
        <v>0</v>
      </c>
      <c r="BJ53" s="217">
        <f>CdTrp2!C45</f>
        <v>0</v>
      </c>
      <c r="BK53" s="217">
        <f>CdTrp2!D45</f>
        <v>0</v>
      </c>
      <c r="BL53" s="217">
        <f>CdTrp2!E45</f>
        <v>0</v>
      </c>
      <c r="BM53" s="217">
        <f>CdTrp2!F45</f>
        <v>0</v>
      </c>
      <c r="BN53" s="217">
        <f>CdTrp2!G45</f>
        <v>0</v>
      </c>
      <c r="BO53" s="217">
        <f>CdTrp2!H45</f>
        <v>0</v>
      </c>
      <c r="BP53" s="217">
        <f>CdTrp2!I45</f>
        <v>0</v>
      </c>
      <c r="BQ53" s="217">
        <f>CdTrp2!J45</f>
        <v>0</v>
      </c>
      <c r="BR53" s="217">
        <f>CdTrp2!K45</f>
        <v>0</v>
      </c>
      <c r="BS53" s="217">
        <f>CdTrp2!L45</f>
        <v>0</v>
      </c>
      <c r="BT53" s="217">
        <f>CdTrp2!M45</f>
        <v>0</v>
      </c>
      <c r="BU53" s="217">
        <f>CdTrp2!N45</f>
        <v>0</v>
      </c>
      <c r="BV53" s="217">
        <f>CdTrp2!O45</f>
        <v>0</v>
      </c>
      <c r="BW53" s="217">
        <f>CdTrp2!P45</f>
        <v>0</v>
      </c>
      <c r="BX53" s="217">
        <f>CdTrp2!Q45</f>
        <v>0</v>
      </c>
      <c r="BY53" s="217">
        <f>CdTrp2!R45</f>
        <v>0</v>
      </c>
      <c r="BZ53" s="217">
        <f>CdTrp2!S45</f>
        <v>0</v>
      </c>
      <c r="CA53" s="217">
        <f>CdTrp2!T45</f>
        <v>0</v>
      </c>
      <c r="CB53" s="217">
        <f>CdTrp2!U45</f>
        <v>0</v>
      </c>
      <c r="CC53" s="217">
        <f>CdTrp2!V45</f>
        <v>0</v>
      </c>
      <c r="CD53" s="217">
        <f>CdTrp2!W45</f>
        <v>0</v>
      </c>
      <c r="CE53" s="217">
        <f>CdTrp2!X45</f>
        <v>0</v>
      </c>
      <c r="CF53" s="217">
        <f>CdTrp2!Y45</f>
        <v>0</v>
      </c>
      <c r="CG53" s="217"/>
      <c r="CH53" s="217"/>
      <c r="CI53" s="218"/>
      <c r="CJ53" s="272" t="str">
        <f>CdTrp3!A45</f>
        <v>lot7</v>
      </c>
      <c r="CK53" s="221">
        <f>CdTrp3!B45</f>
        <v>0</v>
      </c>
      <c r="CL53" s="221">
        <f>CdTrp3!C45</f>
        <v>0</v>
      </c>
      <c r="CM53" s="221">
        <f>CdTrp3!D45</f>
        <v>0</v>
      </c>
      <c r="CN53" s="221">
        <f>CdTrp3!E45</f>
        <v>0</v>
      </c>
      <c r="CO53" s="221">
        <f>CdTrp3!F45</f>
        <v>0</v>
      </c>
      <c r="CP53" s="221">
        <f>CdTrp3!G45</f>
        <v>0</v>
      </c>
      <c r="CQ53" s="221">
        <f>CdTrp3!H45</f>
        <v>0</v>
      </c>
      <c r="CR53" s="221">
        <f>CdTrp3!I45</f>
        <v>0</v>
      </c>
      <c r="CS53" s="221">
        <f>CdTrp3!J45</f>
        <v>0</v>
      </c>
      <c r="CT53" s="221">
        <f>CdTrp3!K45</f>
        <v>0</v>
      </c>
      <c r="CU53" s="221">
        <f>CdTrp3!L45</f>
        <v>0</v>
      </c>
      <c r="CV53" s="221">
        <f>CdTrp3!M45</f>
        <v>0</v>
      </c>
      <c r="CW53" s="221">
        <f>CdTrp3!N45</f>
        <v>0</v>
      </c>
      <c r="CX53" s="221">
        <f>CdTrp3!O45</f>
        <v>0</v>
      </c>
      <c r="CY53" s="221">
        <f>CdTrp3!P45</f>
        <v>0</v>
      </c>
      <c r="CZ53" s="221">
        <f>CdTrp3!Q45</f>
        <v>0</v>
      </c>
      <c r="DA53" s="221">
        <f>CdTrp3!R45</f>
        <v>0</v>
      </c>
      <c r="DB53" s="221">
        <f>CdTrp3!S45</f>
        <v>0</v>
      </c>
      <c r="DC53" s="221">
        <f>CdTrp3!T45</f>
        <v>0</v>
      </c>
      <c r="DD53" s="221">
        <f>CdTrp3!U45</f>
        <v>0</v>
      </c>
      <c r="DE53" s="221">
        <f>CdTrp3!V45</f>
        <v>0</v>
      </c>
      <c r="DF53" s="221">
        <f>CdTrp3!W45</f>
        <v>0</v>
      </c>
      <c r="DG53" s="221">
        <f>CdTrp3!X45</f>
        <v>0</v>
      </c>
      <c r="DH53" s="221">
        <f>CdTrp3!Y45</f>
        <v>0</v>
      </c>
      <c r="DI53" s="217"/>
      <c r="DJ53" s="217"/>
      <c r="DK53" s="218"/>
      <c r="DL53" s="272" t="str">
        <f>CdTrp4!A45</f>
        <v>lot7</v>
      </c>
      <c r="DM53" s="221">
        <f>CdTrp4!B45</f>
        <v>0</v>
      </c>
      <c r="DN53" s="221">
        <f>CdTrp4!C45</f>
        <v>0</v>
      </c>
      <c r="DO53" s="221">
        <f>CdTrp4!D45</f>
        <v>0</v>
      </c>
      <c r="DP53" s="221">
        <f>CdTrp4!E45</f>
        <v>0</v>
      </c>
      <c r="DQ53" s="221">
        <f>CdTrp4!F45</f>
        <v>0</v>
      </c>
      <c r="DR53" s="221">
        <f>CdTrp4!G45</f>
        <v>0</v>
      </c>
      <c r="DS53" s="221">
        <f>CdTrp4!H45</f>
        <v>0</v>
      </c>
      <c r="DT53" s="221">
        <f>CdTrp4!I45</f>
        <v>0</v>
      </c>
      <c r="DU53" s="221">
        <f>CdTrp4!J45</f>
        <v>0</v>
      </c>
      <c r="DV53" s="221">
        <f>CdTrp4!K45</f>
        <v>0</v>
      </c>
      <c r="DW53" s="221">
        <f>CdTrp4!L45</f>
        <v>0</v>
      </c>
      <c r="DX53" s="221">
        <f>CdTrp4!M45</f>
        <v>0</v>
      </c>
      <c r="DY53" s="221">
        <f>CdTrp4!N45</f>
        <v>0</v>
      </c>
      <c r="DZ53" s="221">
        <f>CdTrp4!O45</f>
        <v>0</v>
      </c>
      <c r="EA53" s="221">
        <f>CdTrp4!P45</f>
        <v>0</v>
      </c>
      <c r="EB53" s="221">
        <f>CdTrp4!Q45</f>
        <v>0</v>
      </c>
      <c r="EC53" s="221">
        <f>CdTrp4!R45</f>
        <v>0</v>
      </c>
      <c r="ED53" s="221">
        <f>CdTrp4!S45</f>
        <v>0</v>
      </c>
      <c r="EE53" s="221">
        <f>CdTrp4!T45</f>
        <v>0</v>
      </c>
      <c r="EF53" s="221">
        <f>CdTrp4!U45</f>
        <v>0</v>
      </c>
      <c r="EG53" s="221">
        <f>CdTrp4!V45</f>
        <v>0</v>
      </c>
      <c r="EH53" s="221">
        <f>CdTrp4!W45</f>
        <v>0</v>
      </c>
      <c r="EI53" s="221">
        <f>CdTrp4!X45</f>
        <v>0</v>
      </c>
      <c r="EJ53" s="221">
        <f>CdTrp4!Y45</f>
        <v>0</v>
      </c>
    </row>
    <row r="54" spans="1:143" x14ac:dyDescent="0.25">
      <c r="A54" s="5"/>
      <c r="B54" s="5"/>
      <c r="C54" s="5"/>
      <c r="D54" s="5"/>
      <c r="R54" s="14" t="s">
        <v>1000</v>
      </c>
      <c r="S54" s="30">
        <f>SUM(S50:S53)</f>
        <v>126</v>
      </c>
      <c r="U54" s="4"/>
      <c r="X54" s="217"/>
      <c r="Y54" s="217"/>
      <c r="Z54" s="217"/>
      <c r="AA54" s="217"/>
      <c r="AB54" s="217"/>
      <c r="AC54" s="217"/>
      <c r="AD54" s="217"/>
      <c r="AE54" s="217"/>
      <c r="AF54" s="217"/>
      <c r="AG54" s="272" t="str">
        <f>CdTrp1!A46</f>
        <v>lot8</v>
      </c>
      <c r="AH54" s="221">
        <f>CdTrp1!B46</f>
        <v>0</v>
      </c>
      <c r="AI54" s="221">
        <f>CdTrp1!C46</f>
        <v>0</v>
      </c>
      <c r="AJ54" s="221">
        <f>CdTrp1!D46</f>
        <v>0</v>
      </c>
      <c r="AK54" s="221">
        <f>CdTrp1!E46</f>
        <v>0</v>
      </c>
      <c r="AL54" s="221">
        <f>CdTrp1!F46</f>
        <v>0</v>
      </c>
      <c r="AM54" s="221">
        <f>CdTrp1!G46</f>
        <v>0</v>
      </c>
      <c r="AN54" s="221">
        <f>CdTrp1!H46</f>
        <v>0</v>
      </c>
      <c r="AO54" s="221">
        <f>CdTrp1!I46</f>
        <v>0</v>
      </c>
      <c r="AP54" s="221">
        <f>CdTrp1!J46</f>
        <v>0</v>
      </c>
      <c r="AQ54" s="221">
        <f>CdTrp1!K46</f>
        <v>0</v>
      </c>
      <c r="AR54" s="221">
        <f>CdTrp1!L46</f>
        <v>0</v>
      </c>
      <c r="AS54" s="221">
        <f>CdTrp1!M46</f>
        <v>0</v>
      </c>
      <c r="AT54" s="221">
        <f>CdTrp1!N46</f>
        <v>0</v>
      </c>
      <c r="AU54" s="221">
        <f>CdTrp1!O46</f>
        <v>0</v>
      </c>
      <c r="AV54" s="221">
        <f>CdTrp1!P46</f>
        <v>0</v>
      </c>
      <c r="AW54" s="221">
        <f>CdTrp1!Q46</f>
        <v>0</v>
      </c>
      <c r="AX54" s="221">
        <f>CdTrp1!R46</f>
        <v>0</v>
      </c>
      <c r="AY54" s="221">
        <f>CdTrp1!S46</f>
        <v>0</v>
      </c>
      <c r="AZ54" s="221">
        <f>CdTrp1!T46</f>
        <v>0</v>
      </c>
      <c r="BA54" s="221">
        <f>CdTrp1!U46</f>
        <v>0</v>
      </c>
      <c r="BB54" s="221">
        <f>CdTrp1!V46</f>
        <v>0</v>
      </c>
      <c r="BC54" s="221">
        <f>CdTrp1!W46</f>
        <v>0</v>
      </c>
      <c r="BD54" s="221">
        <f>CdTrp1!X46</f>
        <v>0</v>
      </c>
      <c r="BE54" s="221">
        <f>CdTrp1!Y46</f>
        <v>0</v>
      </c>
      <c r="BF54" s="217"/>
      <c r="BG54" s="218"/>
      <c r="BH54" s="272" t="str">
        <f>CdTrp2!A46</f>
        <v>lot8</v>
      </c>
      <c r="BI54" s="217">
        <f>CdTrp2!B46</f>
        <v>0</v>
      </c>
      <c r="BJ54" s="217">
        <f>CdTrp2!C46</f>
        <v>0</v>
      </c>
      <c r="BK54" s="217">
        <f>CdTrp2!D46</f>
        <v>0</v>
      </c>
      <c r="BL54" s="217">
        <f>CdTrp2!E46</f>
        <v>0</v>
      </c>
      <c r="BM54" s="217">
        <f>CdTrp2!F46</f>
        <v>0</v>
      </c>
      <c r="BN54" s="217">
        <f>CdTrp2!G46</f>
        <v>0</v>
      </c>
      <c r="BO54" s="217">
        <f>CdTrp2!H46</f>
        <v>0</v>
      </c>
      <c r="BP54" s="217">
        <f>CdTrp2!I46</f>
        <v>0</v>
      </c>
      <c r="BQ54" s="217">
        <f>CdTrp2!J46</f>
        <v>0</v>
      </c>
      <c r="BR54" s="217">
        <f>CdTrp2!K46</f>
        <v>0</v>
      </c>
      <c r="BS54" s="217">
        <f>CdTrp2!L46</f>
        <v>0</v>
      </c>
      <c r="BT54" s="217">
        <f>CdTrp2!M46</f>
        <v>0</v>
      </c>
      <c r="BU54" s="217">
        <f>CdTrp2!N46</f>
        <v>0</v>
      </c>
      <c r="BV54" s="217">
        <f>CdTrp2!O46</f>
        <v>0</v>
      </c>
      <c r="BW54" s="217">
        <f>CdTrp2!P46</f>
        <v>0</v>
      </c>
      <c r="BX54" s="217">
        <f>CdTrp2!Q46</f>
        <v>0</v>
      </c>
      <c r="BY54" s="217">
        <f>CdTrp2!R46</f>
        <v>0</v>
      </c>
      <c r="BZ54" s="217">
        <f>CdTrp2!S46</f>
        <v>0</v>
      </c>
      <c r="CA54" s="217">
        <f>CdTrp2!T46</f>
        <v>0</v>
      </c>
      <c r="CB54" s="217">
        <f>CdTrp2!U46</f>
        <v>0</v>
      </c>
      <c r="CC54" s="217">
        <f>CdTrp2!V46</f>
        <v>0</v>
      </c>
      <c r="CD54" s="217">
        <f>CdTrp2!W46</f>
        <v>0</v>
      </c>
      <c r="CE54" s="217">
        <f>CdTrp2!X46</f>
        <v>0</v>
      </c>
      <c r="CF54" s="217">
        <f>CdTrp2!Y46</f>
        <v>0</v>
      </c>
      <c r="CG54" s="217"/>
      <c r="CH54" s="217"/>
      <c r="CI54" s="218"/>
      <c r="CJ54" s="272" t="str">
        <f>CdTrp3!A46</f>
        <v>lot8</v>
      </c>
      <c r="CK54" s="221">
        <f>CdTrp3!B46</f>
        <v>0</v>
      </c>
      <c r="CL54" s="221">
        <f>CdTrp3!C46</f>
        <v>0</v>
      </c>
      <c r="CM54" s="221">
        <f>CdTrp3!D46</f>
        <v>0</v>
      </c>
      <c r="CN54" s="221">
        <f>CdTrp3!E46</f>
        <v>0</v>
      </c>
      <c r="CO54" s="221">
        <f>CdTrp3!F46</f>
        <v>0</v>
      </c>
      <c r="CP54" s="221">
        <f>CdTrp3!G46</f>
        <v>0</v>
      </c>
      <c r="CQ54" s="221">
        <f>CdTrp3!H46</f>
        <v>0</v>
      </c>
      <c r="CR54" s="221">
        <f>CdTrp3!I46</f>
        <v>0</v>
      </c>
      <c r="CS54" s="221">
        <f>CdTrp3!J46</f>
        <v>0</v>
      </c>
      <c r="CT54" s="221">
        <f>CdTrp3!K46</f>
        <v>0</v>
      </c>
      <c r="CU54" s="221">
        <f>CdTrp3!L46</f>
        <v>0</v>
      </c>
      <c r="CV54" s="221">
        <f>CdTrp3!M46</f>
        <v>0</v>
      </c>
      <c r="CW54" s="221">
        <f>CdTrp3!N46</f>
        <v>0</v>
      </c>
      <c r="CX54" s="221">
        <f>CdTrp3!O46</f>
        <v>0</v>
      </c>
      <c r="CY54" s="221">
        <f>CdTrp3!P46</f>
        <v>0</v>
      </c>
      <c r="CZ54" s="221">
        <f>CdTrp3!Q46</f>
        <v>0</v>
      </c>
      <c r="DA54" s="221">
        <f>CdTrp3!R46</f>
        <v>0</v>
      </c>
      <c r="DB54" s="221">
        <f>CdTrp3!S46</f>
        <v>0</v>
      </c>
      <c r="DC54" s="221">
        <f>CdTrp3!T46</f>
        <v>0</v>
      </c>
      <c r="DD54" s="221">
        <f>CdTrp3!U46</f>
        <v>0</v>
      </c>
      <c r="DE54" s="221">
        <f>CdTrp3!V46</f>
        <v>0</v>
      </c>
      <c r="DF54" s="221">
        <f>CdTrp3!W46</f>
        <v>0</v>
      </c>
      <c r="DG54" s="221">
        <f>CdTrp3!X46</f>
        <v>0</v>
      </c>
      <c r="DH54" s="221">
        <f>CdTrp3!Y46</f>
        <v>0</v>
      </c>
      <c r="DI54" s="217"/>
      <c r="DJ54" s="217"/>
      <c r="DK54" s="218"/>
      <c r="DL54" s="272" t="str">
        <f>CdTrp4!A46</f>
        <v>lot8</v>
      </c>
      <c r="DM54" s="221">
        <f>CdTrp4!B46</f>
        <v>0</v>
      </c>
      <c r="DN54" s="221">
        <f>CdTrp4!C46</f>
        <v>0</v>
      </c>
      <c r="DO54" s="221">
        <f>CdTrp4!D46</f>
        <v>0</v>
      </c>
      <c r="DP54" s="221">
        <f>CdTrp4!E46</f>
        <v>0</v>
      </c>
      <c r="DQ54" s="221">
        <f>CdTrp4!F46</f>
        <v>0</v>
      </c>
      <c r="DR54" s="221">
        <f>CdTrp4!G46</f>
        <v>0</v>
      </c>
      <c r="DS54" s="221">
        <f>CdTrp4!H46</f>
        <v>0</v>
      </c>
      <c r="DT54" s="221">
        <f>CdTrp4!I46</f>
        <v>0</v>
      </c>
      <c r="DU54" s="221">
        <f>CdTrp4!J46</f>
        <v>0</v>
      </c>
      <c r="DV54" s="221">
        <f>CdTrp4!K46</f>
        <v>0</v>
      </c>
      <c r="DW54" s="221">
        <f>CdTrp4!L46</f>
        <v>0</v>
      </c>
      <c r="DX54" s="221">
        <f>CdTrp4!M46</f>
        <v>0</v>
      </c>
      <c r="DY54" s="221">
        <f>CdTrp4!N46</f>
        <v>0</v>
      </c>
      <c r="DZ54" s="221">
        <f>CdTrp4!O46</f>
        <v>0</v>
      </c>
      <c r="EA54" s="221">
        <f>CdTrp4!P46</f>
        <v>0</v>
      </c>
      <c r="EB54" s="221">
        <f>CdTrp4!Q46</f>
        <v>0</v>
      </c>
      <c r="EC54" s="221">
        <f>CdTrp4!R46</f>
        <v>0</v>
      </c>
      <c r="ED54" s="221">
        <f>CdTrp4!S46</f>
        <v>0</v>
      </c>
      <c r="EE54" s="221">
        <f>CdTrp4!T46</f>
        <v>0</v>
      </c>
      <c r="EF54" s="221">
        <f>CdTrp4!U46</f>
        <v>0</v>
      </c>
      <c r="EG54" s="221">
        <f>CdTrp4!V46</f>
        <v>0</v>
      </c>
      <c r="EH54" s="221">
        <f>CdTrp4!W46</f>
        <v>0</v>
      </c>
      <c r="EI54" s="221">
        <f>CdTrp4!X46</f>
        <v>0</v>
      </c>
      <c r="EJ54" s="221">
        <f>CdTrp4!Y46</f>
        <v>0</v>
      </c>
    </row>
    <row r="55" spans="1:143" x14ac:dyDescent="0.25">
      <c r="A55" s="5"/>
      <c r="B55" s="5"/>
      <c r="C55" s="5"/>
      <c r="D55" s="5"/>
      <c r="R55" s="14" t="s">
        <v>1001</v>
      </c>
      <c r="S55" s="30">
        <f>S54*[1]Eco!$B$25</f>
        <v>59.22</v>
      </c>
      <c r="X55" s="217"/>
      <c r="Y55" s="217"/>
      <c r="Z55" s="217"/>
      <c r="AA55" s="217"/>
      <c r="AB55" s="217"/>
      <c r="AC55" s="217"/>
      <c r="AD55" s="217"/>
      <c r="AE55" s="217"/>
      <c r="AF55" s="217"/>
      <c r="AG55" s="217" t="str">
        <f>CdTrp1!A47</f>
        <v>lot9</v>
      </c>
      <c r="AH55" s="221">
        <f>CdTrp1!B47</f>
        <v>0</v>
      </c>
      <c r="AI55" s="221">
        <f>CdTrp1!C47</f>
        <v>0</v>
      </c>
      <c r="AJ55" s="221">
        <f>CdTrp1!D47</f>
        <v>0</v>
      </c>
      <c r="AK55" s="221">
        <f>CdTrp1!E47</f>
        <v>0</v>
      </c>
      <c r="AL55" s="221">
        <f>CdTrp1!F47</f>
        <v>0</v>
      </c>
      <c r="AM55" s="221">
        <f>CdTrp1!G47</f>
        <v>0</v>
      </c>
      <c r="AN55" s="221">
        <f>CdTrp1!H47</f>
        <v>0</v>
      </c>
      <c r="AO55" s="221">
        <f>CdTrp1!I47</f>
        <v>0</v>
      </c>
      <c r="AP55" s="221">
        <f>CdTrp1!J47</f>
        <v>0</v>
      </c>
      <c r="AQ55" s="221">
        <f>CdTrp1!K47</f>
        <v>0</v>
      </c>
      <c r="AR55" s="221">
        <f>CdTrp1!L47</f>
        <v>0</v>
      </c>
      <c r="AS55" s="221">
        <f>CdTrp1!M47</f>
        <v>0</v>
      </c>
      <c r="AT55" s="221">
        <f>CdTrp1!N47</f>
        <v>0</v>
      </c>
      <c r="AU55" s="221">
        <f>CdTrp1!O47</f>
        <v>0</v>
      </c>
      <c r="AV55" s="221">
        <f>CdTrp1!P47</f>
        <v>0</v>
      </c>
      <c r="AW55" s="221">
        <f>CdTrp1!Q47</f>
        <v>0</v>
      </c>
      <c r="AX55" s="221">
        <f>CdTrp1!R47</f>
        <v>0</v>
      </c>
      <c r="AY55" s="221">
        <f>CdTrp1!S47</f>
        <v>0</v>
      </c>
      <c r="AZ55" s="221">
        <f>CdTrp1!T47</f>
        <v>0</v>
      </c>
      <c r="BA55" s="221">
        <f>CdTrp1!U47</f>
        <v>0</v>
      </c>
      <c r="BB55" s="221">
        <f>CdTrp1!V47</f>
        <v>0</v>
      </c>
      <c r="BC55" s="221">
        <f>CdTrp1!W47</f>
        <v>0</v>
      </c>
      <c r="BD55" s="221">
        <f>CdTrp1!X47</f>
        <v>0</v>
      </c>
      <c r="BE55" s="221">
        <f>CdTrp1!Y47</f>
        <v>0</v>
      </c>
      <c r="BF55" s="217"/>
      <c r="BG55" s="218"/>
      <c r="BH55" s="217" t="str">
        <f>CdTrp2!A47</f>
        <v>lot9</v>
      </c>
      <c r="BI55" s="217">
        <f>CdTrp2!B47</f>
        <v>0</v>
      </c>
      <c r="BJ55" s="217">
        <f>CdTrp2!C47</f>
        <v>0</v>
      </c>
      <c r="BK55" s="217">
        <f>CdTrp2!D47</f>
        <v>0</v>
      </c>
      <c r="BL55" s="217">
        <f>CdTrp2!E47</f>
        <v>0</v>
      </c>
      <c r="BM55" s="217">
        <f>CdTrp2!F47</f>
        <v>0</v>
      </c>
      <c r="BN55" s="217">
        <f>CdTrp2!G47</f>
        <v>0</v>
      </c>
      <c r="BO55" s="217">
        <f>CdTrp2!H47</f>
        <v>0</v>
      </c>
      <c r="BP55" s="217">
        <f>CdTrp2!I47</f>
        <v>0</v>
      </c>
      <c r="BQ55" s="217">
        <f>CdTrp2!J47</f>
        <v>0</v>
      </c>
      <c r="BR55" s="217">
        <f>CdTrp2!K47</f>
        <v>0</v>
      </c>
      <c r="BS55" s="217">
        <f>CdTrp2!L47</f>
        <v>0</v>
      </c>
      <c r="BT55" s="217">
        <f>CdTrp2!M47</f>
        <v>0</v>
      </c>
      <c r="BU55" s="217">
        <f>CdTrp2!N47</f>
        <v>0</v>
      </c>
      <c r="BV55" s="217">
        <f>CdTrp2!O47</f>
        <v>0</v>
      </c>
      <c r="BW55" s="217">
        <f>CdTrp2!P47</f>
        <v>0</v>
      </c>
      <c r="BX55" s="217">
        <f>CdTrp2!Q47</f>
        <v>0</v>
      </c>
      <c r="BY55" s="217">
        <f>CdTrp2!R47</f>
        <v>0</v>
      </c>
      <c r="BZ55" s="217">
        <f>CdTrp2!S47</f>
        <v>0</v>
      </c>
      <c r="CA55" s="217">
        <f>CdTrp2!T47</f>
        <v>0</v>
      </c>
      <c r="CB55" s="217">
        <f>CdTrp2!U47</f>
        <v>0</v>
      </c>
      <c r="CC55" s="217">
        <f>CdTrp2!V47</f>
        <v>0</v>
      </c>
      <c r="CD55" s="217">
        <f>CdTrp2!W47</f>
        <v>0</v>
      </c>
      <c r="CE55" s="217">
        <f>CdTrp2!X47</f>
        <v>0</v>
      </c>
      <c r="CF55" s="217">
        <f>CdTrp2!Y47</f>
        <v>0</v>
      </c>
      <c r="CG55" s="217"/>
      <c r="CH55" s="217"/>
      <c r="CI55" s="218"/>
      <c r="CJ55" s="217" t="str">
        <f>CdTrp3!A47</f>
        <v>lot9</v>
      </c>
      <c r="CK55" s="221">
        <f>CdTrp3!B47</f>
        <v>0</v>
      </c>
      <c r="CL55" s="221">
        <f>CdTrp3!C47</f>
        <v>0</v>
      </c>
      <c r="CM55" s="221">
        <f>CdTrp3!D47</f>
        <v>0</v>
      </c>
      <c r="CN55" s="221">
        <f>CdTrp3!E47</f>
        <v>0</v>
      </c>
      <c r="CO55" s="221">
        <f>CdTrp3!F47</f>
        <v>0</v>
      </c>
      <c r="CP55" s="221">
        <f>CdTrp3!G47</f>
        <v>0</v>
      </c>
      <c r="CQ55" s="221">
        <f>CdTrp3!H47</f>
        <v>0</v>
      </c>
      <c r="CR55" s="221">
        <f>CdTrp3!I47</f>
        <v>0</v>
      </c>
      <c r="CS55" s="221">
        <f>CdTrp3!J47</f>
        <v>0</v>
      </c>
      <c r="CT55" s="221">
        <f>CdTrp3!K47</f>
        <v>0</v>
      </c>
      <c r="CU55" s="221">
        <f>CdTrp3!L47</f>
        <v>0</v>
      </c>
      <c r="CV55" s="221">
        <f>CdTrp3!M47</f>
        <v>0</v>
      </c>
      <c r="CW55" s="221">
        <f>CdTrp3!N47</f>
        <v>0</v>
      </c>
      <c r="CX55" s="221">
        <f>CdTrp3!O47</f>
        <v>0</v>
      </c>
      <c r="CY55" s="221">
        <f>CdTrp3!P47</f>
        <v>0</v>
      </c>
      <c r="CZ55" s="221">
        <f>CdTrp3!Q47</f>
        <v>0</v>
      </c>
      <c r="DA55" s="221">
        <f>CdTrp3!R47</f>
        <v>0</v>
      </c>
      <c r="DB55" s="221">
        <f>CdTrp3!S47</f>
        <v>0</v>
      </c>
      <c r="DC55" s="221">
        <f>CdTrp3!T47</f>
        <v>0</v>
      </c>
      <c r="DD55" s="221">
        <f>CdTrp3!U47</f>
        <v>0</v>
      </c>
      <c r="DE55" s="221">
        <f>CdTrp3!V47</f>
        <v>0</v>
      </c>
      <c r="DF55" s="221">
        <f>CdTrp3!W47</f>
        <v>0</v>
      </c>
      <c r="DG55" s="221">
        <f>CdTrp3!X47</f>
        <v>0</v>
      </c>
      <c r="DH55" s="221">
        <f>CdTrp3!Y47</f>
        <v>0</v>
      </c>
      <c r="DI55" s="217"/>
      <c r="DJ55" s="217"/>
      <c r="DK55" s="218"/>
      <c r="DL55" s="217" t="str">
        <f>CdTrp4!A47</f>
        <v>lot9</v>
      </c>
      <c r="DM55" s="221">
        <f>CdTrp4!B47</f>
        <v>0</v>
      </c>
      <c r="DN55" s="221">
        <f>CdTrp4!C47</f>
        <v>0</v>
      </c>
      <c r="DO55" s="221">
        <f>CdTrp4!D47</f>
        <v>0</v>
      </c>
      <c r="DP55" s="221">
        <f>CdTrp4!E47</f>
        <v>0</v>
      </c>
      <c r="DQ55" s="221">
        <f>CdTrp4!F47</f>
        <v>0</v>
      </c>
      <c r="DR55" s="221">
        <f>CdTrp4!G47</f>
        <v>0</v>
      </c>
      <c r="DS55" s="221">
        <f>CdTrp4!H47</f>
        <v>0</v>
      </c>
      <c r="DT55" s="221">
        <f>CdTrp4!I47</f>
        <v>0</v>
      </c>
      <c r="DU55" s="221">
        <f>CdTrp4!J47</f>
        <v>0</v>
      </c>
      <c r="DV55" s="221">
        <f>CdTrp4!K47</f>
        <v>0</v>
      </c>
      <c r="DW55" s="221">
        <f>CdTrp4!L47</f>
        <v>0</v>
      </c>
      <c r="DX55" s="221">
        <f>CdTrp4!M47</f>
        <v>0</v>
      </c>
      <c r="DY55" s="221">
        <f>CdTrp4!N47</f>
        <v>0</v>
      </c>
      <c r="DZ55" s="221">
        <f>CdTrp4!O47</f>
        <v>0</v>
      </c>
      <c r="EA55" s="221">
        <f>CdTrp4!P47</f>
        <v>0</v>
      </c>
      <c r="EB55" s="221">
        <f>CdTrp4!Q47</f>
        <v>0</v>
      </c>
      <c r="EC55" s="221">
        <f>CdTrp4!R47</f>
        <v>0</v>
      </c>
      <c r="ED55" s="221">
        <f>CdTrp4!S47</f>
        <v>0</v>
      </c>
      <c r="EE55" s="221">
        <f>CdTrp4!T47</f>
        <v>0</v>
      </c>
      <c r="EF55" s="221">
        <f>CdTrp4!U47</f>
        <v>0</v>
      </c>
      <c r="EG55" s="221">
        <f>CdTrp4!V47</f>
        <v>0</v>
      </c>
      <c r="EH55" s="221">
        <f>CdTrp4!W47</f>
        <v>0</v>
      </c>
      <c r="EI55" s="221">
        <f>CdTrp4!X47</f>
        <v>0</v>
      </c>
      <c r="EJ55" s="221">
        <f>CdTrp4!Y47</f>
        <v>0</v>
      </c>
    </row>
    <row r="56" spans="1:143" x14ac:dyDescent="0.25">
      <c r="A56" s="5"/>
      <c r="B56" s="5"/>
      <c r="C56" s="5"/>
      <c r="D56" s="5"/>
      <c r="X56" s="217"/>
      <c r="Y56" s="217"/>
      <c r="Z56" s="217"/>
      <c r="AA56" s="217"/>
      <c r="AB56" s="217"/>
      <c r="AC56" s="217"/>
      <c r="AD56" s="217"/>
      <c r="AE56" s="217"/>
      <c r="AF56" s="217"/>
      <c r="AG56" s="272" t="str">
        <f>CdTrp1!A48</f>
        <v>lot10</v>
      </c>
      <c r="AH56" s="221">
        <f>CdTrp1!B48</f>
        <v>0</v>
      </c>
      <c r="AI56" s="221">
        <f>CdTrp1!C48</f>
        <v>0</v>
      </c>
      <c r="AJ56" s="221">
        <f>CdTrp1!D48</f>
        <v>0</v>
      </c>
      <c r="AK56" s="221">
        <f>CdTrp1!E48</f>
        <v>0</v>
      </c>
      <c r="AL56" s="221">
        <f>CdTrp1!F48</f>
        <v>0</v>
      </c>
      <c r="AM56" s="221">
        <f>CdTrp1!G48</f>
        <v>0</v>
      </c>
      <c r="AN56" s="221">
        <f>CdTrp1!H48</f>
        <v>0</v>
      </c>
      <c r="AO56" s="221">
        <f>CdTrp1!I48</f>
        <v>0</v>
      </c>
      <c r="AP56" s="221">
        <f>CdTrp1!J48</f>
        <v>0</v>
      </c>
      <c r="AQ56" s="221">
        <f>CdTrp1!K48</f>
        <v>0</v>
      </c>
      <c r="AR56" s="221">
        <f>CdTrp1!L48</f>
        <v>0</v>
      </c>
      <c r="AS56" s="221">
        <f>CdTrp1!M48</f>
        <v>0</v>
      </c>
      <c r="AT56" s="221">
        <f>CdTrp1!N48</f>
        <v>0</v>
      </c>
      <c r="AU56" s="221">
        <f>CdTrp1!O48</f>
        <v>0</v>
      </c>
      <c r="AV56" s="221">
        <f>CdTrp1!P48</f>
        <v>0</v>
      </c>
      <c r="AW56" s="221">
        <f>CdTrp1!Q48</f>
        <v>0</v>
      </c>
      <c r="AX56" s="221">
        <f>CdTrp1!R48</f>
        <v>0</v>
      </c>
      <c r="AY56" s="221">
        <f>CdTrp1!S48</f>
        <v>0</v>
      </c>
      <c r="AZ56" s="221">
        <f>CdTrp1!T48</f>
        <v>0</v>
      </c>
      <c r="BA56" s="221">
        <f>CdTrp1!U48</f>
        <v>0</v>
      </c>
      <c r="BB56" s="221">
        <f>CdTrp1!V48</f>
        <v>0</v>
      </c>
      <c r="BC56" s="221">
        <f>CdTrp1!W48</f>
        <v>0</v>
      </c>
      <c r="BD56" s="221">
        <f>CdTrp1!X48</f>
        <v>0</v>
      </c>
      <c r="BE56" s="221">
        <f>CdTrp1!Y48</f>
        <v>0</v>
      </c>
      <c r="BF56" s="217"/>
      <c r="BG56" s="218"/>
      <c r="BH56" s="272" t="str">
        <f>CdTrp2!A48</f>
        <v>lot10</v>
      </c>
      <c r="BI56" s="217">
        <f>CdTrp2!B48</f>
        <v>0</v>
      </c>
      <c r="BJ56" s="217">
        <f>CdTrp2!C48</f>
        <v>0</v>
      </c>
      <c r="BK56" s="217">
        <f>CdTrp2!D48</f>
        <v>0</v>
      </c>
      <c r="BL56" s="217">
        <f>CdTrp2!E48</f>
        <v>0</v>
      </c>
      <c r="BM56" s="217">
        <f>CdTrp2!F48</f>
        <v>0</v>
      </c>
      <c r="BN56" s="217">
        <f>CdTrp2!G48</f>
        <v>0</v>
      </c>
      <c r="BO56" s="217">
        <f>CdTrp2!H48</f>
        <v>0</v>
      </c>
      <c r="BP56" s="217">
        <f>CdTrp2!I48</f>
        <v>0</v>
      </c>
      <c r="BQ56" s="217">
        <f>CdTrp2!J48</f>
        <v>0</v>
      </c>
      <c r="BR56" s="217">
        <f>CdTrp2!K48</f>
        <v>0</v>
      </c>
      <c r="BS56" s="217">
        <f>CdTrp2!L48</f>
        <v>0</v>
      </c>
      <c r="BT56" s="217">
        <f>CdTrp2!M48</f>
        <v>0</v>
      </c>
      <c r="BU56" s="217">
        <f>CdTrp2!N48</f>
        <v>0</v>
      </c>
      <c r="BV56" s="217">
        <f>CdTrp2!O48</f>
        <v>0</v>
      </c>
      <c r="BW56" s="217">
        <f>CdTrp2!P48</f>
        <v>0</v>
      </c>
      <c r="BX56" s="217">
        <f>CdTrp2!Q48</f>
        <v>0</v>
      </c>
      <c r="BY56" s="217">
        <f>CdTrp2!R48</f>
        <v>0</v>
      </c>
      <c r="BZ56" s="217">
        <f>CdTrp2!S48</f>
        <v>0</v>
      </c>
      <c r="CA56" s="217">
        <f>CdTrp2!T48</f>
        <v>0</v>
      </c>
      <c r="CB56" s="217">
        <f>CdTrp2!U48</f>
        <v>0</v>
      </c>
      <c r="CC56" s="217">
        <f>CdTrp2!V48</f>
        <v>0</v>
      </c>
      <c r="CD56" s="217">
        <f>CdTrp2!W48</f>
        <v>0</v>
      </c>
      <c r="CE56" s="217">
        <f>CdTrp2!X48</f>
        <v>0</v>
      </c>
      <c r="CF56" s="217">
        <f>CdTrp2!Y48</f>
        <v>0</v>
      </c>
      <c r="CG56" s="217"/>
      <c r="CH56" s="217"/>
      <c r="CI56" s="218"/>
      <c r="CJ56" s="272" t="str">
        <f>CdTrp3!A48</f>
        <v>lot10</v>
      </c>
      <c r="CK56" s="221">
        <f>CdTrp3!B48</f>
        <v>0</v>
      </c>
      <c r="CL56" s="221">
        <f>CdTrp3!C48</f>
        <v>0</v>
      </c>
      <c r="CM56" s="221">
        <f>CdTrp3!D48</f>
        <v>0</v>
      </c>
      <c r="CN56" s="221">
        <f>CdTrp3!E48</f>
        <v>0</v>
      </c>
      <c r="CO56" s="221">
        <f>CdTrp3!F48</f>
        <v>0</v>
      </c>
      <c r="CP56" s="221">
        <f>CdTrp3!G48</f>
        <v>0</v>
      </c>
      <c r="CQ56" s="221">
        <f>CdTrp3!H48</f>
        <v>0</v>
      </c>
      <c r="CR56" s="221">
        <f>CdTrp3!I48</f>
        <v>0</v>
      </c>
      <c r="CS56" s="221">
        <f>CdTrp3!J48</f>
        <v>0</v>
      </c>
      <c r="CT56" s="221">
        <f>CdTrp3!K48</f>
        <v>0</v>
      </c>
      <c r="CU56" s="221">
        <f>CdTrp3!L48</f>
        <v>0</v>
      </c>
      <c r="CV56" s="221">
        <f>CdTrp3!M48</f>
        <v>0</v>
      </c>
      <c r="CW56" s="221">
        <f>CdTrp3!N48</f>
        <v>0</v>
      </c>
      <c r="CX56" s="221">
        <f>CdTrp3!O48</f>
        <v>0</v>
      </c>
      <c r="CY56" s="221">
        <f>CdTrp3!P48</f>
        <v>0</v>
      </c>
      <c r="CZ56" s="221">
        <f>CdTrp3!Q48</f>
        <v>0</v>
      </c>
      <c r="DA56" s="221">
        <f>CdTrp3!R48</f>
        <v>0</v>
      </c>
      <c r="DB56" s="221">
        <f>CdTrp3!S48</f>
        <v>0</v>
      </c>
      <c r="DC56" s="221">
        <f>CdTrp3!T48</f>
        <v>0</v>
      </c>
      <c r="DD56" s="221">
        <f>CdTrp3!U48</f>
        <v>0</v>
      </c>
      <c r="DE56" s="221">
        <f>CdTrp3!V48</f>
        <v>0</v>
      </c>
      <c r="DF56" s="221">
        <f>CdTrp3!W48</f>
        <v>0</v>
      </c>
      <c r="DG56" s="221">
        <f>CdTrp3!X48</f>
        <v>0</v>
      </c>
      <c r="DH56" s="221">
        <f>CdTrp3!Y48</f>
        <v>0</v>
      </c>
      <c r="DI56" s="217"/>
      <c r="DJ56" s="217"/>
      <c r="DK56" s="218"/>
      <c r="DL56" s="272" t="str">
        <f>CdTrp4!A48</f>
        <v>lot10</v>
      </c>
      <c r="DM56" s="221">
        <f>CdTrp4!B48</f>
        <v>0</v>
      </c>
      <c r="DN56" s="221">
        <f>CdTrp4!C48</f>
        <v>0</v>
      </c>
      <c r="DO56" s="221">
        <f>CdTrp4!D48</f>
        <v>0</v>
      </c>
      <c r="DP56" s="221">
        <f>CdTrp4!E48</f>
        <v>0</v>
      </c>
      <c r="DQ56" s="221">
        <f>CdTrp4!F48</f>
        <v>0</v>
      </c>
      <c r="DR56" s="221">
        <f>CdTrp4!G48</f>
        <v>0</v>
      </c>
      <c r="DS56" s="221">
        <f>CdTrp4!H48</f>
        <v>0</v>
      </c>
      <c r="DT56" s="221">
        <f>CdTrp4!I48</f>
        <v>0</v>
      </c>
      <c r="DU56" s="221">
        <f>CdTrp4!J48</f>
        <v>0</v>
      </c>
      <c r="DV56" s="221">
        <f>CdTrp4!K48</f>
        <v>0</v>
      </c>
      <c r="DW56" s="221">
        <f>CdTrp4!L48</f>
        <v>0</v>
      </c>
      <c r="DX56" s="221">
        <f>CdTrp4!M48</f>
        <v>0</v>
      </c>
      <c r="DY56" s="221">
        <f>CdTrp4!N48</f>
        <v>0</v>
      </c>
      <c r="DZ56" s="221">
        <f>CdTrp4!O48</f>
        <v>0</v>
      </c>
      <c r="EA56" s="221">
        <f>CdTrp4!P48</f>
        <v>0</v>
      </c>
      <c r="EB56" s="221">
        <f>CdTrp4!Q48</f>
        <v>0</v>
      </c>
      <c r="EC56" s="221">
        <f>CdTrp4!R48</f>
        <v>0</v>
      </c>
      <c r="ED56" s="221">
        <f>CdTrp4!S48</f>
        <v>0</v>
      </c>
      <c r="EE56" s="221">
        <f>CdTrp4!T48</f>
        <v>0</v>
      </c>
      <c r="EF56" s="221">
        <f>CdTrp4!U48</f>
        <v>0</v>
      </c>
      <c r="EG56" s="221">
        <f>CdTrp4!V48</f>
        <v>0</v>
      </c>
      <c r="EH56" s="221">
        <f>CdTrp4!W48</f>
        <v>0</v>
      </c>
      <c r="EI56" s="221">
        <f>CdTrp4!X48</f>
        <v>0</v>
      </c>
      <c r="EJ56" s="221">
        <f>CdTrp4!Y48</f>
        <v>0</v>
      </c>
    </row>
    <row r="57" spans="1:143" x14ac:dyDescent="0.25">
      <c r="A57" s="5"/>
      <c r="B57" s="5"/>
      <c r="C57" s="5"/>
      <c r="D57" s="5"/>
      <c r="X57" s="217"/>
      <c r="Y57" s="217"/>
      <c r="Z57" s="217"/>
      <c r="AA57" s="217"/>
      <c r="AB57" s="217"/>
      <c r="AC57" s="217"/>
      <c r="AD57" s="217"/>
      <c r="AE57" s="217"/>
      <c r="AF57" s="217"/>
      <c r="AG57" s="217"/>
      <c r="AH57" s="217"/>
      <c r="AI57" s="217"/>
      <c r="AJ57" s="217"/>
      <c r="AK57" s="217"/>
      <c r="AL57" s="217"/>
      <c r="AM57" s="217"/>
      <c r="AN57" s="217"/>
      <c r="AO57" s="217"/>
      <c r="AP57" s="217"/>
      <c r="AQ57" s="217"/>
      <c r="AR57" s="217"/>
      <c r="AS57" s="217"/>
      <c r="AT57" s="217"/>
      <c r="AU57" s="217"/>
      <c r="AV57" s="217"/>
      <c r="AW57" s="217"/>
      <c r="AX57" s="217"/>
      <c r="AY57" s="217"/>
      <c r="AZ57" s="217"/>
      <c r="BA57" s="217"/>
      <c r="BB57" s="217"/>
      <c r="BC57" s="217"/>
      <c r="BD57" s="217"/>
      <c r="BE57" s="217"/>
      <c r="BF57" s="217"/>
      <c r="BG57" s="218"/>
      <c r="BH57" s="217"/>
      <c r="BI57" s="217"/>
      <c r="BJ57" s="217"/>
      <c r="BK57" s="217"/>
      <c r="BL57" s="217"/>
      <c r="BM57" s="217"/>
      <c r="BN57" s="217"/>
      <c r="BO57" s="217"/>
      <c r="BP57" s="217"/>
      <c r="BQ57" s="217"/>
      <c r="BR57" s="217"/>
      <c r="BS57" s="217"/>
      <c r="BT57" s="217"/>
      <c r="BU57" s="217"/>
      <c r="BV57" s="217"/>
      <c r="BW57" s="217"/>
      <c r="BX57" s="217"/>
      <c r="BY57" s="217"/>
      <c r="BZ57" s="217"/>
      <c r="CA57" s="217"/>
      <c r="CB57" s="217"/>
      <c r="CC57" s="217"/>
      <c r="CD57" s="217"/>
      <c r="CE57" s="217"/>
      <c r="CF57" s="217"/>
      <c r="CG57" s="217"/>
      <c r="CH57" s="217"/>
      <c r="CI57" s="218"/>
      <c r="CJ57" s="217"/>
      <c r="CK57" s="221"/>
      <c r="CL57" s="221"/>
      <c r="CM57" s="221"/>
      <c r="CN57" s="221"/>
      <c r="CO57" s="221"/>
      <c r="CP57" s="221"/>
      <c r="CQ57" s="221"/>
      <c r="CR57" s="221"/>
      <c r="CS57" s="221"/>
      <c r="CT57" s="221"/>
      <c r="CU57" s="221"/>
      <c r="CV57" s="221"/>
      <c r="CW57" s="221"/>
      <c r="CX57" s="221"/>
      <c r="CY57" s="221"/>
      <c r="CZ57" s="221"/>
      <c r="DA57" s="221"/>
      <c r="DB57" s="221"/>
      <c r="DC57" s="221"/>
      <c r="DD57" s="221"/>
      <c r="DE57" s="221"/>
      <c r="DF57" s="221"/>
      <c r="DG57" s="221"/>
      <c r="DH57" s="221"/>
      <c r="DI57" s="217"/>
      <c r="DJ57" s="217"/>
      <c r="DK57" s="218"/>
      <c r="DL57" s="217"/>
      <c r="DM57" s="221"/>
      <c r="DN57" s="221"/>
      <c r="DO57" s="221"/>
      <c r="DP57" s="221"/>
      <c r="DQ57" s="221"/>
      <c r="DR57" s="221"/>
      <c r="DS57" s="221"/>
      <c r="DT57" s="221"/>
      <c r="DU57" s="221"/>
      <c r="DV57" s="221"/>
      <c r="DW57" s="221"/>
      <c r="DX57" s="221"/>
      <c r="DY57" s="221"/>
      <c r="DZ57" s="221"/>
      <c r="EA57" s="221"/>
      <c r="EB57" s="221"/>
      <c r="EC57" s="221"/>
      <c r="ED57" s="221"/>
      <c r="EE57" s="221"/>
      <c r="EF57" s="221"/>
      <c r="EG57" s="221"/>
      <c r="EH57" s="221"/>
      <c r="EI57" s="221"/>
      <c r="EJ57" s="221"/>
    </row>
    <row r="58" spans="1:143" x14ac:dyDescent="0.25">
      <c r="A58" s="5"/>
      <c r="B58" s="5"/>
      <c r="C58" s="5"/>
      <c r="D58" s="5"/>
      <c r="X58" s="217"/>
      <c r="Y58" s="217"/>
      <c r="Z58" s="217"/>
      <c r="AA58" s="217"/>
      <c r="AB58" s="217"/>
      <c r="AC58" s="217"/>
      <c r="AD58" s="217"/>
      <c r="AE58" s="217"/>
      <c r="AF58" s="224" t="s">
        <v>1002</v>
      </c>
      <c r="AG58" s="217" t="str">
        <f>CdTrp1!A76</f>
        <v>brebis</v>
      </c>
      <c r="AH58" s="221">
        <f>IF(CdTrp1!B76=4,1,0)</f>
        <v>0</v>
      </c>
      <c r="AI58" s="221">
        <f>IF(CdTrp1!C76=4,1,0)</f>
        <v>0</v>
      </c>
      <c r="AJ58" s="221">
        <f>IF(CdTrp1!D76=4,1,0)</f>
        <v>0</v>
      </c>
      <c r="AK58" s="221">
        <f>IF(CdTrp1!E76=4,1,0)</f>
        <v>0</v>
      </c>
      <c r="AL58" s="221">
        <f>IF(CdTrp1!F76=4,1,0)</f>
        <v>0</v>
      </c>
      <c r="AM58" s="221">
        <f>IF(CdTrp1!G76=4,1,0)</f>
        <v>0</v>
      </c>
      <c r="AN58" s="221">
        <f>IF(CdTrp1!H76=4,1,0)</f>
        <v>0</v>
      </c>
      <c r="AO58" s="221">
        <f>IF(CdTrp1!I76=4,1,0)</f>
        <v>0</v>
      </c>
      <c r="AP58" s="221">
        <f>IF(CdTrp1!J76=4,1,0)</f>
        <v>0</v>
      </c>
      <c r="AQ58" s="221">
        <f>IF(CdTrp1!K76=4,1,0)</f>
        <v>0</v>
      </c>
      <c r="AR58" s="221">
        <f>IF(CdTrp1!L76=4,1,0)</f>
        <v>0</v>
      </c>
      <c r="AS58" s="221">
        <f>IF(CdTrp1!M76=4,1,0)</f>
        <v>0</v>
      </c>
      <c r="AT58" s="221">
        <f>IF(CdTrp1!N76=4,1,0)</f>
        <v>0</v>
      </c>
      <c r="AU58" s="221">
        <f>IF(CdTrp1!O76=4,1,0)</f>
        <v>0</v>
      </c>
      <c r="AV58" s="221">
        <f>IF(CdTrp1!P76=4,1,0)</f>
        <v>0</v>
      </c>
      <c r="AW58" s="221">
        <f>IF(CdTrp1!Q76=4,1,0)</f>
        <v>0</v>
      </c>
      <c r="AX58" s="221">
        <f>IF(CdTrp1!R76=4,1,0)</f>
        <v>0</v>
      </c>
      <c r="AY58" s="221">
        <f>IF(CdTrp1!S76=4,1,0)</f>
        <v>0</v>
      </c>
      <c r="AZ58" s="221">
        <f>IF(CdTrp1!T76=4,1,0)</f>
        <v>0</v>
      </c>
      <c r="BA58" s="221">
        <f>IF(CdTrp1!U76=4,1,0)</f>
        <v>0</v>
      </c>
      <c r="BB58" s="221">
        <f>IF(CdTrp1!V76=4,1,0)</f>
        <v>0</v>
      </c>
      <c r="BC58" s="221">
        <f>IF(CdTrp1!W76=4,1,0)</f>
        <v>0</v>
      </c>
      <c r="BD58" s="221">
        <f>IF(CdTrp1!X76=4,1,0)</f>
        <v>0</v>
      </c>
      <c r="BE58" s="221">
        <f>IF(CdTrp1!Y76=4,1,0)</f>
        <v>0</v>
      </c>
      <c r="BF58" s="217"/>
      <c r="BG58" s="218" t="s">
        <v>1002</v>
      </c>
      <c r="BH58" s="217" t="str">
        <f t="shared" ref="BH58:BH67" si="22">BH47</f>
        <v xml:space="preserve">vaches </v>
      </c>
      <c r="BI58" s="217">
        <f>IF(CdTrp2!B76=4,1,0)</f>
        <v>0</v>
      </c>
      <c r="BJ58" s="217">
        <f>IF(CdTrp2!C76=4,1,0)</f>
        <v>0</v>
      </c>
      <c r="BK58" s="217">
        <f>IF(CdTrp2!D76=4,1,0)</f>
        <v>0</v>
      </c>
      <c r="BL58" s="217">
        <f>IF(CdTrp2!E76=4,1,0)</f>
        <v>0</v>
      </c>
      <c r="BM58" s="217">
        <f>IF(CdTrp2!F76=4,1,0)</f>
        <v>0</v>
      </c>
      <c r="BN58" s="217">
        <f>IF(CdTrp2!G76=4,1,0)</f>
        <v>0</v>
      </c>
      <c r="BO58" s="217">
        <f>IF(CdTrp2!H76=4,1,0)</f>
        <v>0</v>
      </c>
      <c r="BP58" s="217">
        <f>IF(CdTrp2!I76=4,1,0)</f>
        <v>0</v>
      </c>
      <c r="BQ58" s="217">
        <f>IF(CdTrp2!J76=4,1,0)</f>
        <v>0</v>
      </c>
      <c r="BR58" s="217">
        <f>IF(CdTrp2!K76=4,1,0)</f>
        <v>0</v>
      </c>
      <c r="BS58" s="217">
        <f>IF(CdTrp2!L76=4,1,0)</f>
        <v>0</v>
      </c>
      <c r="BT58" s="217">
        <f>IF(CdTrp2!M76=4,1,0)</f>
        <v>0</v>
      </c>
      <c r="BU58" s="217">
        <f>IF(CdTrp2!N76=4,1,0)</f>
        <v>0</v>
      </c>
      <c r="BV58" s="217">
        <f>IF(CdTrp2!O76=4,1,0)</f>
        <v>0</v>
      </c>
      <c r="BW58" s="217">
        <f>IF(CdTrp2!P76=4,1,0)</f>
        <v>0</v>
      </c>
      <c r="BX58" s="217">
        <f>IF(CdTrp2!Q76=4,1,0)</f>
        <v>0</v>
      </c>
      <c r="BY58" s="217">
        <f>IF(CdTrp2!R76=4,1,0)</f>
        <v>0</v>
      </c>
      <c r="BZ58" s="217">
        <f>IF(CdTrp2!S76=4,1,0)</f>
        <v>0</v>
      </c>
      <c r="CA58" s="217">
        <f>IF(CdTrp2!T76=4,1,0)</f>
        <v>0</v>
      </c>
      <c r="CB58" s="217">
        <f>IF(CdTrp2!U76=4,1,0)</f>
        <v>0</v>
      </c>
      <c r="CC58" s="217">
        <f>IF(CdTrp2!V76=4,1,0)</f>
        <v>0</v>
      </c>
      <c r="CD58" s="217">
        <f>IF(CdTrp2!W76=4,1,0)</f>
        <v>0</v>
      </c>
      <c r="CE58" s="217">
        <f>IF(CdTrp2!X76=4,1,0)</f>
        <v>0</v>
      </c>
      <c r="CF58" s="217">
        <f>IF(CdTrp2!Y76=4,1,0)</f>
        <v>0</v>
      </c>
      <c r="CG58" s="217"/>
      <c r="CH58" s="217"/>
      <c r="CI58" s="218" t="s">
        <v>1002</v>
      </c>
      <c r="CJ58" s="217" t="str">
        <f t="shared" ref="CJ58:CJ67" si="23">CJ47</f>
        <v>lot1</v>
      </c>
      <c r="CK58" s="221">
        <f>IF(CdTrp3!B76=4,1,0)</f>
        <v>0</v>
      </c>
      <c r="CL58" s="221">
        <f>IF(CdTrp3!C76=4,1,0)</f>
        <v>0</v>
      </c>
      <c r="CM58" s="221">
        <f>IF(CdTrp3!D76=4,1,0)</f>
        <v>0</v>
      </c>
      <c r="CN58" s="221">
        <f>IF(CdTrp3!E76=4,1,0)</f>
        <v>0</v>
      </c>
      <c r="CO58" s="221">
        <f>IF(CdTrp3!F76=4,1,0)</f>
        <v>0</v>
      </c>
      <c r="CP58" s="221">
        <f>IF(CdTrp3!G76=4,1,0)</f>
        <v>0</v>
      </c>
      <c r="CQ58" s="221">
        <f>IF(CdTrp3!H76=4,1,0)</f>
        <v>0</v>
      </c>
      <c r="CR58" s="221">
        <f>IF(CdTrp3!I76=4,1,0)</f>
        <v>0</v>
      </c>
      <c r="CS58" s="221">
        <f>IF(CdTrp3!J76=4,1,0)</f>
        <v>0</v>
      </c>
      <c r="CT58" s="221">
        <f>IF(CdTrp3!K76=4,1,0)</f>
        <v>0</v>
      </c>
      <c r="CU58" s="221">
        <f>IF(CdTrp3!L76=4,1,0)</f>
        <v>0</v>
      </c>
      <c r="CV58" s="221">
        <f>IF(CdTrp3!M76=4,1,0)</f>
        <v>0</v>
      </c>
      <c r="CW58" s="221">
        <f>IF(CdTrp3!N76=4,1,0)</f>
        <v>0</v>
      </c>
      <c r="CX58" s="221">
        <f>IF(CdTrp3!O76=4,1,0)</f>
        <v>0</v>
      </c>
      <c r="CY58" s="221">
        <f>IF(CdTrp3!P76=4,1,0)</f>
        <v>0</v>
      </c>
      <c r="CZ58" s="221">
        <f>IF(CdTrp3!Q76=4,1,0)</f>
        <v>0</v>
      </c>
      <c r="DA58" s="221">
        <f>IF(CdTrp3!R76=4,1,0)</f>
        <v>0</v>
      </c>
      <c r="DB58" s="221">
        <f>IF(CdTrp3!S76=4,1,0)</f>
        <v>0</v>
      </c>
      <c r="DC58" s="221">
        <f>IF(CdTrp3!T76=4,1,0)</f>
        <v>0</v>
      </c>
      <c r="DD58" s="221">
        <f>IF(CdTrp3!U76=4,1,0)</f>
        <v>0</v>
      </c>
      <c r="DE58" s="221">
        <f>IF(CdTrp3!V76=4,1,0)</f>
        <v>0</v>
      </c>
      <c r="DF58" s="221">
        <f>IF(CdTrp3!W76=4,1,0)</f>
        <v>0</v>
      </c>
      <c r="DG58" s="221">
        <f>IF(CdTrp3!X76=4,1,0)</f>
        <v>0</v>
      </c>
      <c r="DH58" s="221">
        <f>IF(CdTrp3!Y76=4,1,0)</f>
        <v>0</v>
      </c>
      <c r="DI58" s="217"/>
      <c r="DJ58" s="217"/>
      <c r="DK58" s="218" t="s">
        <v>1002</v>
      </c>
      <c r="DL58" s="217" t="str">
        <f t="shared" ref="DL58:DL67" si="24">DL47</f>
        <v>lot1</v>
      </c>
      <c r="DM58" s="221">
        <f>IF(CdTrp4!B76=4,1,0)</f>
        <v>0</v>
      </c>
      <c r="DN58" s="221">
        <f>IF(CdTrp4!C76=4,1,0)</f>
        <v>0</v>
      </c>
      <c r="DO58" s="221">
        <f>IF(CdTrp4!D76=4,1,0)</f>
        <v>0</v>
      </c>
      <c r="DP58" s="221">
        <f>IF(CdTrp4!E76=4,1,0)</f>
        <v>0</v>
      </c>
      <c r="DQ58" s="221">
        <f>IF(CdTrp4!F76=4,1,0)</f>
        <v>0</v>
      </c>
      <c r="DR58" s="221">
        <f>IF(CdTrp4!G76=4,1,0)</f>
        <v>0</v>
      </c>
      <c r="DS58" s="221">
        <f>IF(CdTrp4!H76=4,1,0)</f>
        <v>0</v>
      </c>
      <c r="DT58" s="221">
        <f>IF(CdTrp4!I76=4,1,0)</f>
        <v>0</v>
      </c>
      <c r="DU58" s="221">
        <f>IF(CdTrp4!J76=4,1,0)</f>
        <v>0</v>
      </c>
      <c r="DV58" s="221">
        <f>IF(CdTrp4!K76=4,1,0)</f>
        <v>0</v>
      </c>
      <c r="DW58" s="221">
        <f>IF(CdTrp4!L76=4,1,0)</f>
        <v>0</v>
      </c>
      <c r="DX58" s="221">
        <f>IF(CdTrp4!M76=4,1,0)</f>
        <v>0</v>
      </c>
      <c r="DY58" s="221">
        <f>IF(CdTrp4!N76=4,1,0)</f>
        <v>0</v>
      </c>
      <c r="DZ58" s="221">
        <f>IF(CdTrp4!O76=4,1,0)</f>
        <v>0</v>
      </c>
      <c r="EA58" s="221">
        <f>IF(CdTrp4!P76=4,1,0)</f>
        <v>0</v>
      </c>
      <c r="EB58" s="221">
        <f>IF(CdTrp4!Q76=4,1,0)</f>
        <v>0</v>
      </c>
      <c r="EC58" s="221">
        <f>IF(CdTrp4!R76=4,1,0)</f>
        <v>0</v>
      </c>
      <c r="ED58" s="221">
        <f>IF(CdTrp4!S76=4,1,0)</f>
        <v>0</v>
      </c>
      <c r="EE58" s="221">
        <f>IF(CdTrp4!T76=4,1,0)</f>
        <v>0</v>
      </c>
      <c r="EF58" s="221">
        <f>IF(CdTrp4!U76=4,1,0)</f>
        <v>0</v>
      </c>
      <c r="EG58" s="221">
        <f>IF(CdTrp4!V76=4,1,0)</f>
        <v>0</v>
      </c>
      <c r="EH58" s="221">
        <f>IF(CdTrp4!W76=4,1,0)</f>
        <v>0</v>
      </c>
      <c r="EI58" s="221">
        <f>IF(CdTrp4!X76=4,1,0)</f>
        <v>0</v>
      </c>
      <c r="EJ58" s="221">
        <f>IF(CdTrp4!Y76=4,1,0)</f>
        <v>0</v>
      </c>
    </row>
    <row r="59" spans="1:143" x14ac:dyDescent="0.25">
      <c r="A59" s="23"/>
      <c r="B59" s="23"/>
      <c r="C59" s="23"/>
      <c r="D59" s="23"/>
      <c r="X59" s="217"/>
      <c r="Y59" s="217"/>
      <c r="Z59" s="217"/>
      <c r="AA59" s="217"/>
      <c r="AB59" s="217"/>
      <c r="AC59" s="217"/>
      <c r="AD59" s="217"/>
      <c r="AE59" s="217"/>
      <c r="AF59" s="217"/>
      <c r="AG59" s="272" t="str">
        <f>CdTrp1!A77</f>
        <v>vides</v>
      </c>
      <c r="AH59" s="221">
        <f>IF(CdTrp1!B77=4,1,0)</f>
        <v>0</v>
      </c>
      <c r="AI59" s="221">
        <f>IF(CdTrp1!C77=4,1,0)</f>
        <v>0</v>
      </c>
      <c r="AJ59" s="221">
        <f>IF(CdTrp1!D77=4,1,0)</f>
        <v>0</v>
      </c>
      <c r="AK59" s="221">
        <f>IF(CdTrp1!E77=4,1,0)</f>
        <v>0</v>
      </c>
      <c r="AL59" s="221">
        <f>IF(CdTrp1!F77=4,1,0)</f>
        <v>0</v>
      </c>
      <c r="AM59" s="221">
        <f>IF(CdTrp1!G77=4,1,0)</f>
        <v>0</v>
      </c>
      <c r="AN59" s="221">
        <f>IF(CdTrp1!H77=4,1,0)</f>
        <v>0</v>
      </c>
      <c r="AO59" s="221">
        <f>IF(CdTrp1!I77=4,1,0)</f>
        <v>0</v>
      </c>
      <c r="AP59" s="221">
        <f>IF(CdTrp1!J77=4,1,0)</f>
        <v>0</v>
      </c>
      <c r="AQ59" s="221">
        <f>IF(CdTrp1!K77=4,1,0)</f>
        <v>0</v>
      </c>
      <c r="AR59" s="221">
        <f>IF(CdTrp1!L77=4,1,0)</f>
        <v>0</v>
      </c>
      <c r="AS59" s="221">
        <f>IF(CdTrp1!M77=4,1,0)</f>
        <v>0</v>
      </c>
      <c r="AT59" s="221">
        <f>IF(CdTrp1!N77=4,1,0)</f>
        <v>0</v>
      </c>
      <c r="AU59" s="221">
        <f>IF(CdTrp1!O77=4,1,0)</f>
        <v>0</v>
      </c>
      <c r="AV59" s="221">
        <f>IF(CdTrp1!P77=4,1,0)</f>
        <v>0</v>
      </c>
      <c r="AW59" s="221">
        <f>IF(CdTrp1!Q77=4,1,0)</f>
        <v>0</v>
      </c>
      <c r="AX59" s="221">
        <f>IF(CdTrp1!R77=4,1,0)</f>
        <v>0</v>
      </c>
      <c r="AY59" s="221">
        <f>IF(CdTrp1!S77=4,1,0)</f>
        <v>0</v>
      </c>
      <c r="AZ59" s="221">
        <f>IF(CdTrp1!T77=4,1,0)</f>
        <v>0</v>
      </c>
      <c r="BA59" s="221">
        <f>IF(CdTrp1!U77=4,1,0)</f>
        <v>0</v>
      </c>
      <c r="BB59" s="221">
        <f>IF(CdTrp1!V77=4,1,0)</f>
        <v>0</v>
      </c>
      <c r="BC59" s="221">
        <f>IF(CdTrp1!W77=4,1,0)</f>
        <v>0</v>
      </c>
      <c r="BD59" s="221">
        <f>IF(CdTrp1!X77=4,1,0)</f>
        <v>0</v>
      </c>
      <c r="BE59" s="221">
        <f>IF(CdTrp1!Y77=4,1,0)</f>
        <v>0</v>
      </c>
      <c r="BF59" s="217"/>
      <c r="BG59" s="218"/>
      <c r="BH59" s="217" t="str">
        <f t="shared" si="22"/>
        <v>genisses -1an</v>
      </c>
      <c r="BI59" s="217">
        <f>IF(CdTrp2!B77=4,1,0)</f>
        <v>0</v>
      </c>
      <c r="BJ59" s="217">
        <f>IF(CdTrp2!C77=4,1,0)</f>
        <v>0</v>
      </c>
      <c r="BK59" s="217">
        <f>IF(CdTrp2!D77=4,1,0)</f>
        <v>0</v>
      </c>
      <c r="BL59" s="217">
        <f>IF(CdTrp2!E77=4,1,0)</f>
        <v>0</v>
      </c>
      <c r="BM59" s="217">
        <f>IF(CdTrp2!F77=4,1,0)</f>
        <v>0</v>
      </c>
      <c r="BN59" s="217">
        <f>IF(CdTrp2!G77=4,1,0)</f>
        <v>0</v>
      </c>
      <c r="BO59" s="217">
        <f>IF(CdTrp2!H77=4,1,0)</f>
        <v>0</v>
      </c>
      <c r="BP59" s="217">
        <f>IF(CdTrp2!I77=4,1,0)</f>
        <v>0</v>
      </c>
      <c r="BQ59" s="217">
        <f>IF(CdTrp2!J77=4,1,0)</f>
        <v>0</v>
      </c>
      <c r="BR59" s="217">
        <f>IF(CdTrp2!K77=4,1,0)</f>
        <v>0</v>
      </c>
      <c r="BS59" s="217">
        <f>IF(CdTrp2!L77=4,1,0)</f>
        <v>0</v>
      </c>
      <c r="BT59" s="217">
        <f>IF(CdTrp2!M77=4,1,0)</f>
        <v>0</v>
      </c>
      <c r="BU59" s="217">
        <f>IF(CdTrp2!N77=4,1,0)</f>
        <v>0</v>
      </c>
      <c r="BV59" s="217">
        <f>IF(CdTrp2!O77=4,1,0)</f>
        <v>0</v>
      </c>
      <c r="BW59" s="217">
        <f>IF(CdTrp2!P77=4,1,0)</f>
        <v>0</v>
      </c>
      <c r="BX59" s="217">
        <f>IF(CdTrp2!Q77=4,1,0)</f>
        <v>0</v>
      </c>
      <c r="BY59" s="217">
        <f>IF(CdTrp2!R77=4,1,0)</f>
        <v>0</v>
      </c>
      <c r="BZ59" s="217">
        <f>IF(CdTrp2!S77=4,1,0)</f>
        <v>0</v>
      </c>
      <c r="CA59" s="217">
        <f>IF(CdTrp2!T77=4,1,0)</f>
        <v>0</v>
      </c>
      <c r="CB59" s="217">
        <f>IF(CdTrp2!U77=4,1,0)</f>
        <v>0</v>
      </c>
      <c r="CC59" s="217">
        <f>IF(CdTrp2!V77=4,1,0)</f>
        <v>0</v>
      </c>
      <c r="CD59" s="217">
        <f>IF(CdTrp2!W77=4,1,0)</f>
        <v>0</v>
      </c>
      <c r="CE59" s="217">
        <f>IF(CdTrp2!X77=4,1,0)</f>
        <v>0</v>
      </c>
      <c r="CF59" s="217">
        <f>IF(CdTrp2!Y77=4,1,0)</f>
        <v>0</v>
      </c>
      <c r="CG59" s="217"/>
      <c r="CH59" s="217"/>
      <c r="CI59" s="218"/>
      <c r="CJ59" s="217" t="str">
        <f t="shared" si="23"/>
        <v>lot2</v>
      </c>
      <c r="CK59" s="221">
        <f>IF(CdTrp3!B77=4,1,0)</f>
        <v>0</v>
      </c>
      <c r="CL59" s="221">
        <f>IF(CdTrp3!C77=4,1,0)</f>
        <v>0</v>
      </c>
      <c r="CM59" s="221">
        <f>IF(CdTrp3!D77=4,1,0)</f>
        <v>0</v>
      </c>
      <c r="CN59" s="221">
        <f>IF(CdTrp3!E77=4,1,0)</f>
        <v>0</v>
      </c>
      <c r="CO59" s="221">
        <f>IF(CdTrp3!F77=4,1,0)</f>
        <v>0</v>
      </c>
      <c r="CP59" s="221">
        <f>IF(CdTrp3!G77=4,1,0)</f>
        <v>0</v>
      </c>
      <c r="CQ59" s="221">
        <f>IF(CdTrp3!H77=4,1,0)</f>
        <v>0</v>
      </c>
      <c r="CR59" s="221">
        <f>IF(CdTrp3!I77=4,1,0)</f>
        <v>0</v>
      </c>
      <c r="CS59" s="221">
        <f>IF(CdTrp3!J77=4,1,0)</f>
        <v>0</v>
      </c>
      <c r="CT59" s="221">
        <f>IF(CdTrp3!K77=4,1,0)</f>
        <v>0</v>
      </c>
      <c r="CU59" s="221">
        <f>IF(CdTrp3!L77=4,1,0)</f>
        <v>0</v>
      </c>
      <c r="CV59" s="221">
        <f>IF(CdTrp3!M77=4,1,0)</f>
        <v>0</v>
      </c>
      <c r="CW59" s="221">
        <f>IF(CdTrp3!N77=4,1,0)</f>
        <v>0</v>
      </c>
      <c r="CX59" s="221">
        <f>IF(CdTrp3!O77=4,1,0)</f>
        <v>0</v>
      </c>
      <c r="CY59" s="221">
        <f>IF(CdTrp3!P77=4,1,0)</f>
        <v>0</v>
      </c>
      <c r="CZ59" s="221">
        <f>IF(CdTrp3!Q77=4,1,0)</f>
        <v>0</v>
      </c>
      <c r="DA59" s="221">
        <f>IF(CdTrp3!R77=4,1,0)</f>
        <v>0</v>
      </c>
      <c r="DB59" s="221">
        <f>IF(CdTrp3!S77=4,1,0)</f>
        <v>0</v>
      </c>
      <c r="DC59" s="221">
        <f>IF(CdTrp3!T77=4,1,0)</f>
        <v>0</v>
      </c>
      <c r="DD59" s="221">
        <f>IF(CdTrp3!U77=4,1,0)</f>
        <v>0</v>
      </c>
      <c r="DE59" s="221">
        <f>IF(CdTrp3!V77=4,1,0)</f>
        <v>0</v>
      </c>
      <c r="DF59" s="221">
        <f>IF(CdTrp3!W77=4,1,0)</f>
        <v>0</v>
      </c>
      <c r="DG59" s="221">
        <f>IF(CdTrp3!X77=4,1,0)</f>
        <v>0</v>
      </c>
      <c r="DH59" s="221">
        <f>IF(CdTrp3!Y77=4,1,0)</f>
        <v>0</v>
      </c>
      <c r="DI59" s="217"/>
      <c r="DJ59" s="217"/>
      <c r="DK59" s="218"/>
      <c r="DL59" s="217" t="str">
        <f t="shared" si="24"/>
        <v>lot2</v>
      </c>
      <c r="DM59" s="221">
        <f>IF(CdTrp4!B77=4,1,0)</f>
        <v>0</v>
      </c>
      <c r="DN59" s="221">
        <f>IF(CdTrp4!C77=4,1,0)</f>
        <v>0</v>
      </c>
      <c r="DO59" s="221">
        <f>IF(CdTrp4!D77=4,1,0)</f>
        <v>0</v>
      </c>
      <c r="DP59" s="221">
        <f>IF(CdTrp4!E77=4,1,0)</f>
        <v>0</v>
      </c>
      <c r="DQ59" s="221">
        <f>IF(CdTrp4!F77=4,1,0)</f>
        <v>0</v>
      </c>
      <c r="DR59" s="221">
        <f>IF(CdTrp4!G77=4,1,0)</f>
        <v>0</v>
      </c>
      <c r="DS59" s="221">
        <f>IF(CdTrp4!H77=4,1,0)</f>
        <v>0</v>
      </c>
      <c r="DT59" s="221">
        <f>IF(CdTrp4!I77=4,1,0)</f>
        <v>0</v>
      </c>
      <c r="DU59" s="221">
        <f>IF(CdTrp4!J77=4,1,0)</f>
        <v>0</v>
      </c>
      <c r="DV59" s="221">
        <f>IF(CdTrp4!K77=4,1,0)</f>
        <v>0</v>
      </c>
      <c r="DW59" s="221">
        <f>IF(CdTrp4!L77=4,1,0)</f>
        <v>0</v>
      </c>
      <c r="DX59" s="221">
        <f>IF(CdTrp4!M77=4,1,0)</f>
        <v>0</v>
      </c>
      <c r="DY59" s="221">
        <f>IF(CdTrp4!N77=4,1,0)</f>
        <v>0</v>
      </c>
      <c r="DZ59" s="221">
        <f>IF(CdTrp4!O77=4,1,0)</f>
        <v>0</v>
      </c>
      <c r="EA59" s="221">
        <f>IF(CdTrp4!P77=4,1,0)</f>
        <v>0</v>
      </c>
      <c r="EB59" s="221">
        <f>IF(CdTrp4!Q77=4,1,0)</f>
        <v>0</v>
      </c>
      <c r="EC59" s="221">
        <f>IF(CdTrp4!R77=4,1,0)</f>
        <v>0</v>
      </c>
      <c r="ED59" s="221">
        <f>IF(CdTrp4!S77=4,1,0)</f>
        <v>0</v>
      </c>
      <c r="EE59" s="221">
        <f>IF(CdTrp4!T77=4,1,0)</f>
        <v>0</v>
      </c>
      <c r="EF59" s="221">
        <f>IF(CdTrp4!U77=4,1,0)</f>
        <v>0</v>
      </c>
      <c r="EG59" s="221">
        <f>IF(CdTrp4!V77=4,1,0)</f>
        <v>0</v>
      </c>
      <c r="EH59" s="221">
        <f>IF(CdTrp4!W77=4,1,0)</f>
        <v>0</v>
      </c>
      <c r="EI59" s="221">
        <f>IF(CdTrp4!X77=4,1,0)</f>
        <v>0</v>
      </c>
      <c r="EJ59" s="221">
        <f>IF(CdTrp4!Y77=4,1,0)</f>
        <v>0</v>
      </c>
    </row>
    <row r="60" spans="1:143" x14ac:dyDescent="0.25">
      <c r="A60" s="5"/>
      <c r="B60" s="5"/>
      <c r="C60" s="5"/>
      <c r="D60" s="5"/>
      <c r="X60" s="217"/>
      <c r="Y60" s="217"/>
      <c r="Z60" s="217"/>
      <c r="AA60" s="217"/>
      <c r="AB60" s="217"/>
      <c r="AC60" s="217"/>
      <c r="AD60" s="217"/>
      <c r="AE60" s="217"/>
      <c r="AF60" s="217"/>
      <c r="AG60" s="272" t="str">
        <f>CdTrp1!A78</f>
        <v>agnelles</v>
      </c>
      <c r="AH60" s="221">
        <f>IF(CdTrp1!B78=4,1,0)</f>
        <v>0</v>
      </c>
      <c r="AI60" s="221">
        <f>IF(CdTrp1!C78=4,1,0)</f>
        <v>0</v>
      </c>
      <c r="AJ60" s="221">
        <f>IF(CdTrp1!D78=4,1,0)</f>
        <v>0</v>
      </c>
      <c r="AK60" s="221">
        <f>IF(CdTrp1!E78=4,1,0)</f>
        <v>0</v>
      </c>
      <c r="AL60" s="221">
        <f>IF(CdTrp1!F78=4,1,0)</f>
        <v>0</v>
      </c>
      <c r="AM60" s="221">
        <f>IF(CdTrp1!G78=4,1,0)</f>
        <v>0</v>
      </c>
      <c r="AN60" s="221">
        <f>IF(CdTrp1!H78=4,1,0)</f>
        <v>0</v>
      </c>
      <c r="AO60" s="221">
        <f>IF(CdTrp1!I78=4,1,0)</f>
        <v>0</v>
      </c>
      <c r="AP60" s="221">
        <f>IF(CdTrp1!J78=4,1,0)</f>
        <v>0</v>
      </c>
      <c r="AQ60" s="221">
        <f>IF(CdTrp1!K78=4,1,0)</f>
        <v>0</v>
      </c>
      <c r="AR60" s="221">
        <f>IF(CdTrp1!L78=4,1,0)</f>
        <v>0</v>
      </c>
      <c r="AS60" s="221">
        <f>IF(CdTrp1!M78=4,1,0)</f>
        <v>0</v>
      </c>
      <c r="AT60" s="221">
        <f>IF(CdTrp1!N78=4,1,0)</f>
        <v>0</v>
      </c>
      <c r="AU60" s="221">
        <f>IF(CdTrp1!O78=4,1,0)</f>
        <v>0</v>
      </c>
      <c r="AV60" s="221">
        <f>IF(CdTrp1!P78=4,1,0)</f>
        <v>0</v>
      </c>
      <c r="AW60" s="221">
        <f>IF(CdTrp1!Q78=4,1,0)</f>
        <v>0</v>
      </c>
      <c r="AX60" s="221">
        <f>IF(CdTrp1!R78=4,1,0)</f>
        <v>0</v>
      </c>
      <c r="AY60" s="221">
        <f>IF(CdTrp1!S78=4,1,0)</f>
        <v>0</v>
      </c>
      <c r="AZ60" s="221">
        <f>IF(CdTrp1!T78=4,1,0)</f>
        <v>0</v>
      </c>
      <c r="BA60" s="221">
        <f>IF(CdTrp1!U78=4,1,0)</f>
        <v>0</v>
      </c>
      <c r="BB60" s="221">
        <f>IF(CdTrp1!V78=4,1,0)</f>
        <v>0</v>
      </c>
      <c r="BC60" s="221">
        <f>IF(CdTrp1!W78=4,1,0)</f>
        <v>0</v>
      </c>
      <c r="BD60" s="221">
        <f>IF(CdTrp1!X78=4,1,0)</f>
        <v>0</v>
      </c>
      <c r="BE60" s="221">
        <f>IF(CdTrp1!Y78=4,1,0)</f>
        <v>0</v>
      </c>
      <c r="BF60" s="217"/>
      <c r="BG60" s="218"/>
      <c r="BH60" s="217" t="str">
        <f t="shared" si="22"/>
        <v>genisses +1an</v>
      </c>
      <c r="BI60" s="217">
        <f>IF(CdTrp2!B78=4,1,0)</f>
        <v>0</v>
      </c>
      <c r="BJ60" s="217">
        <f>IF(CdTrp2!C78=4,1,0)</f>
        <v>0</v>
      </c>
      <c r="BK60" s="217">
        <f>IF(CdTrp2!D78=4,1,0)</f>
        <v>0</v>
      </c>
      <c r="BL60" s="217">
        <f>IF(CdTrp2!E78=4,1,0)</f>
        <v>0</v>
      </c>
      <c r="BM60" s="217">
        <f>IF(CdTrp2!F78=4,1,0)</f>
        <v>0</v>
      </c>
      <c r="BN60" s="217">
        <f>IF(CdTrp2!G78=4,1,0)</f>
        <v>0</v>
      </c>
      <c r="BO60" s="217">
        <f>IF(CdTrp2!H78=4,1,0)</f>
        <v>0</v>
      </c>
      <c r="BP60" s="217">
        <f>IF(CdTrp2!I78=4,1,0)</f>
        <v>0</v>
      </c>
      <c r="BQ60" s="217">
        <f>IF(CdTrp2!J78=4,1,0)</f>
        <v>0</v>
      </c>
      <c r="BR60" s="217">
        <f>IF(CdTrp2!K78=4,1,0)</f>
        <v>0</v>
      </c>
      <c r="BS60" s="217">
        <f>IF(CdTrp2!L78=4,1,0)</f>
        <v>0</v>
      </c>
      <c r="BT60" s="217">
        <f>IF(CdTrp2!M78=4,1,0)</f>
        <v>0</v>
      </c>
      <c r="BU60" s="217">
        <f>IF(CdTrp2!N78=4,1,0)</f>
        <v>0</v>
      </c>
      <c r="BV60" s="217">
        <f>IF(CdTrp2!O78=4,1,0)</f>
        <v>0</v>
      </c>
      <c r="BW60" s="217">
        <f>IF(CdTrp2!P78=4,1,0)</f>
        <v>0</v>
      </c>
      <c r="BX60" s="217">
        <f>IF(CdTrp2!Q78=4,1,0)</f>
        <v>0</v>
      </c>
      <c r="BY60" s="217">
        <f>IF(CdTrp2!R78=4,1,0)</f>
        <v>0</v>
      </c>
      <c r="BZ60" s="217">
        <f>IF(CdTrp2!S78=4,1,0)</f>
        <v>0</v>
      </c>
      <c r="CA60" s="217">
        <f>IF(CdTrp2!T78=4,1,0)</f>
        <v>0</v>
      </c>
      <c r="CB60" s="217">
        <f>IF(CdTrp2!U78=4,1,0)</f>
        <v>0</v>
      </c>
      <c r="CC60" s="217">
        <f>IF(CdTrp2!V78=4,1,0)</f>
        <v>0</v>
      </c>
      <c r="CD60" s="217">
        <f>IF(CdTrp2!W78=4,1,0)</f>
        <v>0</v>
      </c>
      <c r="CE60" s="217">
        <f>IF(CdTrp2!X78=4,1,0)</f>
        <v>0</v>
      </c>
      <c r="CF60" s="217">
        <f>IF(CdTrp2!Y78=4,1,0)</f>
        <v>0</v>
      </c>
      <c r="CG60" s="217"/>
      <c r="CH60" s="217"/>
      <c r="CI60" s="218"/>
      <c r="CJ60" s="217" t="str">
        <f t="shared" si="23"/>
        <v>lot3</v>
      </c>
      <c r="CK60" s="221">
        <f>IF(CdTrp3!B78=4,1,0)</f>
        <v>0</v>
      </c>
      <c r="CL60" s="221">
        <f>IF(CdTrp3!C78=4,1,0)</f>
        <v>0</v>
      </c>
      <c r="CM60" s="221">
        <f>IF(CdTrp3!D78=4,1,0)</f>
        <v>0</v>
      </c>
      <c r="CN60" s="221">
        <f>IF(CdTrp3!E78=4,1,0)</f>
        <v>0</v>
      </c>
      <c r="CO60" s="221">
        <f>IF(CdTrp3!F78=4,1,0)</f>
        <v>0</v>
      </c>
      <c r="CP60" s="221">
        <f>IF(CdTrp3!G78=4,1,0)</f>
        <v>0</v>
      </c>
      <c r="CQ60" s="221">
        <f>IF(CdTrp3!H78=4,1,0)</f>
        <v>0</v>
      </c>
      <c r="CR60" s="221">
        <f>IF(CdTrp3!I78=4,1,0)</f>
        <v>0</v>
      </c>
      <c r="CS60" s="221">
        <f>IF(CdTrp3!J78=4,1,0)</f>
        <v>0</v>
      </c>
      <c r="CT60" s="221">
        <f>IF(CdTrp3!K78=4,1,0)</f>
        <v>0</v>
      </c>
      <c r="CU60" s="221">
        <f>IF(CdTrp3!L78=4,1,0)</f>
        <v>0</v>
      </c>
      <c r="CV60" s="221">
        <f>IF(CdTrp3!M78=4,1,0)</f>
        <v>0</v>
      </c>
      <c r="CW60" s="221">
        <f>IF(CdTrp3!N78=4,1,0)</f>
        <v>0</v>
      </c>
      <c r="CX60" s="221">
        <f>IF(CdTrp3!O78=4,1,0)</f>
        <v>0</v>
      </c>
      <c r="CY60" s="221">
        <f>IF(CdTrp3!P78=4,1,0)</f>
        <v>0</v>
      </c>
      <c r="CZ60" s="221">
        <f>IF(CdTrp3!Q78=4,1,0)</f>
        <v>0</v>
      </c>
      <c r="DA60" s="221">
        <f>IF(CdTrp3!R78=4,1,0)</f>
        <v>0</v>
      </c>
      <c r="DB60" s="221">
        <f>IF(CdTrp3!S78=4,1,0)</f>
        <v>0</v>
      </c>
      <c r="DC60" s="221">
        <f>IF(CdTrp3!T78=4,1,0)</f>
        <v>0</v>
      </c>
      <c r="DD60" s="221">
        <f>IF(CdTrp3!U78=4,1,0)</f>
        <v>0</v>
      </c>
      <c r="DE60" s="221">
        <f>IF(CdTrp3!V78=4,1,0)</f>
        <v>0</v>
      </c>
      <c r="DF60" s="221">
        <f>IF(CdTrp3!W78=4,1,0)</f>
        <v>0</v>
      </c>
      <c r="DG60" s="221">
        <f>IF(CdTrp3!X78=4,1,0)</f>
        <v>0</v>
      </c>
      <c r="DH60" s="221">
        <f>IF(CdTrp3!Y78=4,1,0)</f>
        <v>0</v>
      </c>
      <c r="DI60" s="217"/>
      <c r="DJ60" s="217"/>
      <c r="DK60" s="218"/>
      <c r="DL60" s="217" t="str">
        <f t="shared" si="24"/>
        <v>lot3</v>
      </c>
      <c r="DM60" s="221">
        <f>IF(CdTrp4!B78=4,1,0)</f>
        <v>0</v>
      </c>
      <c r="DN60" s="221">
        <f>IF(CdTrp4!C78=4,1,0)</f>
        <v>0</v>
      </c>
      <c r="DO60" s="221">
        <f>IF(CdTrp4!D78=4,1,0)</f>
        <v>0</v>
      </c>
      <c r="DP60" s="221">
        <f>IF(CdTrp4!E78=4,1,0)</f>
        <v>0</v>
      </c>
      <c r="DQ60" s="221">
        <f>IF(CdTrp4!F78=4,1,0)</f>
        <v>0</v>
      </c>
      <c r="DR60" s="221">
        <f>IF(CdTrp4!G78=4,1,0)</f>
        <v>0</v>
      </c>
      <c r="DS60" s="221">
        <f>IF(CdTrp4!H78=4,1,0)</f>
        <v>0</v>
      </c>
      <c r="DT60" s="221">
        <f>IF(CdTrp4!I78=4,1,0)</f>
        <v>0</v>
      </c>
      <c r="DU60" s="221">
        <f>IF(CdTrp4!J78=4,1,0)</f>
        <v>0</v>
      </c>
      <c r="DV60" s="221">
        <f>IF(CdTrp4!K78=4,1,0)</f>
        <v>0</v>
      </c>
      <c r="DW60" s="221">
        <f>IF(CdTrp4!L78=4,1,0)</f>
        <v>0</v>
      </c>
      <c r="DX60" s="221">
        <f>IF(CdTrp4!M78=4,1,0)</f>
        <v>0</v>
      </c>
      <c r="DY60" s="221">
        <f>IF(CdTrp4!N78=4,1,0)</f>
        <v>0</v>
      </c>
      <c r="DZ60" s="221">
        <f>IF(CdTrp4!O78=4,1,0)</f>
        <v>0</v>
      </c>
      <c r="EA60" s="221">
        <f>IF(CdTrp4!P78=4,1,0)</f>
        <v>0</v>
      </c>
      <c r="EB60" s="221">
        <f>IF(CdTrp4!Q78=4,1,0)</f>
        <v>0</v>
      </c>
      <c r="EC60" s="221">
        <f>IF(CdTrp4!R78=4,1,0)</f>
        <v>0</v>
      </c>
      <c r="ED60" s="221">
        <f>IF(CdTrp4!S78=4,1,0)</f>
        <v>0</v>
      </c>
      <c r="EE60" s="221">
        <f>IF(CdTrp4!T78=4,1,0)</f>
        <v>0</v>
      </c>
      <c r="EF60" s="221">
        <f>IF(CdTrp4!U78=4,1,0)</f>
        <v>0</v>
      </c>
      <c r="EG60" s="221">
        <f>IF(CdTrp4!V78=4,1,0)</f>
        <v>0</v>
      </c>
      <c r="EH60" s="221">
        <f>IF(CdTrp4!W78=4,1,0)</f>
        <v>0</v>
      </c>
      <c r="EI60" s="221">
        <f>IF(CdTrp4!X78=4,1,0)</f>
        <v>0</v>
      </c>
      <c r="EJ60" s="221">
        <f>IF(CdTrp4!Y78=4,1,0)</f>
        <v>0</v>
      </c>
    </row>
    <row r="61" spans="1:143" x14ac:dyDescent="0.25">
      <c r="A61" s="5"/>
      <c r="B61" s="5"/>
      <c r="C61" s="5"/>
      <c r="D61" s="5"/>
      <c r="X61" s="217"/>
      <c r="Y61" s="217"/>
      <c r="Z61" s="217"/>
      <c r="AA61" s="217"/>
      <c r="AB61" s="217"/>
      <c r="AC61" s="217"/>
      <c r="AD61" s="217"/>
      <c r="AE61" s="217"/>
      <c r="AF61" s="217"/>
      <c r="AG61" s="217" t="str">
        <f>CdTrp1!A79</f>
        <v>beliers</v>
      </c>
      <c r="AH61" s="221">
        <f>IF(CdTrp1!B79=4,1,0)</f>
        <v>0</v>
      </c>
      <c r="AI61" s="221">
        <f>IF(CdTrp1!C79=4,1,0)</f>
        <v>0</v>
      </c>
      <c r="AJ61" s="221">
        <f>IF(CdTrp1!D79=4,1,0)</f>
        <v>0</v>
      </c>
      <c r="AK61" s="221">
        <f>IF(CdTrp1!E79=4,1,0)</f>
        <v>0</v>
      </c>
      <c r="AL61" s="221">
        <f>IF(CdTrp1!F79=4,1,0)</f>
        <v>0</v>
      </c>
      <c r="AM61" s="221">
        <f>IF(CdTrp1!G79=4,1,0)</f>
        <v>0</v>
      </c>
      <c r="AN61" s="221">
        <f>IF(CdTrp1!H79=4,1,0)</f>
        <v>0</v>
      </c>
      <c r="AO61" s="221">
        <f>IF(CdTrp1!I79=4,1,0)</f>
        <v>0</v>
      </c>
      <c r="AP61" s="221">
        <f>IF(CdTrp1!J79=4,1,0)</f>
        <v>0</v>
      </c>
      <c r="AQ61" s="221">
        <f>IF(CdTrp1!K79=4,1,0)</f>
        <v>0</v>
      </c>
      <c r="AR61" s="221">
        <f>IF(CdTrp1!L79=4,1,0)</f>
        <v>0</v>
      </c>
      <c r="AS61" s="221">
        <f>IF(CdTrp1!M79=4,1,0)</f>
        <v>0</v>
      </c>
      <c r="AT61" s="221">
        <f>IF(CdTrp1!N79=4,1,0)</f>
        <v>0</v>
      </c>
      <c r="AU61" s="221">
        <f>IF(CdTrp1!O79=4,1,0)</f>
        <v>0</v>
      </c>
      <c r="AV61" s="221">
        <f>IF(CdTrp1!P79=4,1,0)</f>
        <v>0</v>
      </c>
      <c r="AW61" s="221">
        <f>IF(CdTrp1!Q79=4,1,0)</f>
        <v>0</v>
      </c>
      <c r="AX61" s="221">
        <f>IF(CdTrp1!R79=4,1,0)</f>
        <v>0</v>
      </c>
      <c r="AY61" s="221">
        <f>IF(CdTrp1!S79=4,1,0)</f>
        <v>0</v>
      </c>
      <c r="AZ61" s="221">
        <f>IF(CdTrp1!T79=4,1,0)</f>
        <v>0</v>
      </c>
      <c r="BA61" s="221">
        <f>IF(CdTrp1!U79=4,1,0)</f>
        <v>0</v>
      </c>
      <c r="BB61" s="221">
        <f>IF(CdTrp1!V79=4,1,0)</f>
        <v>0</v>
      </c>
      <c r="BC61" s="221">
        <f>IF(CdTrp1!W79=4,1,0)</f>
        <v>0</v>
      </c>
      <c r="BD61" s="221">
        <f>IF(CdTrp1!X79=4,1,0)</f>
        <v>0</v>
      </c>
      <c r="BE61" s="221">
        <f>IF(CdTrp1!Y79=4,1,0)</f>
        <v>0</v>
      </c>
      <c r="BF61" s="217"/>
      <c r="BG61" s="218"/>
      <c r="BH61" s="217" t="str">
        <f t="shared" si="22"/>
        <v>lot4</v>
      </c>
      <c r="BI61" s="217">
        <f>IF(CdTrp2!B79=4,1,0)</f>
        <v>0</v>
      </c>
      <c r="BJ61" s="217">
        <f>IF(CdTrp2!C79=4,1,0)</f>
        <v>0</v>
      </c>
      <c r="BK61" s="217">
        <f>IF(CdTrp2!D79=4,1,0)</f>
        <v>0</v>
      </c>
      <c r="BL61" s="217">
        <f>IF(CdTrp2!E79=4,1,0)</f>
        <v>0</v>
      </c>
      <c r="BM61" s="217">
        <f>IF(CdTrp2!F79=4,1,0)</f>
        <v>0</v>
      </c>
      <c r="BN61" s="217">
        <f>IF(CdTrp2!G79=4,1,0)</f>
        <v>0</v>
      </c>
      <c r="BO61" s="217">
        <f>IF(CdTrp2!H79=4,1,0)</f>
        <v>0</v>
      </c>
      <c r="BP61" s="217">
        <f>IF(CdTrp2!I79=4,1,0)</f>
        <v>0</v>
      </c>
      <c r="BQ61" s="217">
        <f>IF(CdTrp2!J79=4,1,0)</f>
        <v>0</v>
      </c>
      <c r="BR61" s="217">
        <f>IF(CdTrp2!K79=4,1,0)</f>
        <v>0</v>
      </c>
      <c r="BS61" s="217">
        <f>IF(CdTrp2!L79=4,1,0)</f>
        <v>0</v>
      </c>
      <c r="BT61" s="217">
        <f>IF(CdTrp2!M79=4,1,0)</f>
        <v>0</v>
      </c>
      <c r="BU61" s="217">
        <f>IF(CdTrp2!N79=4,1,0)</f>
        <v>0</v>
      </c>
      <c r="BV61" s="217">
        <f>IF(CdTrp2!O79=4,1,0)</f>
        <v>0</v>
      </c>
      <c r="BW61" s="217">
        <f>IF(CdTrp2!P79=4,1,0)</f>
        <v>0</v>
      </c>
      <c r="BX61" s="217">
        <f>IF(CdTrp2!Q79=4,1,0)</f>
        <v>0</v>
      </c>
      <c r="BY61" s="217">
        <f>IF(CdTrp2!R79=4,1,0)</f>
        <v>0</v>
      </c>
      <c r="BZ61" s="217">
        <f>IF(CdTrp2!S79=4,1,0)</f>
        <v>0</v>
      </c>
      <c r="CA61" s="217">
        <f>IF(CdTrp2!T79=4,1,0)</f>
        <v>0</v>
      </c>
      <c r="CB61" s="217">
        <f>IF(CdTrp2!U79=4,1,0)</f>
        <v>0</v>
      </c>
      <c r="CC61" s="217">
        <f>IF(CdTrp2!V79=4,1,0)</f>
        <v>0</v>
      </c>
      <c r="CD61" s="217">
        <f>IF(CdTrp2!W79=4,1,0)</f>
        <v>0</v>
      </c>
      <c r="CE61" s="217">
        <f>IF(CdTrp2!X79=4,1,0)</f>
        <v>0</v>
      </c>
      <c r="CF61" s="217">
        <f>IF(CdTrp2!Y79=4,1,0)</f>
        <v>0</v>
      </c>
      <c r="CG61" s="217"/>
      <c r="CH61" s="217"/>
      <c r="CI61" s="218"/>
      <c r="CJ61" s="217" t="str">
        <f t="shared" si="23"/>
        <v>lot4</v>
      </c>
      <c r="CK61" s="221">
        <f>IF(CdTrp3!B79=4,1,0)</f>
        <v>0</v>
      </c>
      <c r="CL61" s="221">
        <f>IF(CdTrp3!C79=4,1,0)</f>
        <v>0</v>
      </c>
      <c r="CM61" s="221">
        <f>IF(CdTrp3!D79=4,1,0)</f>
        <v>0</v>
      </c>
      <c r="CN61" s="221">
        <f>IF(CdTrp3!E79=4,1,0)</f>
        <v>0</v>
      </c>
      <c r="CO61" s="221">
        <f>IF(CdTrp3!F79=4,1,0)</f>
        <v>0</v>
      </c>
      <c r="CP61" s="221">
        <f>IF(CdTrp3!G79=4,1,0)</f>
        <v>0</v>
      </c>
      <c r="CQ61" s="221">
        <f>IF(CdTrp3!H79=4,1,0)</f>
        <v>0</v>
      </c>
      <c r="CR61" s="221">
        <f>IF(CdTrp3!I79=4,1,0)</f>
        <v>0</v>
      </c>
      <c r="CS61" s="221">
        <f>IF(CdTrp3!J79=4,1,0)</f>
        <v>0</v>
      </c>
      <c r="CT61" s="221">
        <f>IF(CdTrp3!K79=4,1,0)</f>
        <v>0</v>
      </c>
      <c r="CU61" s="221">
        <f>IF(CdTrp3!L79=4,1,0)</f>
        <v>0</v>
      </c>
      <c r="CV61" s="221">
        <f>IF(CdTrp3!M79=4,1,0)</f>
        <v>0</v>
      </c>
      <c r="CW61" s="221">
        <f>IF(CdTrp3!N79=4,1,0)</f>
        <v>0</v>
      </c>
      <c r="CX61" s="221">
        <f>IF(CdTrp3!O79=4,1,0)</f>
        <v>0</v>
      </c>
      <c r="CY61" s="221">
        <f>IF(CdTrp3!P79=4,1,0)</f>
        <v>0</v>
      </c>
      <c r="CZ61" s="221">
        <f>IF(CdTrp3!Q79=4,1,0)</f>
        <v>0</v>
      </c>
      <c r="DA61" s="221">
        <f>IF(CdTrp3!R79=4,1,0)</f>
        <v>0</v>
      </c>
      <c r="DB61" s="221">
        <f>IF(CdTrp3!S79=4,1,0)</f>
        <v>0</v>
      </c>
      <c r="DC61" s="221">
        <f>IF(CdTrp3!T79=4,1,0)</f>
        <v>0</v>
      </c>
      <c r="DD61" s="221">
        <f>IF(CdTrp3!U79=4,1,0)</f>
        <v>0</v>
      </c>
      <c r="DE61" s="221">
        <f>IF(CdTrp3!V79=4,1,0)</f>
        <v>0</v>
      </c>
      <c r="DF61" s="221">
        <f>IF(CdTrp3!W79=4,1,0)</f>
        <v>0</v>
      </c>
      <c r="DG61" s="221">
        <f>IF(CdTrp3!X79=4,1,0)</f>
        <v>0</v>
      </c>
      <c r="DH61" s="221">
        <f>IF(CdTrp3!Y79=4,1,0)</f>
        <v>0</v>
      </c>
      <c r="DI61" s="217"/>
      <c r="DJ61" s="217"/>
      <c r="DK61" s="218"/>
      <c r="DL61" s="217" t="str">
        <f t="shared" si="24"/>
        <v>lot4</v>
      </c>
      <c r="DM61" s="221">
        <f>IF(CdTrp4!B79=4,1,0)</f>
        <v>0</v>
      </c>
      <c r="DN61" s="221">
        <f>IF(CdTrp4!C79=4,1,0)</f>
        <v>0</v>
      </c>
      <c r="DO61" s="221">
        <f>IF(CdTrp4!D79=4,1,0)</f>
        <v>0</v>
      </c>
      <c r="DP61" s="221">
        <f>IF(CdTrp4!E79=4,1,0)</f>
        <v>0</v>
      </c>
      <c r="DQ61" s="221">
        <f>IF(CdTrp4!F79=4,1,0)</f>
        <v>0</v>
      </c>
      <c r="DR61" s="221">
        <f>IF(CdTrp4!G79=4,1,0)</f>
        <v>0</v>
      </c>
      <c r="DS61" s="221">
        <f>IF(CdTrp4!H79=4,1,0)</f>
        <v>0</v>
      </c>
      <c r="DT61" s="221">
        <f>IF(CdTrp4!I79=4,1,0)</f>
        <v>0</v>
      </c>
      <c r="DU61" s="221">
        <f>IF(CdTrp4!J79=4,1,0)</f>
        <v>0</v>
      </c>
      <c r="DV61" s="221">
        <f>IF(CdTrp4!K79=4,1,0)</f>
        <v>0</v>
      </c>
      <c r="DW61" s="221">
        <f>IF(CdTrp4!L79=4,1,0)</f>
        <v>0</v>
      </c>
      <c r="DX61" s="221">
        <f>IF(CdTrp4!M79=4,1,0)</f>
        <v>0</v>
      </c>
      <c r="DY61" s="221">
        <f>IF(CdTrp4!N79=4,1,0)</f>
        <v>0</v>
      </c>
      <c r="DZ61" s="221">
        <f>IF(CdTrp4!O79=4,1,0)</f>
        <v>0</v>
      </c>
      <c r="EA61" s="221">
        <f>IF(CdTrp4!P79=4,1,0)</f>
        <v>0</v>
      </c>
      <c r="EB61" s="221">
        <f>IF(CdTrp4!Q79=4,1,0)</f>
        <v>0</v>
      </c>
      <c r="EC61" s="221">
        <f>IF(CdTrp4!R79=4,1,0)</f>
        <v>0</v>
      </c>
      <c r="ED61" s="221">
        <f>IF(CdTrp4!S79=4,1,0)</f>
        <v>0</v>
      </c>
      <c r="EE61" s="221">
        <f>IF(CdTrp4!T79=4,1,0)</f>
        <v>0</v>
      </c>
      <c r="EF61" s="221">
        <f>IF(CdTrp4!U79=4,1,0)</f>
        <v>0</v>
      </c>
      <c r="EG61" s="221">
        <f>IF(CdTrp4!V79=4,1,0)</f>
        <v>0</v>
      </c>
      <c r="EH61" s="221">
        <f>IF(CdTrp4!W79=4,1,0)</f>
        <v>0</v>
      </c>
      <c r="EI61" s="221">
        <f>IF(CdTrp4!X79=4,1,0)</f>
        <v>0</v>
      </c>
      <c r="EJ61" s="221">
        <f>IF(CdTrp4!Y79=4,1,0)</f>
        <v>0</v>
      </c>
    </row>
    <row r="62" spans="1:143" x14ac:dyDescent="0.25">
      <c r="A62" s="5"/>
      <c r="B62" s="5"/>
      <c r="C62" s="5"/>
      <c r="D62" s="5"/>
      <c r="X62" s="217"/>
      <c r="Y62" s="217"/>
      <c r="Z62" s="217"/>
      <c r="AA62" s="217"/>
      <c r="AB62" s="217"/>
      <c r="AC62" s="217"/>
      <c r="AD62" s="217"/>
      <c r="AE62" s="217"/>
      <c r="AF62" s="217"/>
      <c r="AG62" s="272" t="str">
        <f>CdTrp1!A80</f>
        <v>lot5</v>
      </c>
      <c r="AH62" s="221">
        <f>IF(CdTrp1!B80=4,1,0)</f>
        <v>0</v>
      </c>
      <c r="AI62" s="221">
        <f>IF(CdTrp1!C80=4,1,0)</f>
        <v>0</v>
      </c>
      <c r="AJ62" s="221">
        <f>IF(CdTrp1!D80=4,1,0)</f>
        <v>0</v>
      </c>
      <c r="AK62" s="221">
        <f>IF(CdTrp1!E80=4,1,0)</f>
        <v>0</v>
      </c>
      <c r="AL62" s="221">
        <f>IF(CdTrp1!F80=4,1,0)</f>
        <v>0</v>
      </c>
      <c r="AM62" s="221">
        <f>IF(CdTrp1!G80=4,1,0)</f>
        <v>0</v>
      </c>
      <c r="AN62" s="221">
        <f>IF(CdTrp1!H80=4,1,0)</f>
        <v>0</v>
      </c>
      <c r="AO62" s="221">
        <f>IF(CdTrp1!I80=4,1,0)</f>
        <v>0</v>
      </c>
      <c r="AP62" s="221">
        <f>IF(CdTrp1!J80=4,1,0)</f>
        <v>0</v>
      </c>
      <c r="AQ62" s="221">
        <f>IF(CdTrp1!K80=4,1,0)</f>
        <v>0</v>
      </c>
      <c r="AR62" s="221">
        <f>IF(CdTrp1!L80=4,1,0)</f>
        <v>0</v>
      </c>
      <c r="AS62" s="221">
        <f>IF(CdTrp1!M80=4,1,0)</f>
        <v>0</v>
      </c>
      <c r="AT62" s="221">
        <f>IF(CdTrp1!N80=4,1,0)</f>
        <v>0</v>
      </c>
      <c r="AU62" s="221">
        <f>IF(CdTrp1!O80=4,1,0)</f>
        <v>0</v>
      </c>
      <c r="AV62" s="221">
        <f>IF(CdTrp1!P80=4,1,0)</f>
        <v>0</v>
      </c>
      <c r="AW62" s="221">
        <f>IF(CdTrp1!Q80=4,1,0)</f>
        <v>0</v>
      </c>
      <c r="AX62" s="221">
        <f>IF(CdTrp1!R80=4,1,0)</f>
        <v>0</v>
      </c>
      <c r="AY62" s="221">
        <f>IF(CdTrp1!S80=4,1,0)</f>
        <v>0</v>
      </c>
      <c r="AZ62" s="221">
        <f>IF(CdTrp1!T80=4,1,0)</f>
        <v>0</v>
      </c>
      <c r="BA62" s="221">
        <f>IF(CdTrp1!U80=4,1,0)</f>
        <v>0</v>
      </c>
      <c r="BB62" s="221">
        <f>IF(CdTrp1!V80=4,1,0)</f>
        <v>0</v>
      </c>
      <c r="BC62" s="221">
        <f>IF(CdTrp1!W80=4,1,0)</f>
        <v>0</v>
      </c>
      <c r="BD62" s="221">
        <f>IF(CdTrp1!X80=4,1,0)</f>
        <v>0</v>
      </c>
      <c r="BE62" s="221">
        <f>IF(CdTrp1!Y80=4,1,0)</f>
        <v>0</v>
      </c>
      <c r="BF62" s="217"/>
      <c r="BG62" s="218"/>
      <c r="BH62" s="217" t="str">
        <f t="shared" si="22"/>
        <v>lot5</v>
      </c>
      <c r="BI62" s="217">
        <f>IF(CdTrp2!B80=4,1,0)</f>
        <v>0</v>
      </c>
      <c r="BJ62" s="217">
        <f>IF(CdTrp2!C80=4,1,0)</f>
        <v>0</v>
      </c>
      <c r="BK62" s="217">
        <f>IF(CdTrp2!D80=4,1,0)</f>
        <v>0</v>
      </c>
      <c r="BL62" s="217">
        <f>IF(CdTrp2!E80=4,1,0)</f>
        <v>0</v>
      </c>
      <c r="BM62" s="217">
        <f>IF(CdTrp2!F80=4,1,0)</f>
        <v>0</v>
      </c>
      <c r="BN62" s="217">
        <f>IF(CdTrp2!G80=4,1,0)</f>
        <v>0</v>
      </c>
      <c r="BO62" s="217">
        <f>IF(CdTrp2!H80=4,1,0)</f>
        <v>0</v>
      </c>
      <c r="BP62" s="217">
        <f>IF(CdTrp2!I80=4,1,0)</f>
        <v>0</v>
      </c>
      <c r="BQ62" s="217">
        <f>IF(CdTrp2!J80=4,1,0)</f>
        <v>0</v>
      </c>
      <c r="BR62" s="217">
        <f>IF(CdTrp2!K80=4,1,0)</f>
        <v>0</v>
      </c>
      <c r="BS62" s="217">
        <f>IF(CdTrp2!L80=4,1,0)</f>
        <v>0</v>
      </c>
      <c r="BT62" s="217">
        <f>IF(CdTrp2!M80=4,1,0)</f>
        <v>0</v>
      </c>
      <c r="BU62" s="217">
        <f>IF(CdTrp2!N80=4,1,0)</f>
        <v>0</v>
      </c>
      <c r="BV62" s="217">
        <f>IF(CdTrp2!O80=4,1,0)</f>
        <v>0</v>
      </c>
      <c r="BW62" s="217">
        <f>IF(CdTrp2!P80=4,1,0)</f>
        <v>0</v>
      </c>
      <c r="BX62" s="217">
        <f>IF(CdTrp2!Q80=4,1,0)</f>
        <v>0</v>
      </c>
      <c r="BY62" s="217">
        <f>IF(CdTrp2!R80=4,1,0)</f>
        <v>0</v>
      </c>
      <c r="BZ62" s="217">
        <f>IF(CdTrp2!S80=4,1,0)</f>
        <v>0</v>
      </c>
      <c r="CA62" s="217">
        <f>IF(CdTrp2!T80=4,1,0)</f>
        <v>0</v>
      </c>
      <c r="CB62" s="217">
        <f>IF(CdTrp2!U80=4,1,0)</f>
        <v>0</v>
      </c>
      <c r="CC62" s="217">
        <f>IF(CdTrp2!V80=4,1,0)</f>
        <v>0</v>
      </c>
      <c r="CD62" s="217">
        <f>IF(CdTrp2!W80=4,1,0)</f>
        <v>0</v>
      </c>
      <c r="CE62" s="217">
        <f>IF(CdTrp2!X80=4,1,0)</f>
        <v>0</v>
      </c>
      <c r="CF62" s="217">
        <f>IF(CdTrp2!Y80=4,1,0)</f>
        <v>0</v>
      </c>
      <c r="CG62" s="217"/>
      <c r="CH62" s="217"/>
      <c r="CI62" s="218"/>
      <c r="CJ62" s="217" t="str">
        <f t="shared" si="23"/>
        <v>lot5</v>
      </c>
      <c r="CK62" s="221">
        <f>IF(CdTrp3!B80=4,1,0)</f>
        <v>0</v>
      </c>
      <c r="CL62" s="221">
        <f>IF(CdTrp3!C80=4,1,0)</f>
        <v>0</v>
      </c>
      <c r="CM62" s="221">
        <f>IF(CdTrp3!D80=4,1,0)</f>
        <v>0</v>
      </c>
      <c r="CN62" s="221">
        <f>IF(CdTrp3!E80=4,1,0)</f>
        <v>0</v>
      </c>
      <c r="CO62" s="221">
        <f>IF(CdTrp3!F80=4,1,0)</f>
        <v>0</v>
      </c>
      <c r="CP62" s="221">
        <f>IF(CdTrp3!G80=4,1,0)</f>
        <v>0</v>
      </c>
      <c r="CQ62" s="221">
        <f>IF(CdTrp3!H80=4,1,0)</f>
        <v>0</v>
      </c>
      <c r="CR62" s="221">
        <f>IF(CdTrp3!I80=4,1,0)</f>
        <v>0</v>
      </c>
      <c r="CS62" s="221">
        <f>IF(CdTrp3!J80=4,1,0)</f>
        <v>0</v>
      </c>
      <c r="CT62" s="221">
        <f>IF(CdTrp3!K80=4,1,0)</f>
        <v>0</v>
      </c>
      <c r="CU62" s="221">
        <f>IF(CdTrp3!L80=4,1,0)</f>
        <v>0</v>
      </c>
      <c r="CV62" s="221">
        <f>IF(CdTrp3!M80=4,1,0)</f>
        <v>0</v>
      </c>
      <c r="CW62" s="221">
        <f>IF(CdTrp3!N80=4,1,0)</f>
        <v>0</v>
      </c>
      <c r="CX62" s="221">
        <f>IF(CdTrp3!O80=4,1,0)</f>
        <v>0</v>
      </c>
      <c r="CY62" s="221">
        <f>IF(CdTrp3!P80=4,1,0)</f>
        <v>0</v>
      </c>
      <c r="CZ62" s="221">
        <f>IF(CdTrp3!Q80=4,1,0)</f>
        <v>0</v>
      </c>
      <c r="DA62" s="221">
        <f>IF(CdTrp3!R80=4,1,0)</f>
        <v>0</v>
      </c>
      <c r="DB62" s="221">
        <f>IF(CdTrp3!S80=4,1,0)</f>
        <v>0</v>
      </c>
      <c r="DC62" s="221">
        <f>IF(CdTrp3!T80=4,1,0)</f>
        <v>0</v>
      </c>
      <c r="DD62" s="221">
        <f>IF(CdTrp3!U80=4,1,0)</f>
        <v>0</v>
      </c>
      <c r="DE62" s="221">
        <f>IF(CdTrp3!V80=4,1,0)</f>
        <v>0</v>
      </c>
      <c r="DF62" s="221">
        <f>IF(CdTrp3!W80=4,1,0)</f>
        <v>0</v>
      </c>
      <c r="DG62" s="221">
        <f>IF(CdTrp3!X80=4,1,0)</f>
        <v>0</v>
      </c>
      <c r="DH62" s="221">
        <f>IF(CdTrp3!Y80=4,1,0)</f>
        <v>0</v>
      </c>
      <c r="DI62" s="217"/>
      <c r="DJ62" s="217"/>
      <c r="DK62" s="218"/>
      <c r="DL62" s="217" t="str">
        <f t="shared" si="24"/>
        <v>lot5</v>
      </c>
      <c r="DM62" s="221">
        <f>IF(CdTrp4!B80=4,1,0)</f>
        <v>0</v>
      </c>
      <c r="DN62" s="221">
        <f>IF(CdTrp4!C80=4,1,0)</f>
        <v>0</v>
      </c>
      <c r="DO62" s="221">
        <f>IF(CdTrp4!D80=4,1,0)</f>
        <v>0</v>
      </c>
      <c r="DP62" s="221">
        <f>IF(CdTrp4!E80=4,1,0)</f>
        <v>0</v>
      </c>
      <c r="DQ62" s="221">
        <f>IF(CdTrp4!F80=4,1,0)</f>
        <v>0</v>
      </c>
      <c r="DR62" s="221">
        <f>IF(CdTrp4!G80=4,1,0)</f>
        <v>0</v>
      </c>
      <c r="DS62" s="221">
        <f>IF(CdTrp4!H80=4,1,0)</f>
        <v>0</v>
      </c>
      <c r="DT62" s="221">
        <f>IF(CdTrp4!I80=4,1,0)</f>
        <v>0</v>
      </c>
      <c r="DU62" s="221">
        <f>IF(CdTrp4!J80=4,1,0)</f>
        <v>0</v>
      </c>
      <c r="DV62" s="221">
        <f>IF(CdTrp4!K80=4,1,0)</f>
        <v>0</v>
      </c>
      <c r="DW62" s="221">
        <f>IF(CdTrp4!L80=4,1,0)</f>
        <v>0</v>
      </c>
      <c r="DX62" s="221">
        <f>IF(CdTrp4!M80=4,1,0)</f>
        <v>0</v>
      </c>
      <c r="DY62" s="221">
        <f>IF(CdTrp4!N80=4,1,0)</f>
        <v>0</v>
      </c>
      <c r="DZ62" s="221">
        <f>IF(CdTrp4!O80=4,1,0)</f>
        <v>0</v>
      </c>
      <c r="EA62" s="221">
        <f>IF(CdTrp4!P80=4,1,0)</f>
        <v>0</v>
      </c>
      <c r="EB62" s="221">
        <f>IF(CdTrp4!Q80=4,1,0)</f>
        <v>0</v>
      </c>
      <c r="EC62" s="221">
        <f>IF(CdTrp4!R80=4,1,0)</f>
        <v>0</v>
      </c>
      <c r="ED62" s="221">
        <f>IF(CdTrp4!S80=4,1,0)</f>
        <v>0</v>
      </c>
      <c r="EE62" s="221">
        <f>IF(CdTrp4!T80=4,1,0)</f>
        <v>0</v>
      </c>
      <c r="EF62" s="221">
        <f>IF(CdTrp4!U80=4,1,0)</f>
        <v>0</v>
      </c>
      <c r="EG62" s="221">
        <f>IF(CdTrp4!V80=4,1,0)</f>
        <v>0</v>
      </c>
      <c r="EH62" s="221">
        <f>IF(CdTrp4!W80=4,1,0)</f>
        <v>0</v>
      </c>
      <c r="EI62" s="221">
        <f>IF(CdTrp4!X80=4,1,0)</f>
        <v>0</v>
      </c>
      <c r="EJ62" s="221">
        <f>IF(CdTrp4!Y80=4,1,0)</f>
        <v>0</v>
      </c>
    </row>
    <row r="63" spans="1:143" x14ac:dyDescent="0.25">
      <c r="A63" s="5"/>
      <c r="B63" s="5"/>
      <c r="C63" s="5"/>
      <c r="D63" s="5"/>
      <c r="X63" s="217"/>
      <c r="Y63" s="217"/>
      <c r="Z63" s="217"/>
      <c r="AA63" s="217"/>
      <c r="AB63" s="217"/>
      <c r="AC63" s="217"/>
      <c r="AD63" s="217"/>
      <c r="AE63" s="217"/>
      <c r="AF63" s="217"/>
      <c r="AG63" s="217" t="str">
        <f>CdTrp1!A81</f>
        <v>lot6</v>
      </c>
      <c r="AH63" s="221">
        <f>IF(CdTrp1!B81=4,1,0)</f>
        <v>0</v>
      </c>
      <c r="AI63" s="221">
        <f>IF(CdTrp1!C81=4,1,0)</f>
        <v>0</v>
      </c>
      <c r="AJ63" s="221">
        <f>IF(CdTrp1!D81=4,1,0)</f>
        <v>0</v>
      </c>
      <c r="AK63" s="221">
        <f>IF(CdTrp1!E81=4,1,0)</f>
        <v>0</v>
      </c>
      <c r="AL63" s="221">
        <f>IF(CdTrp1!F81=4,1,0)</f>
        <v>0</v>
      </c>
      <c r="AM63" s="221">
        <f>IF(CdTrp1!G81=4,1,0)</f>
        <v>0</v>
      </c>
      <c r="AN63" s="221">
        <f>IF(CdTrp1!H81=4,1,0)</f>
        <v>0</v>
      </c>
      <c r="AO63" s="221">
        <f>IF(CdTrp1!I81=4,1,0)</f>
        <v>0</v>
      </c>
      <c r="AP63" s="221">
        <f>IF(CdTrp1!J81=4,1,0)</f>
        <v>0</v>
      </c>
      <c r="AQ63" s="221">
        <f>IF(CdTrp1!K81=4,1,0)</f>
        <v>0</v>
      </c>
      <c r="AR63" s="221">
        <f>IF(CdTrp1!L81=4,1,0)</f>
        <v>0</v>
      </c>
      <c r="AS63" s="221">
        <f>IF(CdTrp1!M81=4,1,0)</f>
        <v>0</v>
      </c>
      <c r="AT63" s="221">
        <f>IF(CdTrp1!N81=4,1,0)</f>
        <v>0</v>
      </c>
      <c r="AU63" s="221">
        <f>IF(CdTrp1!O81=4,1,0)</f>
        <v>0</v>
      </c>
      <c r="AV63" s="221">
        <f>IF(CdTrp1!P81=4,1,0)</f>
        <v>0</v>
      </c>
      <c r="AW63" s="221">
        <f>IF(CdTrp1!Q81=4,1,0)</f>
        <v>0</v>
      </c>
      <c r="AX63" s="221">
        <f>IF(CdTrp1!R81=4,1,0)</f>
        <v>0</v>
      </c>
      <c r="AY63" s="221">
        <f>IF(CdTrp1!S81=4,1,0)</f>
        <v>0</v>
      </c>
      <c r="AZ63" s="221">
        <f>IF(CdTrp1!T81=4,1,0)</f>
        <v>0</v>
      </c>
      <c r="BA63" s="221">
        <f>IF(CdTrp1!U81=4,1,0)</f>
        <v>0</v>
      </c>
      <c r="BB63" s="221">
        <f>IF(CdTrp1!V81=4,1,0)</f>
        <v>0</v>
      </c>
      <c r="BC63" s="221">
        <f>IF(CdTrp1!W81=4,1,0)</f>
        <v>0</v>
      </c>
      <c r="BD63" s="221">
        <f>IF(CdTrp1!X81=4,1,0)</f>
        <v>0</v>
      </c>
      <c r="BE63" s="221">
        <f>IF(CdTrp1!Y81=4,1,0)</f>
        <v>0</v>
      </c>
      <c r="BF63" s="217"/>
      <c r="BG63" s="218"/>
      <c r="BH63" s="217" t="str">
        <f t="shared" si="22"/>
        <v>lot6</v>
      </c>
      <c r="BI63" s="217">
        <f>IF(CdTrp2!B81=4,1,0)</f>
        <v>0</v>
      </c>
      <c r="BJ63" s="217">
        <f>IF(CdTrp2!C81=4,1,0)</f>
        <v>0</v>
      </c>
      <c r="BK63" s="217">
        <f>IF(CdTrp2!D81=4,1,0)</f>
        <v>0</v>
      </c>
      <c r="BL63" s="217">
        <f>IF(CdTrp2!E81=4,1,0)</f>
        <v>0</v>
      </c>
      <c r="BM63" s="217">
        <f>IF(CdTrp2!F81=4,1,0)</f>
        <v>0</v>
      </c>
      <c r="BN63" s="217">
        <f>IF(CdTrp2!G81=4,1,0)</f>
        <v>0</v>
      </c>
      <c r="BO63" s="217">
        <f>IF(CdTrp2!H81=4,1,0)</f>
        <v>0</v>
      </c>
      <c r="BP63" s="217">
        <f>IF(CdTrp2!I81=4,1,0)</f>
        <v>0</v>
      </c>
      <c r="BQ63" s="217">
        <f>IF(CdTrp2!J81=4,1,0)</f>
        <v>0</v>
      </c>
      <c r="BR63" s="217">
        <f>IF(CdTrp2!K81=4,1,0)</f>
        <v>0</v>
      </c>
      <c r="BS63" s="217">
        <f>IF(CdTrp2!L81=4,1,0)</f>
        <v>0</v>
      </c>
      <c r="BT63" s="217">
        <f>IF(CdTrp2!M81=4,1,0)</f>
        <v>0</v>
      </c>
      <c r="BU63" s="217">
        <f>IF(CdTrp2!N81=4,1,0)</f>
        <v>0</v>
      </c>
      <c r="BV63" s="217">
        <f>IF(CdTrp2!O81=4,1,0)</f>
        <v>0</v>
      </c>
      <c r="BW63" s="217">
        <f>IF(CdTrp2!P81=4,1,0)</f>
        <v>0</v>
      </c>
      <c r="BX63" s="217">
        <f>IF(CdTrp2!Q81=4,1,0)</f>
        <v>0</v>
      </c>
      <c r="BY63" s="217">
        <f>IF(CdTrp2!R81=4,1,0)</f>
        <v>0</v>
      </c>
      <c r="BZ63" s="217">
        <f>IF(CdTrp2!S81=4,1,0)</f>
        <v>0</v>
      </c>
      <c r="CA63" s="217">
        <f>IF(CdTrp2!T81=4,1,0)</f>
        <v>0</v>
      </c>
      <c r="CB63" s="217">
        <f>IF(CdTrp2!U81=4,1,0)</f>
        <v>0</v>
      </c>
      <c r="CC63" s="217">
        <f>IF(CdTrp2!V81=4,1,0)</f>
        <v>0</v>
      </c>
      <c r="CD63" s="217">
        <f>IF(CdTrp2!W81=4,1,0)</f>
        <v>0</v>
      </c>
      <c r="CE63" s="217">
        <f>IF(CdTrp2!X81=4,1,0)</f>
        <v>0</v>
      </c>
      <c r="CF63" s="217">
        <f>IF(CdTrp2!Y81=4,1,0)</f>
        <v>0</v>
      </c>
      <c r="CG63" s="217"/>
      <c r="CH63" s="217"/>
      <c r="CI63" s="218"/>
      <c r="CJ63" s="217" t="str">
        <f t="shared" si="23"/>
        <v>lot6</v>
      </c>
      <c r="CK63" s="221">
        <f>IF(CdTrp3!B81=4,1,0)</f>
        <v>0</v>
      </c>
      <c r="CL63" s="221">
        <f>IF(CdTrp3!C81=4,1,0)</f>
        <v>0</v>
      </c>
      <c r="CM63" s="221">
        <f>IF(CdTrp3!D81=4,1,0)</f>
        <v>0</v>
      </c>
      <c r="CN63" s="221">
        <f>IF(CdTrp3!E81=4,1,0)</f>
        <v>0</v>
      </c>
      <c r="CO63" s="221">
        <f>IF(CdTrp3!F81=4,1,0)</f>
        <v>0</v>
      </c>
      <c r="CP63" s="221">
        <f>IF(CdTrp3!G81=4,1,0)</f>
        <v>0</v>
      </c>
      <c r="CQ63" s="221">
        <f>IF(CdTrp3!H81=4,1,0)</f>
        <v>0</v>
      </c>
      <c r="CR63" s="221">
        <f>IF(CdTrp3!I81=4,1,0)</f>
        <v>0</v>
      </c>
      <c r="CS63" s="221">
        <f>IF(CdTrp3!J81=4,1,0)</f>
        <v>0</v>
      </c>
      <c r="CT63" s="221">
        <f>IF(CdTrp3!K81=4,1,0)</f>
        <v>0</v>
      </c>
      <c r="CU63" s="221">
        <f>IF(CdTrp3!L81=4,1,0)</f>
        <v>0</v>
      </c>
      <c r="CV63" s="221">
        <f>IF(CdTrp3!M81=4,1,0)</f>
        <v>0</v>
      </c>
      <c r="CW63" s="221">
        <f>IF(CdTrp3!N81=4,1,0)</f>
        <v>0</v>
      </c>
      <c r="CX63" s="221">
        <f>IF(CdTrp3!O81=4,1,0)</f>
        <v>0</v>
      </c>
      <c r="CY63" s="221">
        <f>IF(CdTrp3!P81=4,1,0)</f>
        <v>0</v>
      </c>
      <c r="CZ63" s="221">
        <f>IF(CdTrp3!Q81=4,1,0)</f>
        <v>0</v>
      </c>
      <c r="DA63" s="221">
        <f>IF(CdTrp3!R81=4,1,0)</f>
        <v>0</v>
      </c>
      <c r="DB63" s="221">
        <f>IF(CdTrp3!S81=4,1,0)</f>
        <v>0</v>
      </c>
      <c r="DC63" s="221">
        <f>IF(CdTrp3!T81=4,1,0)</f>
        <v>0</v>
      </c>
      <c r="DD63" s="221">
        <f>IF(CdTrp3!U81=4,1,0)</f>
        <v>0</v>
      </c>
      <c r="DE63" s="221">
        <f>IF(CdTrp3!V81=4,1,0)</f>
        <v>0</v>
      </c>
      <c r="DF63" s="221">
        <f>IF(CdTrp3!W81=4,1,0)</f>
        <v>0</v>
      </c>
      <c r="DG63" s="221">
        <f>IF(CdTrp3!X81=4,1,0)</f>
        <v>0</v>
      </c>
      <c r="DH63" s="221">
        <f>IF(CdTrp3!Y81=4,1,0)</f>
        <v>0</v>
      </c>
      <c r="DI63" s="217"/>
      <c r="DJ63" s="217"/>
      <c r="DK63" s="218"/>
      <c r="DL63" s="217" t="str">
        <f t="shared" si="24"/>
        <v>lot6</v>
      </c>
      <c r="DM63" s="221">
        <f>IF(CdTrp4!B81=4,1,0)</f>
        <v>0</v>
      </c>
      <c r="DN63" s="221">
        <f>IF(CdTrp4!C81=4,1,0)</f>
        <v>0</v>
      </c>
      <c r="DO63" s="221">
        <f>IF(CdTrp4!D81=4,1,0)</f>
        <v>0</v>
      </c>
      <c r="DP63" s="221">
        <f>IF(CdTrp4!E81=4,1,0)</f>
        <v>0</v>
      </c>
      <c r="DQ63" s="221">
        <f>IF(CdTrp4!F81=4,1,0)</f>
        <v>0</v>
      </c>
      <c r="DR63" s="221">
        <f>IF(CdTrp4!G81=4,1,0)</f>
        <v>0</v>
      </c>
      <c r="DS63" s="221">
        <f>IF(CdTrp4!H81=4,1,0)</f>
        <v>0</v>
      </c>
      <c r="DT63" s="221">
        <f>IF(CdTrp4!I81=4,1,0)</f>
        <v>0</v>
      </c>
      <c r="DU63" s="221">
        <f>IF(CdTrp4!J81=4,1,0)</f>
        <v>0</v>
      </c>
      <c r="DV63" s="221">
        <f>IF(CdTrp4!K81=4,1,0)</f>
        <v>0</v>
      </c>
      <c r="DW63" s="221">
        <f>IF(CdTrp4!L81=4,1,0)</f>
        <v>0</v>
      </c>
      <c r="DX63" s="221">
        <f>IF(CdTrp4!M81=4,1,0)</f>
        <v>0</v>
      </c>
      <c r="DY63" s="221">
        <f>IF(CdTrp4!N81=4,1,0)</f>
        <v>0</v>
      </c>
      <c r="DZ63" s="221">
        <f>IF(CdTrp4!O81=4,1,0)</f>
        <v>0</v>
      </c>
      <c r="EA63" s="221">
        <f>IF(CdTrp4!P81=4,1,0)</f>
        <v>0</v>
      </c>
      <c r="EB63" s="221">
        <f>IF(CdTrp4!Q81=4,1,0)</f>
        <v>0</v>
      </c>
      <c r="EC63" s="221">
        <f>IF(CdTrp4!R81=4,1,0)</f>
        <v>0</v>
      </c>
      <c r="ED63" s="221">
        <f>IF(CdTrp4!S81=4,1,0)</f>
        <v>0</v>
      </c>
      <c r="EE63" s="221">
        <f>IF(CdTrp4!T81=4,1,0)</f>
        <v>0</v>
      </c>
      <c r="EF63" s="221">
        <f>IF(CdTrp4!U81=4,1,0)</f>
        <v>0</v>
      </c>
      <c r="EG63" s="221">
        <f>IF(CdTrp4!V81=4,1,0)</f>
        <v>0</v>
      </c>
      <c r="EH63" s="221">
        <f>IF(CdTrp4!W81=4,1,0)</f>
        <v>0</v>
      </c>
      <c r="EI63" s="221">
        <f>IF(CdTrp4!X81=4,1,0)</f>
        <v>0</v>
      </c>
      <c r="EJ63" s="221">
        <f>IF(CdTrp4!Y81=4,1,0)</f>
        <v>0</v>
      </c>
    </row>
    <row r="64" spans="1:143" x14ac:dyDescent="0.25">
      <c r="A64" s="5"/>
      <c r="B64" s="5"/>
      <c r="C64" s="5"/>
      <c r="D64" s="5"/>
      <c r="X64" s="217"/>
      <c r="Y64" s="217"/>
      <c r="Z64" s="217"/>
      <c r="AA64" s="217"/>
      <c r="AB64" s="217"/>
      <c r="AC64" s="217"/>
      <c r="AD64" s="217"/>
      <c r="AE64" s="217"/>
      <c r="AF64" s="217"/>
      <c r="AG64" s="272" t="str">
        <f>CdTrp1!A82</f>
        <v>lot7</v>
      </c>
      <c r="AH64" s="221">
        <f>IF(CdTrp1!B82=4,1,0)</f>
        <v>0</v>
      </c>
      <c r="AI64" s="221">
        <f>IF(CdTrp1!C82=4,1,0)</f>
        <v>0</v>
      </c>
      <c r="AJ64" s="221">
        <f>IF(CdTrp1!D82=4,1,0)</f>
        <v>0</v>
      </c>
      <c r="AK64" s="221">
        <f>IF(CdTrp1!E82=4,1,0)</f>
        <v>0</v>
      </c>
      <c r="AL64" s="221">
        <f>IF(CdTrp1!F82=4,1,0)</f>
        <v>0</v>
      </c>
      <c r="AM64" s="221">
        <f>IF(CdTrp1!G82=4,1,0)</f>
        <v>0</v>
      </c>
      <c r="AN64" s="221">
        <f>IF(CdTrp1!H82=4,1,0)</f>
        <v>0</v>
      </c>
      <c r="AO64" s="221">
        <f>IF(CdTrp1!I82=4,1,0)</f>
        <v>0</v>
      </c>
      <c r="AP64" s="221">
        <f>IF(CdTrp1!J82=4,1,0)</f>
        <v>0</v>
      </c>
      <c r="AQ64" s="221">
        <f>IF(CdTrp1!K82=4,1,0)</f>
        <v>0</v>
      </c>
      <c r="AR64" s="221">
        <f>IF(CdTrp1!L82=4,1,0)</f>
        <v>0</v>
      </c>
      <c r="AS64" s="221">
        <f>IF(CdTrp1!M82=4,1,0)</f>
        <v>0</v>
      </c>
      <c r="AT64" s="221">
        <f>IF(CdTrp1!N82=4,1,0)</f>
        <v>0</v>
      </c>
      <c r="AU64" s="221">
        <f>IF(CdTrp1!O82=4,1,0)</f>
        <v>0</v>
      </c>
      <c r="AV64" s="221">
        <f>IF(CdTrp1!P82=4,1,0)</f>
        <v>0</v>
      </c>
      <c r="AW64" s="221">
        <f>IF(CdTrp1!Q82=4,1,0)</f>
        <v>0</v>
      </c>
      <c r="AX64" s="221">
        <f>IF(CdTrp1!R82=4,1,0)</f>
        <v>0</v>
      </c>
      <c r="AY64" s="221">
        <f>IF(CdTrp1!S82=4,1,0)</f>
        <v>0</v>
      </c>
      <c r="AZ64" s="221">
        <f>IF(CdTrp1!T82=4,1,0)</f>
        <v>0</v>
      </c>
      <c r="BA64" s="221">
        <f>IF(CdTrp1!U82=4,1,0)</f>
        <v>0</v>
      </c>
      <c r="BB64" s="221">
        <f>IF(CdTrp1!V82=4,1,0)</f>
        <v>0</v>
      </c>
      <c r="BC64" s="221">
        <f>IF(CdTrp1!W82=4,1,0)</f>
        <v>0</v>
      </c>
      <c r="BD64" s="221">
        <f>IF(CdTrp1!X82=4,1,0)</f>
        <v>0</v>
      </c>
      <c r="BE64" s="221">
        <f>IF(CdTrp1!Y82=4,1,0)</f>
        <v>0</v>
      </c>
      <c r="BF64" s="217"/>
      <c r="BG64" s="218"/>
      <c r="BH64" s="217" t="str">
        <f t="shared" si="22"/>
        <v>lot7</v>
      </c>
      <c r="BI64" s="217">
        <f>IF(CdTrp2!B82=4,1,0)</f>
        <v>0</v>
      </c>
      <c r="BJ64" s="217">
        <f>IF(CdTrp2!C82=4,1,0)</f>
        <v>0</v>
      </c>
      <c r="BK64" s="217">
        <f>IF(CdTrp2!D82=4,1,0)</f>
        <v>0</v>
      </c>
      <c r="BL64" s="217">
        <f>IF(CdTrp2!E82=4,1,0)</f>
        <v>0</v>
      </c>
      <c r="BM64" s="217">
        <f>IF(CdTrp2!F82=4,1,0)</f>
        <v>0</v>
      </c>
      <c r="BN64" s="217">
        <f>IF(CdTrp2!G82=4,1,0)</f>
        <v>0</v>
      </c>
      <c r="BO64" s="217">
        <f>IF(CdTrp2!H82=4,1,0)</f>
        <v>0</v>
      </c>
      <c r="BP64" s="217">
        <f>IF(CdTrp2!I82=4,1,0)</f>
        <v>0</v>
      </c>
      <c r="BQ64" s="217">
        <f>IF(CdTrp2!J82=4,1,0)</f>
        <v>0</v>
      </c>
      <c r="BR64" s="217">
        <f>IF(CdTrp2!K82=4,1,0)</f>
        <v>0</v>
      </c>
      <c r="BS64" s="217">
        <f>IF(CdTrp2!L82=4,1,0)</f>
        <v>0</v>
      </c>
      <c r="BT64" s="217">
        <f>IF(CdTrp2!M82=4,1,0)</f>
        <v>0</v>
      </c>
      <c r="BU64" s="217">
        <f>IF(CdTrp2!N82=4,1,0)</f>
        <v>0</v>
      </c>
      <c r="BV64" s="217">
        <f>IF(CdTrp2!O82=4,1,0)</f>
        <v>0</v>
      </c>
      <c r="BW64" s="217">
        <f>IF(CdTrp2!P82=4,1,0)</f>
        <v>0</v>
      </c>
      <c r="BX64" s="217">
        <f>IF(CdTrp2!Q82=4,1,0)</f>
        <v>0</v>
      </c>
      <c r="BY64" s="217">
        <f>IF(CdTrp2!R82=4,1,0)</f>
        <v>0</v>
      </c>
      <c r="BZ64" s="217">
        <f>IF(CdTrp2!S82=4,1,0)</f>
        <v>0</v>
      </c>
      <c r="CA64" s="217">
        <f>IF(CdTrp2!T82=4,1,0)</f>
        <v>0</v>
      </c>
      <c r="CB64" s="217">
        <f>IF(CdTrp2!U82=4,1,0)</f>
        <v>0</v>
      </c>
      <c r="CC64" s="217">
        <f>IF(CdTrp2!V82=4,1,0)</f>
        <v>0</v>
      </c>
      <c r="CD64" s="217">
        <f>IF(CdTrp2!W82=4,1,0)</f>
        <v>0</v>
      </c>
      <c r="CE64" s="217">
        <f>IF(CdTrp2!X82=4,1,0)</f>
        <v>0</v>
      </c>
      <c r="CF64" s="217">
        <f>IF(CdTrp2!Y82=4,1,0)</f>
        <v>0</v>
      </c>
      <c r="CG64" s="217"/>
      <c r="CH64" s="217"/>
      <c r="CI64" s="218"/>
      <c r="CJ64" s="217" t="str">
        <f t="shared" si="23"/>
        <v>lot7</v>
      </c>
      <c r="CK64" s="221">
        <f>IF(CdTrp3!B82=4,1,0)</f>
        <v>0</v>
      </c>
      <c r="CL64" s="221">
        <f>IF(CdTrp3!C82=4,1,0)</f>
        <v>0</v>
      </c>
      <c r="CM64" s="221">
        <f>IF(CdTrp3!D82=4,1,0)</f>
        <v>0</v>
      </c>
      <c r="CN64" s="221">
        <f>IF(CdTrp3!E82=4,1,0)</f>
        <v>0</v>
      </c>
      <c r="CO64" s="221">
        <f>IF(CdTrp3!F82=4,1,0)</f>
        <v>0</v>
      </c>
      <c r="CP64" s="221">
        <f>IF(CdTrp3!G82=4,1,0)</f>
        <v>0</v>
      </c>
      <c r="CQ64" s="221">
        <f>IF(CdTrp3!H82=4,1,0)</f>
        <v>0</v>
      </c>
      <c r="CR64" s="221">
        <f>IF(CdTrp3!I82=4,1,0)</f>
        <v>0</v>
      </c>
      <c r="CS64" s="221">
        <f>IF(CdTrp3!J82=4,1,0)</f>
        <v>0</v>
      </c>
      <c r="CT64" s="221">
        <f>IF(CdTrp3!K82=4,1,0)</f>
        <v>0</v>
      </c>
      <c r="CU64" s="221">
        <f>IF(CdTrp3!L82=4,1,0)</f>
        <v>0</v>
      </c>
      <c r="CV64" s="221">
        <f>IF(CdTrp3!M82=4,1,0)</f>
        <v>0</v>
      </c>
      <c r="CW64" s="221">
        <f>IF(CdTrp3!N82=4,1,0)</f>
        <v>0</v>
      </c>
      <c r="CX64" s="221">
        <f>IF(CdTrp3!O82=4,1,0)</f>
        <v>0</v>
      </c>
      <c r="CY64" s="221">
        <f>IF(CdTrp3!P82=4,1,0)</f>
        <v>0</v>
      </c>
      <c r="CZ64" s="221">
        <f>IF(CdTrp3!Q82=4,1,0)</f>
        <v>0</v>
      </c>
      <c r="DA64" s="221">
        <f>IF(CdTrp3!R82=4,1,0)</f>
        <v>0</v>
      </c>
      <c r="DB64" s="221">
        <f>IF(CdTrp3!S82=4,1,0)</f>
        <v>0</v>
      </c>
      <c r="DC64" s="221">
        <f>IF(CdTrp3!T82=4,1,0)</f>
        <v>0</v>
      </c>
      <c r="DD64" s="221">
        <f>IF(CdTrp3!U82=4,1,0)</f>
        <v>0</v>
      </c>
      <c r="DE64" s="221">
        <f>IF(CdTrp3!V82=4,1,0)</f>
        <v>0</v>
      </c>
      <c r="DF64" s="221">
        <f>IF(CdTrp3!W82=4,1,0)</f>
        <v>0</v>
      </c>
      <c r="DG64" s="221">
        <f>IF(CdTrp3!X82=4,1,0)</f>
        <v>0</v>
      </c>
      <c r="DH64" s="221">
        <f>IF(CdTrp3!Y82=4,1,0)</f>
        <v>0</v>
      </c>
      <c r="DI64" s="217"/>
      <c r="DJ64" s="217"/>
      <c r="DK64" s="218"/>
      <c r="DL64" s="217" t="str">
        <f t="shared" si="24"/>
        <v>lot7</v>
      </c>
      <c r="DM64" s="221">
        <f>IF(CdTrp4!B82=4,1,0)</f>
        <v>0</v>
      </c>
      <c r="DN64" s="221">
        <f>IF(CdTrp4!C82=4,1,0)</f>
        <v>0</v>
      </c>
      <c r="DO64" s="221">
        <f>IF(CdTrp4!D82=4,1,0)</f>
        <v>0</v>
      </c>
      <c r="DP64" s="221">
        <f>IF(CdTrp4!E82=4,1,0)</f>
        <v>0</v>
      </c>
      <c r="DQ64" s="221">
        <f>IF(CdTrp4!F82=4,1,0)</f>
        <v>0</v>
      </c>
      <c r="DR64" s="221">
        <f>IF(CdTrp4!G82=4,1,0)</f>
        <v>0</v>
      </c>
      <c r="DS64" s="221">
        <f>IF(CdTrp4!H82=4,1,0)</f>
        <v>0</v>
      </c>
      <c r="DT64" s="221">
        <f>IF(CdTrp4!I82=4,1,0)</f>
        <v>0</v>
      </c>
      <c r="DU64" s="221">
        <f>IF(CdTrp4!J82=4,1,0)</f>
        <v>0</v>
      </c>
      <c r="DV64" s="221">
        <f>IF(CdTrp4!K82=4,1,0)</f>
        <v>0</v>
      </c>
      <c r="DW64" s="221">
        <f>IF(CdTrp4!L82=4,1,0)</f>
        <v>0</v>
      </c>
      <c r="DX64" s="221">
        <f>IF(CdTrp4!M82=4,1,0)</f>
        <v>0</v>
      </c>
      <c r="DY64" s="221">
        <f>IF(CdTrp4!N82=4,1,0)</f>
        <v>0</v>
      </c>
      <c r="DZ64" s="221">
        <f>IF(CdTrp4!O82=4,1,0)</f>
        <v>0</v>
      </c>
      <c r="EA64" s="221">
        <f>IF(CdTrp4!P82=4,1,0)</f>
        <v>0</v>
      </c>
      <c r="EB64" s="221">
        <f>IF(CdTrp4!Q82=4,1,0)</f>
        <v>0</v>
      </c>
      <c r="EC64" s="221">
        <f>IF(CdTrp4!R82=4,1,0)</f>
        <v>0</v>
      </c>
      <c r="ED64" s="221">
        <f>IF(CdTrp4!S82=4,1,0)</f>
        <v>0</v>
      </c>
      <c r="EE64" s="221">
        <f>IF(CdTrp4!T82=4,1,0)</f>
        <v>0</v>
      </c>
      <c r="EF64" s="221">
        <f>IF(CdTrp4!U82=4,1,0)</f>
        <v>0</v>
      </c>
      <c r="EG64" s="221">
        <f>IF(CdTrp4!V82=4,1,0)</f>
        <v>0</v>
      </c>
      <c r="EH64" s="221">
        <f>IF(CdTrp4!W82=4,1,0)</f>
        <v>0</v>
      </c>
      <c r="EI64" s="221">
        <f>IF(CdTrp4!X82=4,1,0)</f>
        <v>0</v>
      </c>
      <c r="EJ64" s="221">
        <f>IF(CdTrp4!Y82=4,1,0)</f>
        <v>0</v>
      </c>
    </row>
    <row r="65" spans="1:143" x14ac:dyDescent="0.25">
      <c r="A65" s="5"/>
      <c r="B65" s="5"/>
      <c r="C65" s="5"/>
      <c r="D65" s="5"/>
      <c r="X65" s="217"/>
      <c r="Y65" s="217"/>
      <c r="Z65" s="217"/>
      <c r="AA65" s="217"/>
      <c r="AB65" s="217"/>
      <c r="AC65" s="217"/>
      <c r="AD65" s="217"/>
      <c r="AE65" s="217"/>
      <c r="AF65" s="217"/>
      <c r="AG65" s="272" t="str">
        <f>CdTrp1!A83</f>
        <v>lot8</v>
      </c>
      <c r="AH65" s="221">
        <f>IF(CdTrp1!B83=4,1,0)</f>
        <v>0</v>
      </c>
      <c r="AI65" s="221">
        <f>IF(CdTrp1!C83=4,1,0)</f>
        <v>0</v>
      </c>
      <c r="AJ65" s="221">
        <f>IF(CdTrp1!D83=4,1,0)</f>
        <v>0</v>
      </c>
      <c r="AK65" s="221">
        <f>IF(CdTrp1!E83=4,1,0)</f>
        <v>0</v>
      </c>
      <c r="AL65" s="221">
        <f>IF(CdTrp1!F83=4,1,0)</f>
        <v>0</v>
      </c>
      <c r="AM65" s="221">
        <f>IF(CdTrp1!G83=4,1,0)</f>
        <v>0</v>
      </c>
      <c r="AN65" s="221">
        <f>IF(CdTrp1!H83=4,1,0)</f>
        <v>0</v>
      </c>
      <c r="AO65" s="221">
        <f>IF(CdTrp1!I83=4,1,0)</f>
        <v>0</v>
      </c>
      <c r="AP65" s="221">
        <f>IF(CdTrp1!J83=4,1,0)</f>
        <v>0</v>
      </c>
      <c r="AQ65" s="221">
        <f>IF(CdTrp1!K83=4,1,0)</f>
        <v>0</v>
      </c>
      <c r="AR65" s="221">
        <f>IF(CdTrp1!L83=4,1,0)</f>
        <v>0</v>
      </c>
      <c r="AS65" s="221">
        <f>IF(CdTrp1!M83=4,1,0)</f>
        <v>0</v>
      </c>
      <c r="AT65" s="221">
        <f>IF(CdTrp1!N83=4,1,0)</f>
        <v>0</v>
      </c>
      <c r="AU65" s="221">
        <f>IF(CdTrp1!O83=4,1,0)</f>
        <v>0</v>
      </c>
      <c r="AV65" s="221">
        <f>IF(CdTrp1!P83=4,1,0)</f>
        <v>0</v>
      </c>
      <c r="AW65" s="221">
        <f>IF(CdTrp1!Q83=4,1,0)</f>
        <v>0</v>
      </c>
      <c r="AX65" s="221">
        <f>IF(CdTrp1!R83=4,1,0)</f>
        <v>0</v>
      </c>
      <c r="AY65" s="221">
        <f>IF(CdTrp1!S83=4,1,0)</f>
        <v>0</v>
      </c>
      <c r="AZ65" s="221">
        <f>IF(CdTrp1!T83=4,1,0)</f>
        <v>0</v>
      </c>
      <c r="BA65" s="221">
        <f>IF(CdTrp1!U83=4,1,0)</f>
        <v>0</v>
      </c>
      <c r="BB65" s="221">
        <f>IF(CdTrp1!V83=4,1,0)</f>
        <v>0</v>
      </c>
      <c r="BC65" s="221">
        <f>IF(CdTrp1!W83=4,1,0)</f>
        <v>0</v>
      </c>
      <c r="BD65" s="221">
        <f>IF(CdTrp1!X83=4,1,0)</f>
        <v>0</v>
      </c>
      <c r="BE65" s="221">
        <f>IF(CdTrp1!Y83=4,1,0)</f>
        <v>0</v>
      </c>
      <c r="BF65" s="217"/>
      <c r="BG65" s="218"/>
      <c r="BH65" s="217" t="str">
        <f t="shared" si="22"/>
        <v>lot8</v>
      </c>
      <c r="BI65" s="217">
        <f>IF(CdTrp2!B83=4,1,0)</f>
        <v>0</v>
      </c>
      <c r="BJ65" s="217">
        <f>IF(CdTrp2!C83=4,1,0)</f>
        <v>0</v>
      </c>
      <c r="BK65" s="217">
        <f>IF(CdTrp2!D83=4,1,0)</f>
        <v>0</v>
      </c>
      <c r="BL65" s="217">
        <f>IF(CdTrp2!E83=4,1,0)</f>
        <v>0</v>
      </c>
      <c r="BM65" s="217">
        <f>IF(CdTrp2!F83=4,1,0)</f>
        <v>0</v>
      </c>
      <c r="BN65" s="217">
        <f>IF(CdTrp2!G83=4,1,0)</f>
        <v>0</v>
      </c>
      <c r="BO65" s="217">
        <f>IF(CdTrp2!H83=4,1,0)</f>
        <v>0</v>
      </c>
      <c r="BP65" s="217">
        <f>IF(CdTrp2!I83=4,1,0)</f>
        <v>0</v>
      </c>
      <c r="BQ65" s="217">
        <f>IF(CdTrp2!J83=4,1,0)</f>
        <v>0</v>
      </c>
      <c r="BR65" s="217">
        <f>IF(CdTrp2!K83=4,1,0)</f>
        <v>0</v>
      </c>
      <c r="BS65" s="217">
        <f>IF(CdTrp2!L83=4,1,0)</f>
        <v>0</v>
      </c>
      <c r="BT65" s="217">
        <f>IF(CdTrp2!M83=4,1,0)</f>
        <v>0</v>
      </c>
      <c r="BU65" s="217">
        <f>IF(CdTrp2!N83=4,1,0)</f>
        <v>0</v>
      </c>
      <c r="BV65" s="217">
        <f>IF(CdTrp2!O83=4,1,0)</f>
        <v>0</v>
      </c>
      <c r="BW65" s="217">
        <f>IF(CdTrp2!P83=4,1,0)</f>
        <v>0</v>
      </c>
      <c r="BX65" s="217">
        <f>IF(CdTrp2!Q83=4,1,0)</f>
        <v>0</v>
      </c>
      <c r="BY65" s="217">
        <f>IF(CdTrp2!R83=4,1,0)</f>
        <v>0</v>
      </c>
      <c r="BZ65" s="217">
        <f>IF(CdTrp2!S83=4,1,0)</f>
        <v>0</v>
      </c>
      <c r="CA65" s="217">
        <f>IF(CdTrp2!T83=4,1,0)</f>
        <v>0</v>
      </c>
      <c r="CB65" s="217">
        <f>IF(CdTrp2!U83=4,1,0)</f>
        <v>0</v>
      </c>
      <c r="CC65" s="217">
        <f>IF(CdTrp2!V83=4,1,0)</f>
        <v>0</v>
      </c>
      <c r="CD65" s="217">
        <f>IF(CdTrp2!W83=4,1,0)</f>
        <v>0</v>
      </c>
      <c r="CE65" s="217">
        <f>IF(CdTrp2!X83=4,1,0)</f>
        <v>0</v>
      </c>
      <c r="CF65" s="217">
        <f>IF(CdTrp2!Y83=4,1,0)</f>
        <v>0</v>
      </c>
      <c r="CG65" s="217"/>
      <c r="CH65" s="217"/>
      <c r="CI65" s="218"/>
      <c r="CJ65" s="217" t="str">
        <f t="shared" si="23"/>
        <v>lot8</v>
      </c>
      <c r="CK65" s="221">
        <f>IF(CdTrp3!B83=4,1,0)</f>
        <v>0</v>
      </c>
      <c r="CL65" s="221">
        <f>IF(CdTrp3!C83=4,1,0)</f>
        <v>0</v>
      </c>
      <c r="CM65" s="221">
        <f>IF(CdTrp3!D83=4,1,0)</f>
        <v>0</v>
      </c>
      <c r="CN65" s="221">
        <f>IF(CdTrp3!E83=4,1,0)</f>
        <v>0</v>
      </c>
      <c r="CO65" s="221">
        <f>IF(CdTrp3!F83=4,1,0)</f>
        <v>0</v>
      </c>
      <c r="CP65" s="221">
        <f>IF(CdTrp3!G83=4,1,0)</f>
        <v>0</v>
      </c>
      <c r="CQ65" s="221">
        <f>IF(CdTrp3!H83=4,1,0)</f>
        <v>0</v>
      </c>
      <c r="CR65" s="221">
        <f>IF(CdTrp3!I83=4,1,0)</f>
        <v>0</v>
      </c>
      <c r="CS65" s="221">
        <f>IF(CdTrp3!J83=4,1,0)</f>
        <v>0</v>
      </c>
      <c r="CT65" s="221">
        <f>IF(CdTrp3!K83=4,1,0)</f>
        <v>0</v>
      </c>
      <c r="CU65" s="221">
        <f>IF(CdTrp3!L83=4,1,0)</f>
        <v>0</v>
      </c>
      <c r="CV65" s="221">
        <f>IF(CdTrp3!M83=4,1,0)</f>
        <v>0</v>
      </c>
      <c r="CW65" s="221">
        <f>IF(CdTrp3!N83=4,1,0)</f>
        <v>0</v>
      </c>
      <c r="CX65" s="221">
        <f>IF(CdTrp3!O83=4,1,0)</f>
        <v>0</v>
      </c>
      <c r="CY65" s="221">
        <f>IF(CdTrp3!P83=4,1,0)</f>
        <v>0</v>
      </c>
      <c r="CZ65" s="221">
        <f>IF(CdTrp3!Q83=4,1,0)</f>
        <v>0</v>
      </c>
      <c r="DA65" s="221">
        <f>IF(CdTrp3!R83=4,1,0)</f>
        <v>0</v>
      </c>
      <c r="DB65" s="221">
        <f>IF(CdTrp3!S83=4,1,0)</f>
        <v>0</v>
      </c>
      <c r="DC65" s="221">
        <f>IF(CdTrp3!T83=4,1,0)</f>
        <v>0</v>
      </c>
      <c r="DD65" s="221">
        <f>IF(CdTrp3!U83=4,1,0)</f>
        <v>0</v>
      </c>
      <c r="DE65" s="221">
        <f>IF(CdTrp3!V83=4,1,0)</f>
        <v>0</v>
      </c>
      <c r="DF65" s="221">
        <f>IF(CdTrp3!W83=4,1,0)</f>
        <v>0</v>
      </c>
      <c r="DG65" s="221">
        <f>IF(CdTrp3!X83=4,1,0)</f>
        <v>0</v>
      </c>
      <c r="DH65" s="221">
        <f>IF(CdTrp3!Y83=4,1,0)</f>
        <v>0</v>
      </c>
      <c r="DI65" s="217"/>
      <c r="DJ65" s="217"/>
      <c r="DK65" s="218"/>
      <c r="DL65" s="217" t="str">
        <f t="shared" si="24"/>
        <v>lot8</v>
      </c>
      <c r="DM65" s="221">
        <f>IF(CdTrp4!B83=4,1,0)</f>
        <v>0</v>
      </c>
      <c r="DN65" s="221">
        <f>IF(CdTrp4!C83=4,1,0)</f>
        <v>0</v>
      </c>
      <c r="DO65" s="221">
        <f>IF(CdTrp4!D83=4,1,0)</f>
        <v>0</v>
      </c>
      <c r="DP65" s="221">
        <f>IF(CdTrp4!E83=4,1,0)</f>
        <v>0</v>
      </c>
      <c r="DQ65" s="221">
        <f>IF(CdTrp4!F83=4,1,0)</f>
        <v>0</v>
      </c>
      <c r="DR65" s="221">
        <f>IF(CdTrp4!G83=4,1,0)</f>
        <v>0</v>
      </c>
      <c r="DS65" s="221">
        <f>IF(CdTrp4!H83=4,1,0)</f>
        <v>0</v>
      </c>
      <c r="DT65" s="221">
        <f>IF(CdTrp4!I83=4,1,0)</f>
        <v>0</v>
      </c>
      <c r="DU65" s="221">
        <f>IF(CdTrp4!J83=4,1,0)</f>
        <v>0</v>
      </c>
      <c r="DV65" s="221">
        <f>IF(CdTrp4!K83=4,1,0)</f>
        <v>0</v>
      </c>
      <c r="DW65" s="221">
        <f>IF(CdTrp4!L83=4,1,0)</f>
        <v>0</v>
      </c>
      <c r="DX65" s="221">
        <f>IF(CdTrp4!M83=4,1,0)</f>
        <v>0</v>
      </c>
      <c r="DY65" s="221">
        <f>IF(CdTrp4!N83=4,1,0)</f>
        <v>0</v>
      </c>
      <c r="DZ65" s="221">
        <f>IF(CdTrp4!O83=4,1,0)</f>
        <v>0</v>
      </c>
      <c r="EA65" s="221">
        <f>IF(CdTrp4!P83=4,1,0)</f>
        <v>0</v>
      </c>
      <c r="EB65" s="221">
        <f>IF(CdTrp4!Q83=4,1,0)</f>
        <v>0</v>
      </c>
      <c r="EC65" s="221">
        <f>IF(CdTrp4!R83=4,1,0)</f>
        <v>0</v>
      </c>
      <c r="ED65" s="221">
        <f>IF(CdTrp4!S83=4,1,0)</f>
        <v>0</v>
      </c>
      <c r="EE65" s="221">
        <f>IF(CdTrp4!T83=4,1,0)</f>
        <v>0</v>
      </c>
      <c r="EF65" s="221">
        <f>IF(CdTrp4!U83=4,1,0)</f>
        <v>0</v>
      </c>
      <c r="EG65" s="221">
        <f>IF(CdTrp4!V83=4,1,0)</f>
        <v>0</v>
      </c>
      <c r="EH65" s="221">
        <f>IF(CdTrp4!W83=4,1,0)</f>
        <v>0</v>
      </c>
      <c r="EI65" s="221">
        <f>IF(CdTrp4!X83=4,1,0)</f>
        <v>0</v>
      </c>
      <c r="EJ65" s="221">
        <f>IF(CdTrp4!Y83=4,1,0)</f>
        <v>0</v>
      </c>
    </row>
    <row r="66" spans="1:143" x14ac:dyDescent="0.25">
      <c r="A66" s="5"/>
      <c r="B66" s="5"/>
      <c r="C66" s="5"/>
      <c r="D66" s="5"/>
      <c r="X66" s="217"/>
      <c r="Y66" s="217"/>
      <c r="Z66" s="217"/>
      <c r="AA66" s="217"/>
      <c r="AB66" s="217"/>
      <c r="AC66" s="217"/>
      <c r="AD66" s="217"/>
      <c r="AE66" s="217"/>
      <c r="AF66" s="217"/>
      <c r="AG66" s="217" t="str">
        <f>CdTrp1!A84</f>
        <v>lot9</v>
      </c>
      <c r="AH66" s="221">
        <f>IF(CdTrp1!B84=4,1,0)</f>
        <v>0</v>
      </c>
      <c r="AI66" s="221">
        <f>IF(CdTrp1!C84=4,1,0)</f>
        <v>0</v>
      </c>
      <c r="AJ66" s="221">
        <f>IF(CdTrp1!D84=4,1,0)</f>
        <v>0</v>
      </c>
      <c r="AK66" s="221">
        <f>IF(CdTrp1!E84=4,1,0)</f>
        <v>0</v>
      </c>
      <c r="AL66" s="221">
        <f>IF(CdTrp1!F84=4,1,0)</f>
        <v>0</v>
      </c>
      <c r="AM66" s="221">
        <f>IF(CdTrp1!G84=4,1,0)</f>
        <v>0</v>
      </c>
      <c r="AN66" s="221">
        <f>IF(CdTrp1!H84=4,1,0)</f>
        <v>0</v>
      </c>
      <c r="AO66" s="221">
        <f>IF(CdTrp1!I84=4,1,0)</f>
        <v>0</v>
      </c>
      <c r="AP66" s="221">
        <f>IF(CdTrp1!J84=4,1,0)</f>
        <v>0</v>
      </c>
      <c r="AQ66" s="221">
        <f>IF(CdTrp1!K84=4,1,0)</f>
        <v>0</v>
      </c>
      <c r="AR66" s="221">
        <f>IF(CdTrp1!L84=4,1,0)</f>
        <v>0</v>
      </c>
      <c r="AS66" s="221">
        <f>IF(CdTrp1!M84=4,1,0)</f>
        <v>0</v>
      </c>
      <c r="AT66" s="221">
        <f>IF(CdTrp1!N84=4,1,0)</f>
        <v>0</v>
      </c>
      <c r="AU66" s="221">
        <f>IF(CdTrp1!O84=4,1,0)</f>
        <v>0</v>
      </c>
      <c r="AV66" s="221">
        <f>IF(CdTrp1!P84=4,1,0)</f>
        <v>0</v>
      </c>
      <c r="AW66" s="221">
        <f>IF(CdTrp1!Q84=4,1,0)</f>
        <v>0</v>
      </c>
      <c r="AX66" s="221">
        <f>IF(CdTrp1!R84=4,1,0)</f>
        <v>0</v>
      </c>
      <c r="AY66" s="221">
        <f>IF(CdTrp1!S84=4,1,0)</f>
        <v>0</v>
      </c>
      <c r="AZ66" s="221">
        <f>IF(CdTrp1!T84=4,1,0)</f>
        <v>0</v>
      </c>
      <c r="BA66" s="221">
        <f>IF(CdTrp1!U84=4,1,0)</f>
        <v>0</v>
      </c>
      <c r="BB66" s="221">
        <f>IF(CdTrp1!V84=4,1,0)</f>
        <v>0</v>
      </c>
      <c r="BC66" s="221">
        <f>IF(CdTrp1!W84=4,1,0)</f>
        <v>0</v>
      </c>
      <c r="BD66" s="221">
        <f>IF(CdTrp1!X84=4,1,0)</f>
        <v>0</v>
      </c>
      <c r="BE66" s="221">
        <f>IF(CdTrp1!Y84=4,1,0)</f>
        <v>0</v>
      </c>
      <c r="BF66" s="217"/>
      <c r="BG66" s="218"/>
      <c r="BH66" s="217" t="str">
        <f t="shared" si="22"/>
        <v>lot9</v>
      </c>
      <c r="BI66" s="217">
        <f>IF(CdTrp2!B84=4,1,0)</f>
        <v>0</v>
      </c>
      <c r="BJ66" s="217">
        <f>IF(CdTrp2!C84=4,1,0)</f>
        <v>0</v>
      </c>
      <c r="BK66" s="217">
        <f>IF(CdTrp2!D84=4,1,0)</f>
        <v>0</v>
      </c>
      <c r="BL66" s="217">
        <f>IF(CdTrp2!E84=4,1,0)</f>
        <v>0</v>
      </c>
      <c r="BM66" s="217">
        <f>IF(CdTrp2!F84=4,1,0)</f>
        <v>0</v>
      </c>
      <c r="BN66" s="217">
        <f>IF(CdTrp2!G84=4,1,0)</f>
        <v>0</v>
      </c>
      <c r="BO66" s="217">
        <f>IF(CdTrp2!H84=4,1,0)</f>
        <v>0</v>
      </c>
      <c r="BP66" s="217">
        <f>IF(CdTrp2!I84=4,1,0)</f>
        <v>0</v>
      </c>
      <c r="BQ66" s="217">
        <f>IF(CdTrp2!J84=4,1,0)</f>
        <v>0</v>
      </c>
      <c r="BR66" s="217">
        <f>IF(CdTrp2!K84=4,1,0)</f>
        <v>0</v>
      </c>
      <c r="BS66" s="217">
        <f>IF(CdTrp2!L84=4,1,0)</f>
        <v>0</v>
      </c>
      <c r="BT66" s="217">
        <f>IF(CdTrp2!M84=4,1,0)</f>
        <v>0</v>
      </c>
      <c r="BU66" s="217">
        <f>IF(CdTrp2!N84=4,1,0)</f>
        <v>0</v>
      </c>
      <c r="BV66" s="217">
        <f>IF(CdTrp2!O84=4,1,0)</f>
        <v>0</v>
      </c>
      <c r="BW66" s="217">
        <f>IF(CdTrp2!P84=4,1,0)</f>
        <v>0</v>
      </c>
      <c r="BX66" s="217">
        <f>IF(CdTrp2!Q84=4,1,0)</f>
        <v>0</v>
      </c>
      <c r="BY66" s="217">
        <f>IF(CdTrp2!R84=4,1,0)</f>
        <v>0</v>
      </c>
      <c r="BZ66" s="217">
        <f>IF(CdTrp2!S84=4,1,0)</f>
        <v>0</v>
      </c>
      <c r="CA66" s="217">
        <f>IF(CdTrp2!T84=4,1,0)</f>
        <v>0</v>
      </c>
      <c r="CB66" s="217">
        <f>IF(CdTrp2!U84=4,1,0)</f>
        <v>0</v>
      </c>
      <c r="CC66" s="217">
        <f>IF(CdTrp2!V84=4,1,0)</f>
        <v>0</v>
      </c>
      <c r="CD66" s="217">
        <f>IF(CdTrp2!W84=4,1,0)</f>
        <v>0</v>
      </c>
      <c r="CE66" s="217">
        <f>IF(CdTrp2!X84=4,1,0)</f>
        <v>0</v>
      </c>
      <c r="CF66" s="217">
        <f>IF(CdTrp2!Y84=4,1,0)</f>
        <v>0</v>
      </c>
      <c r="CG66" s="217"/>
      <c r="CH66" s="217"/>
      <c r="CI66" s="218"/>
      <c r="CJ66" s="217" t="str">
        <f t="shared" si="23"/>
        <v>lot9</v>
      </c>
      <c r="CK66" s="221">
        <f>IF(CdTrp3!B84=4,1,0)</f>
        <v>0</v>
      </c>
      <c r="CL66" s="221">
        <f>IF(CdTrp3!C84=4,1,0)</f>
        <v>0</v>
      </c>
      <c r="CM66" s="221">
        <f>IF(CdTrp3!D84=4,1,0)</f>
        <v>0</v>
      </c>
      <c r="CN66" s="221">
        <f>IF(CdTrp3!E84=4,1,0)</f>
        <v>0</v>
      </c>
      <c r="CO66" s="221">
        <f>IF(CdTrp3!F84=4,1,0)</f>
        <v>0</v>
      </c>
      <c r="CP66" s="221">
        <f>IF(CdTrp3!G84=4,1,0)</f>
        <v>0</v>
      </c>
      <c r="CQ66" s="221">
        <f>IF(CdTrp3!H84=4,1,0)</f>
        <v>0</v>
      </c>
      <c r="CR66" s="221">
        <f>IF(CdTrp3!I84=4,1,0)</f>
        <v>0</v>
      </c>
      <c r="CS66" s="221">
        <f>IF(CdTrp3!J84=4,1,0)</f>
        <v>0</v>
      </c>
      <c r="CT66" s="221">
        <f>IF(CdTrp3!K84=4,1,0)</f>
        <v>0</v>
      </c>
      <c r="CU66" s="221">
        <f>IF(CdTrp3!L84=4,1,0)</f>
        <v>0</v>
      </c>
      <c r="CV66" s="221">
        <f>IF(CdTrp3!M84=4,1,0)</f>
        <v>0</v>
      </c>
      <c r="CW66" s="221">
        <f>IF(CdTrp3!N84=4,1,0)</f>
        <v>0</v>
      </c>
      <c r="CX66" s="221">
        <f>IF(CdTrp3!O84=4,1,0)</f>
        <v>0</v>
      </c>
      <c r="CY66" s="221">
        <f>IF(CdTrp3!P84=4,1,0)</f>
        <v>0</v>
      </c>
      <c r="CZ66" s="221">
        <f>IF(CdTrp3!Q84=4,1,0)</f>
        <v>0</v>
      </c>
      <c r="DA66" s="221">
        <f>IF(CdTrp3!R84=4,1,0)</f>
        <v>0</v>
      </c>
      <c r="DB66" s="221">
        <f>IF(CdTrp3!S84=4,1,0)</f>
        <v>0</v>
      </c>
      <c r="DC66" s="221">
        <f>IF(CdTrp3!T84=4,1,0)</f>
        <v>0</v>
      </c>
      <c r="DD66" s="221">
        <f>IF(CdTrp3!U84=4,1,0)</f>
        <v>0</v>
      </c>
      <c r="DE66" s="221">
        <f>IF(CdTrp3!V84=4,1,0)</f>
        <v>0</v>
      </c>
      <c r="DF66" s="221">
        <f>IF(CdTrp3!W84=4,1,0)</f>
        <v>0</v>
      </c>
      <c r="DG66" s="221">
        <f>IF(CdTrp3!X84=4,1,0)</f>
        <v>0</v>
      </c>
      <c r="DH66" s="221">
        <f>IF(CdTrp3!Y84=4,1,0)</f>
        <v>0</v>
      </c>
      <c r="DI66" s="217"/>
      <c r="DJ66" s="217"/>
      <c r="DK66" s="218"/>
      <c r="DL66" s="217" t="str">
        <f t="shared" si="24"/>
        <v>lot9</v>
      </c>
      <c r="DM66" s="221">
        <f>IF(CdTrp4!B84=4,1,0)</f>
        <v>0</v>
      </c>
      <c r="DN66" s="221">
        <f>IF(CdTrp4!C84=4,1,0)</f>
        <v>0</v>
      </c>
      <c r="DO66" s="221">
        <f>IF(CdTrp4!D84=4,1,0)</f>
        <v>0</v>
      </c>
      <c r="DP66" s="221">
        <f>IF(CdTrp4!E84=4,1,0)</f>
        <v>0</v>
      </c>
      <c r="DQ66" s="221">
        <f>IF(CdTrp4!F84=4,1,0)</f>
        <v>0</v>
      </c>
      <c r="DR66" s="221">
        <f>IF(CdTrp4!G84=4,1,0)</f>
        <v>0</v>
      </c>
      <c r="DS66" s="221">
        <f>IF(CdTrp4!H84=4,1,0)</f>
        <v>0</v>
      </c>
      <c r="DT66" s="221">
        <f>IF(CdTrp4!I84=4,1,0)</f>
        <v>0</v>
      </c>
      <c r="DU66" s="221">
        <f>IF(CdTrp4!J84=4,1,0)</f>
        <v>0</v>
      </c>
      <c r="DV66" s="221">
        <f>IF(CdTrp4!K84=4,1,0)</f>
        <v>0</v>
      </c>
      <c r="DW66" s="221">
        <f>IF(CdTrp4!L84=4,1,0)</f>
        <v>0</v>
      </c>
      <c r="DX66" s="221">
        <f>IF(CdTrp4!M84=4,1,0)</f>
        <v>0</v>
      </c>
      <c r="DY66" s="221">
        <f>IF(CdTrp4!N84=4,1,0)</f>
        <v>0</v>
      </c>
      <c r="DZ66" s="221">
        <f>IF(CdTrp4!O84=4,1,0)</f>
        <v>0</v>
      </c>
      <c r="EA66" s="221">
        <f>IF(CdTrp4!P84=4,1,0)</f>
        <v>0</v>
      </c>
      <c r="EB66" s="221">
        <f>IF(CdTrp4!Q84=4,1,0)</f>
        <v>0</v>
      </c>
      <c r="EC66" s="221">
        <f>IF(CdTrp4!R84=4,1,0)</f>
        <v>0</v>
      </c>
      <c r="ED66" s="221">
        <f>IF(CdTrp4!S84=4,1,0)</f>
        <v>0</v>
      </c>
      <c r="EE66" s="221">
        <f>IF(CdTrp4!T84=4,1,0)</f>
        <v>0</v>
      </c>
      <c r="EF66" s="221">
        <f>IF(CdTrp4!U84=4,1,0)</f>
        <v>0</v>
      </c>
      <c r="EG66" s="221">
        <f>IF(CdTrp4!V84=4,1,0)</f>
        <v>0</v>
      </c>
      <c r="EH66" s="221">
        <f>IF(CdTrp4!W84=4,1,0)</f>
        <v>0</v>
      </c>
      <c r="EI66" s="221">
        <f>IF(CdTrp4!X84=4,1,0)</f>
        <v>0</v>
      </c>
      <c r="EJ66" s="221">
        <f>IF(CdTrp4!Y84=4,1,0)</f>
        <v>0</v>
      </c>
    </row>
    <row r="67" spans="1:143" x14ac:dyDescent="0.25">
      <c r="A67" s="5"/>
      <c r="B67" s="5"/>
      <c r="C67" s="5"/>
      <c r="D67" s="5"/>
      <c r="X67" s="217"/>
      <c r="Y67" s="217"/>
      <c r="Z67" s="217"/>
      <c r="AA67" s="217"/>
      <c r="AB67" s="217"/>
      <c r="AC67" s="217"/>
      <c r="AD67" s="217"/>
      <c r="AE67" s="217"/>
      <c r="AF67" s="217"/>
      <c r="AG67" s="272" t="str">
        <f>CdTrp1!A85</f>
        <v>lot10</v>
      </c>
      <c r="AH67" s="221">
        <f>IF(CdTrp1!B85=4,1,0)</f>
        <v>0</v>
      </c>
      <c r="AI67" s="221">
        <f>IF(CdTrp1!C85=4,1,0)</f>
        <v>0</v>
      </c>
      <c r="AJ67" s="221">
        <f>IF(CdTrp1!D85=4,1,0)</f>
        <v>0</v>
      </c>
      <c r="AK67" s="221">
        <f>IF(CdTrp1!E85=4,1,0)</f>
        <v>0</v>
      </c>
      <c r="AL67" s="221">
        <f>IF(CdTrp1!F85=4,1,0)</f>
        <v>0</v>
      </c>
      <c r="AM67" s="221">
        <f>IF(CdTrp1!G85=4,1,0)</f>
        <v>0</v>
      </c>
      <c r="AN67" s="221">
        <f>IF(CdTrp1!H85=4,1,0)</f>
        <v>0</v>
      </c>
      <c r="AO67" s="221">
        <f>IF(CdTrp1!I85=4,1,0)</f>
        <v>0</v>
      </c>
      <c r="AP67" s="221">
        <f>IF(CdTrp1!J85=4,1,0)</f>
        <v>0</v>
      </c>
      <c r="AQ67" s="221">
        <f>IF(CdTrp1!K85=4,1,0)</f>
        <v>0</v>
      </c>
      <c r="AR67" s="221">
        <f>IF(CdTrp1!L85=4,1,0)</f>
        <v>0</v>
      </c>
      <c r="AS67" s="221">
        <f>IF(CdTrp1!M85=4,1,0)</f>
        <v>0</v>
      </c>
      <c r="AT67" s="221">
        <f>IF(CdTrp1!N85=4,1,0)</f>
        <v>0</v>
      </c>
      <c r="AU67" s="221">
        <f>IF(CdTrp1!O85=4,1,0)</f>
        <v>0</v>
      </c>
      <c r="AV67" s="221">
        <f>IF(CdTrp1!P85=4,1,0)</f>
        <v>0</v>
      </c>
      <c r="AW67" s="221">
        <f>IF(CdTrp1!Q85=4,1,0)</f>
        <v>0</v>
      </c>
      <c r="AX67" s="221">
        <f>IF(CdTrp1!R85=4,1,0)</f>
        <v>0</v>
      </c>
      <c r="AY67" s="221">
        <f>IF(CdTrp1!S85=4,1,0)</f>
        <v>0</v>
      </c>
      <c r="AZ67" s="221">
        <f>IF(CdTrp1!T85=4,1,0)</f>
        <v>0</v>
      </c>
      <c r="BA67" s="221">
        <f>IF(CdTrp1!U85=4,1,0)</f>
        <v>0</v>
      </c>
      <c r="BB67" s="221">
        <f>IF(CdTrp1!V85=4,1,0)</f>
        <v>0</v>
      </c>
      <c r="BC67" s="221">
        <f>IF(CdTrp1!W85=4,1,0)</f>
        <v>0</v>
      </c>
      <c r="BD67" s="221">
        <f>IF(CdTrp1!X85=4,1,0)</f>
        <v>0</v>
      </c>
      <c r="BE67" s="221">
        <f>IF(CdTrp1!Y85=4,1,0)</f>
        <v>0</v>
      </c>
      <c r="BF67" s="217"/>
      <c r="BG67" s="218"/>
      <c r="BH67" s="217" t="str">
        <f t="shared" si="22"/>
        <v>lot10</v>
      </c>
      <c r="BI67" s="217">
        <f>IF(CdTrp2!B85=4,1,0)</f>
        <v>0</v>
      </c>
      <c r="BJ67" s="217">
        <f>IF(CdTrp2!C85=4,1,0)</f>
        <v>0</v>
      </c>
      <c r="BK67" s="217">
        <f>IF(CdTrp2!D85=4,1,0)</f>
        <v>0</v>
      </c>
      <c r="BL67" s="217">
        <f>IF(CdTrp2!E85=4,1,0)</f>
        <v>0</v>
      </c>
      <c r="BM67" s="217">
        <f>IF(CdTrp2!F85=4,1,0)</f>
        <v>0</v>
      </c>
      <c r="BN67" s="217">
        <f>IF(CdTrp2!G85=4,1,0)</f>
        <v>0</v>
      </c>
      <c r="BO67" s="217">
        <f>IF(CdTrp2!H85=4,1,0)</f>
        <v>0</v>
      </c>
      <c r="BP67" s="217">
        <f>IF(CdTrp2!I85=4,1,0)</f>
        <v>0</v>
      </c>
      <c r="BQ67" s="217">
        <f>IF(CdTrp2!J85=4,1,0)</f>
        <v>0</v>
      </c>
      <c r="BR67" s="217">
        <f>IF(CdTrp2!K85=4,1,0)</f>
        <v>0</v>
      </c>
      <c r="BS67" s="217">
        <f>IF(CdTrp2!L85=4,1,0)</f>
        <v>0</v>
      </c>
      <c r="BT67" s="217">
        <f>IF(CdTrp2!M85=4,1,0)</f>
        <v>0</v>
      </c>
      <c r="BU67" s="217">
        <f>IF(CdTrp2!N85=4,1,0)</f>
        <v>0</v>
      </c>
      <c r="BV67" s="217">
        <f>IF(CdTrp2!O85=4,1,0)</f>
        <v>0</v>
      </c>
      <c r="BW67" s="217">
        <f>IF(CdTrp2!P85=4,1,0)</f>
        <v>0</v>
      </c>
      <c r="BX67" s="217">
        <f>IF(CdTrp2!Q85=4,1,0)</f>
        <v>0</v>
      </c>
      <c r="BY67" s="217">
        <f>IF(CdTrp2!R85=4,1,0)</f>
        <v>0</v>
      </c>
      <c r="BZ67" s="217">
        <f>IF(CdTrp2!S85=4,1,0)</f>
        <v>0</v>
      </c>
      <c r="CA67" s="217">
        <f>IF(CdTrp2!T85=4,1,0)</f>
        <v>0</v>
      </c>
      <c r="CB67" s="217">
        <f>IF(CdTrp2!U85=4,1,0)</f>
        <v>0</v>
      </c>
      <c r="CC67" s="217">
        <f>IF(CdTrp2!V85=4,1,0)</f>
        <v>0</v>
      </c>
      <c r="CD67" s="217">
        <f>IF(CdTrp2!W85=4,1,0)</f>
        <v>0</v>
      </c>
      <c r="CE67" s="217">
        <f>IF(CdTrp2!X85=4,1,0)</f>
        <v>0</v>
      </c>
      <c r="CF67" s="217">
        <f>IF(CdTrp2!Y85=4,1,0)</f>
        <v>0</v>
      </c>
      <c r="CG67" s="217"/>
      <c r="CH67" s="217"/>
      <c r="CI67" s="218"/>
      <c r="CJ67" s="217" t="str">
        <f t="shared" si="23"/>
        <v>lot10</v>
      </c>
      <c r="CK67" s="221">
        <f>IF(CdTrp3!B85=4,1,0)</f>
        <v>0</v>
      </c>
      <c r="CL67" s="221">
        <f>IF(CdTrp3!C85=4,1,0)</f>
        <v>0</v>
      </c>
      <c r="CM67" s="221">
        <f>IF(CdTrp3!D85=4,1,0)</f>
        <v>0</v>
      </c>
      <c r="CN67" s="221">
        <f>IF(CdTrp3!E85=4,1,0)</f>
        <v>0</v>
      </c>
      <c r="CO67" s="221">
        <f>IF(CdTrp3!F85=4,1,0)</f>
        <v>0</v>
      </c>
      <c r="CP67" s="221">
        <f>IF(CdTrp3!G85=4,1,0)</f>
        <v>0</v>
      </c>
      <c r="CQ67" s="221">
        <f>IF(CdTrp3!H85=4,1,0)</f>
        <v>0</v>
      </c>
      <c r="CR67" s="221">
        <f>IF(CdTrp3!I85=4,1,0)</f>
        <v>0</v>
      </c>
      <c r="CS67" s="221">
        <f>IF(CdTrp3!J85=4,1,0)</f>
        <v>0</v>
      </c>
      <c r="CT67" s="221">
        <f>IF(CdTrp3!K85=4,1,0)</f>
        <v>0</v>
      </c>
      <c r="CU67" s="221">
        <f>IF(CdTrp3!L85=4,1,0)</f>
        <v>0</v>
      </c>
      <c r="CV67" s="221">
        <f>IF(CdTrp3!M85=4,1,0)</f>
        <v>0</v>
      </c>
      <c r="CW67" s="221">
        <f>IF(CdTrp3!N85=4,1,0)</f>
        <v>0</v>
      </c>
      <c r="CX67" s="221">
        <f>IF(CdTrp3!O85=4,1,0)</f>
        <v>0</v>
      </c>
      <c r="CY67" s="221">
        <f>IF(CdTrp3!P85=4,1,0)</f>
        <v>0</v>
      </c>
      <c r="CZ67" s="221">
        <f>IF(CdTrp3!Q85=4,1,0)</f>
        <v>0</v>
      </c>
      <c r="DA67" s="221">
        <f>IF(CdTrp3!R85=4,1,0)</f>
        <v>0</v>
      </c>
      <c r="DB67" s="221">
        <f>IF(CdTrp3!S85=4,1,0)</f>
        <v>0</v>
      </c>
      <c r="DC67" s="221">
        <f>IF(CdTrp3!T85=4,1,0)</f>
        <v>0</v>
      </c>
      <c r="DD67" s="221">
        <f>IF(CdTrp3!U85=4,1,0)</f>
        <v>0</v>
      </c>
      <c r="DE67" s="221">
        <f>IF(CdTrp3!V85=4,1,0)</f>
        <v>0</v>
      </c>
      <c r="DF67" s="221">
        <f>IF(CdTrp3!W85=4,1,0)</f>
        <v>0</v>
      </c>
      <c r="DG67" s="221">
        <f>IF(CdTrp3!X85=4,1,0)</f>
        <v>0</v>
      </c>
      <c r="DH67" s="221">
        <f>IF(CdTrp3!Y85=4,1,0)</f>
        <v>0</v>
      </c>
      <c r="DI67" s="217"/>
      <c r="DJ67" s="217"/>
      <c r="DK67" s="218"/>
      <c r="DL67" s="217" t="str">
        <f t="shared" si="24"/>
        <v>lot10</v>
      </c>
      <c r="DM67" s="221">
        <f>IF(CdTrp4!B85=4,1,0)</f>
        <v>0</v>
      </c>
      <c r="DN67" s="221">
        <f>IF(CdTrp4!C85=4,1,0)</f>
        <v>0</v>
      </c>
      <c r="DO67" s="221">
        <f>IF(CdTrp4!D85=4,1,0)</f>
        <v>0</v>
      </c>
      <c r="DP67" s="221">
        <f>IF(CdTrp4!E85=4,1,0)</f>
        <v>0</v>
      </c>
      <c r="DQ67" s="221">
        <f>IF(CdTrp4!F85=4,1,0)</f>
        <v>0</v>
      </c>
      <c r="DR67" s="221">
        <f>IF(CdTrp4!G85=4,1,0)</f>
        <v>0</v>
      </c>
      <c r="DS67" s="221">
        <f>IF(CdTrp4!H85=4,1,0)</f>
        <v>0</v>
      </c>
      <c r="DT67" s="221">
        <f>IF(CdTrp4!I85=4,1,0)</f>
        <v>0</v>
      </c>
      <c r="DU67" s="221">
        <f>IF(CdTrp4!J85=4,1,0)</f>
        <v>0</v>
      </c>
      <c r="DV67" s="221">
        <f>IF(CdTrp4!K85=4,1,0)</f>
        <v>0</v>
      </c>
      <c r="DW67" s="221">
        <f>IF(CdTrp4!L85=4,1,0)</f>
        <v>0</v>
      </c>
      <c r="DX67" s="221">
        <f>IF(CdTrp4!M85=4,1,0)</f>
        <v>0</v>
      </c>
      <c r="DY67" s="221">
        <f>IF(CdTrp4!N85=4,1,0)</f>
        <v>0</v>
      </c>
      <c r="DZ67" s="221">
        <f>IF(CdTrp4!O85=4,1,0)</f>
        <v>0</v>
      </c>
      <c r="EA67" s="221">
        <f>IF(CdTrp4!P85=4,1,0)</f>
        <v>0</v>
      </c>
      <c r="EB67" s="221">
        <f>IF(CdTrp4!Q85=4,1,0)</f>
        <v>0</v>
      </c>
      <c r="EC67" s="221">
        <f>IF(CdTrp4!R85=4,1,0)</f>
        <v>0</v>
      </c>
      <c r="ED67" s="221">
        <f>IF(CdTrp4!S85=4,1,0)</f>
        <v>0</v>
      </c>
      <c r="EE67" s="221">
        <f>IF(CdTrp4!T85=4,1,0)</f>
        <v>0</v>
      </c>
      <c r="EF67" s="221">
        <f>IF(CdTrp4!U85=4,1,0)</f>
        <v>0</v>
      </c>
      <c r="EG67" s="221">
        <f>IF(CdTrp4!V85=4,1,0)</f>
        <v>0</v>
      </c>
      <c r="EH67" s="221">
        <f>IF(CdTrp4!W85=4,1,0)</f>
        <v>0</v>
      </c>
      <c r="EI67" s="221">
        <f>IF(CdTrp4!X85=4,1,0)</f>
        <v>0</v>
      </c>
      <c r="EJ67" s="221">
        <f>IF(CdTrp4!Y85=4,1,0)</f>
        <v>0</v>
      </c>
    </row>
    <row r="68" spans="1:143" x14ac:dyDescent="0.25">
      <c r="A68" s="5"/>
      <c r="B68" s="5"/>
      <c r="C68" s="5"/>
      <c r="D68" s="5"/>
      <c r="X68" s="217"/>
      <c r="Y68" s="217"/>
      <c r="Z68" s="217"/>
      <c r="AA68" s="217"/>
      <c r="AB68" s="217"/>
      <c r="AC68" s="217"/>
      <c r="AD68" s="217"/>
      <c r="AE68" s="217"/>
      <c r="AF68" s="217"/>
      <c r="AG68" s="217"/>
      <c r="AH68" s="217"/>
      <c r="AI68" s="217"/>
      <c r="AJ68" s="217"/>
      <c r="AK68" s="217"/>
      <c r="AL68" s="217"/>
      <c r="AM68" s="217"/>
      <c r="AN68" s="217"/>
      <c r="AO68" s="217"/>
      <c r="AP68" s="217"/>
      <c r="AQ68" s="217"/>
      <c r="AR68" s="217"/>
      <c r="AS68" s="217"/>
      <c r="AT68" s="217"/>
      <c r="AU68" s="217"/>
      <c r="AV68" s="217"/>
      <c r="AW68" s="217"/>
      <c r="AX68" s="217"/>
      <c r="AY68" s="217"/>
      <c r="AZ68" s="217"/>
      <c r="BA68" s="217"/>
      <c r="BB68" s="217"/>
      <c r="BC68" s="217"/>
      <c r="BD68" s="217"/>
      <c r="BE68" s="217"/>
      <c r="BF68" s="217"/>
      <c r="BG68" s="218"/>
      <c r="BH68" s="217"/>
      <c r="BI68" s="217"/>
      <c r="BJ68" s="217"/>
      <c r="BK68" s="217"/>
      <c r="BL68" s="217"/>
      <c r="BM68" s="217"/>
      <c r="BN68" s="217"/>
      <c r="BO68" s="217"/>
      <c r="BP68" s="217"/>
      <c r="BQ68" s="217"/>
      <c r="BR68" s="217"/>
      <c r="BS68" s="217"/>
      <c r="BT68" s="217"/>
      <c r="BU68" s="217"/>
      <c r="BV68" s="217"/>
      <c r="BW68" s="217"/>
      <c r="BX68" s="217"/>
      <c r="BY68" s="217"/>
      <c r="BZ68" s="217"/>
      <c r="CA68" s="217"/>
      <c r="CB68" s="217"/>
      <c r="CC68" s="217"/>
      <c r="CD68" s="217"/>
      <c r="CE68" s="217"/>
      <c r="CF68" s="217"/>
      <c r="CG68" s="217"/>
      <c r="CH68" s="217"/>
      <c r="CI68" s="218"/>
      <c r="CJ68" s="217"/>
      <c r="CK68" s="221"/>
      <c r="CL68" s="221"/>
      <c r="CM68" s="221"/>
      <c r="CN68" s="221"/>
      <c r="CO68" s="221"/>
      <c r="CP68" s="221"/>
      <c r="CQ68" s="221"/>
      <c r="CR68" s="221"/>
      <c r="CS68" s="221"/>
      <c r="CT68" s="221"/>
      <c r="CU68" s="221"/>
      <c r="CV68" s="221"/>
      <c r="CW68" s="221"/>
      <c r="CX68" s="221"/>
      <c r="CY68" s="221"/>
      <c r="CZ68" s="221"/>
      <c r="DA68" s="221"/>
      <c r="DB68" s="221"/>
      <c r="DC68" s="221"/>
      <c r="DD68" s="221"/>
      <c r="DE68" s="221"/>
      <c r="DF68" s="221"/>
      <c r="DG68" s="221"/>
      <c r="DH68" s="221"/>
      <c r="DI68" s="217"/>
      <c r="DJ68" s="217"/>
      <c r="DK68" s="218"/>
      <c r="DL68" s="217"/>
      <c r="DM68" s="221"/>
      <c r="DN68" s="221"/>
      <c r="DO68" s="221"/>
      <c r="DP68" s="221"/>
      <c r="DQ68" s="221"/>
      <c r="DR68" s="221"/>
      <c r="DS68" s="221"/>
      <c r="DT68" s="221"/>
      <c r="DU68" s="221"/>
      <c r="DV68" s="221"/>
      <c r="DW68" s="221"/>
      <c r="DX68" s="221"/>
      <c r="DY68" s="221"/>
      <c r="DZ68" s="221"/>
      <c r="EA68" s="221"/>
      <c r="EB68" s="221"/>
      <c r="EC68" s="221"/>
      <c r="ED68" s="221"/>
      <c r="EE68" s="221"/>
      <c r="EF68" s="221"/>
      <c r="EG68" s="221"/>
      <c r="EH68" s="221"/>
      <c r="EI68" s="221"/>
      <c r="EJ68" s="221"/>
    </row>
    <row r="69" spans="1:143" x14ac:dyDescent="0.25">
      <c r="A69" s="5"/>
      <c r="B69" s="5"/>
      <c r="C69" s="5"/>
      <c r="D69" s="5"/>
      <c r="X69" s="217"/>
      <c r="Y69" s="217"/>
      <c r="Z69" s="217"/>
      <c r="AA69" s="217"/>
      <c r="AB69" s="217"/>
      <c r="AC69" s="217"/>
      <c r="AD69" s="217"/>
      <c r="AE69" s="217"/>
      <c r="AF69" s="224" t="s">
        <v>1003</v>
      </c>
      <c r="AG69" s="217" t="str">
        <f t="shared" ref="AG69:AG78" si="25">AG58</f>
        <v>brebis</v>
      </c>
      <c r="AH69" s="221">
        <f t="shared" ref="AH69:BE78" si="26">AH47*AH58</f>
        <v>0</v>
      </c>
      <c r="AI69" s="221">
        <f t="shared" si="26"/>
        <v>0</v>
      </c>
      <c r="AJ69" s="221">
        <f t="shared" si="26"/>
        <v>0</v>
      </c>
      <c r="AK69" s="221">
        <f t="shared" si="26"/>
        <v>0</v>
      </c>
      <c r="AL69" s="221">
        <f t="shared" si="26"/>
        <v>0</v>
      </c>
      <c r="AM69" s="221">
        <f t="shared" si="26"/>
        <v>0</v>
      </c>
      <c r="AN69" s="221">
        <f t="shared" si="26"/>
        <v>0</v>
      </c>
      <c r="AO69" s="221">
        <f t="shared" si="26"/>
        <v>0</v>
      </c>
      <c r="AP69" s="221">
        <f t="shared" si="26"/>
        <v>0</v>
      </c>
      <c r="AQ69" s="221">
        <f t="shared" si="26"/>
        <v>0</v>
      </c>
      <c r="AR69" s="221">
        <f t="shared" si="26"/>
        <v>0</v>
      </c>
      <c r="AS69" s="221">
        <f t="shared" si="26"/>
        <v>0</v>
      </c>
      <c r="AT69" s="221">
        <f t="shared" si="26"/>
        <v>0</v>
      </c>
      <c r="AU69" s="221">
        <f t="shared" si="26"/>
        <v>0</v>
      </c>
      <c r="AV69" s="221">
        <f t="shared" si="26"/>
        <v>0</v>
      </c>
      <c r="AW69" s="221">
        <f t="shared" si="26"/>
        <v>0</v>
      </c>
      <c r="AX69" s="221">
        <f t="shared" si="26"/>
        <v>0</v>
      </c>
      <c r="AY69" s="221">
        <f t="shared" si="26"/>
        <v>0</v>
      </c>
      <c r="AZ69" s="221">
        <f t="shared" si="26"/>
        <v>0</v>
      </c>
      <c r="BA69" s="221">
        <f t="shared" si="26"/>
        <v>0</v>
      </c>
      <c r="BB69" s="221">
        <f t="shared" si="26"/>
        <v>0</v>
      </c>
      <c r="BC69" s="221">
        <f t="shared" si="26"/>
        <v>0</v>
      </c>
      <c r="BD69" s="221">
        <f t="shared" si="26"/>
        <v>0</v>
      </c>
      <c r="BE69" s="221">
        <f t="shared" si="26"/>
        <v>0</v>
      </c>
      <c r="BF69" s="217"/>
      <c r="BG69" s="218" t="s">
        <v>1003</v>
      </c>
      <c r="BH69" s="217" t="str">
        <f t="shared" ref="BH69:BH78" si="27">BH58</f>
        <v xml:space="preserve">vaches </v>
      </c>
      <c r="BI69" s="217">
        <f t="shared" ref="BI69:CF78" si="28">BI47*BI58</f>
        <v>0</v>
      </c>
      <c r="BJ69" s="217">
        <f t="shared" si="28"/>
        <v>0</v>
      </c>
      <c r="BK69" s="217">
        <f t="shared" si="28"/>
        <v>0</v>
      </c>
      <c r="BL69" s="217">
        <f t="shared" si="28"/>
        <v>0</v>
      </c>
      <c r="BM69" s="217">
        <f t="shared" si="28"/>
        <v>0</v>
      </c>
      <c r="BN69" s="217">
        <f t="shared" si="28"/>
        <v>0</v>
      </c>
      <c r="BO69" s="217">
        <f t="shared" si="28"/>
        <v>0</v>
      </c>
      <c r="BP69" s="217">
        <f t="shared" si="28"/>
        <v>0</v>
      </c>
      <c r="BQ69" s="217">
        <f t="shared" si="28"/>
        <v>0</v>
      </c>
      <c r="BR69" s="217">
        <f t="shared" si="28"/>
        <v>0</v>
      </c>
      <c r="BS69" s="217">
        <f t="shared" si="28"/>
        <v>0</v>
      </c>
      <c r="BT69" s="217">
        <f t="shared" si="28"/>
        <v>0</v>
      </c>
      <c r="BU69" s="217">
        <f t="shared" si="28"/>
        <v>0</v>
      </c>
      <c r="BV69" s="217">
        <f t="shared" si="28"/>
        <v>0</v>
      </c>
      <c r="BW69" s="217">
        <f t="shared" si="28"/>
        <v>0</v>
      </c>
      <c r="BX69" s="217">
        <f t="shared" si="28"/>
        <v>0</v>
      </c>
      <c r="BY69" s="217">
        <f t="shared" si="28"/>
        <v>0</v>
      </c>
      <c r="BZ69" s="217">
        <f t="shared" si="28"/>
        <v>0</v>
      </c>
      <c r="CA69" s="217">
        <f t="shared" si="28"/>
        <v>0</v>
      </c>
      <c r="CB69" s="217">
        <f t="shared" si="28"/>
        <v>0</v>
      </c>
      <c r="CC69" s="217">
        <f t="shared" si="28"/>
        <v>0</v>
      </c>
      <c r="CD69" s="217">
        <f t="shared" si="28"/>
        <v>0</v>
      </c>
      <c r="CE69" s="217">
        <f t="shared" si="28"/>
        <v>0</v>
      </c>
      <c r="CF69" s="217">
        <f t="shared" si="28"/>
        <v>0</v>
      </c>
      <c r="CG69" s="217"/>
      <c r="CH69" s="217"/>
      <c r="CI69" s="218" t="s">
        <v>1003</v>
      </c>
      <c r="CJ69" s="217" t="str">
        <f t="shared" ref="CJ69:CJ78" si="29">CJ58</f>
        <v>lot1</v>
      </c>
      <c r="CK69" s="221">
        <f t="shared" ref="CK69:DH78" si="30">CK47*CK58</f>
        <v>0</v>
      </c>
      <c r="CL69" s="221">
        <f t="shared" si="30"/>
        <v>0</v>
      </c>
      <c r="CM69" s="221">
        <f t="shared" si="30"/>
        <v>0</v>
      </c>
      <c r="CN69" s="221">
        <f t="shared" si="30"/>
        <v>0</v>
      </c>
      <c r="CO69" s="221">
        <f t="shared" si="30"/>
        <v>0</v>
      </c>
      <c r="CP69" s="221">
        <f t="shared" si="30"/>
        <v>0</v>
      </c>
      <c r="CQ69" s="221">
        <f t="shared" si="30"/>
        <v>0</v>
      </c>
      <c r="CR69" s="221">
        <f t="shared" si="30"/>
        <v>0</v>
      </c>
      <c r="CS69" s="221">
        <f t="shared" si="30"/>
        <v>0</v>
      </c>
      <c r="CT69" s="221">
        <f t="shared" si="30"/>
        <v>0</v>
      </c>
      <c r="CU69" s="221">
        <f t="shared" si="30"/>
        <v>0</v>
      </c>
      <c r="CV69" s="221">
        <f t="shared" si="30"/>
        <v>0</v>
      </c>
      <c r="CW69" s="221">
        <f t="shared" si="30"/>
        <v>0</v>
      </c>
      <c r="CX69" s="221">
        <f t="shared" si="30"/>
        <v>0</v>
      </c>
      <c r="CY69" s="221">
        <f t="shared" si="30"/>
        <v>0</v>
      </c>
      <c r="CZ69" s="221">
        <f t="shared" si="30"/>
        <v>0</v>
      </c>
      <c r="DA69" s="221">
        <f t="shared" si="30"/>
        <v>0</v>
      </c>
      <c r="DB69" s="221">
        <f t="shared" si="30"/>
        <v>0</v>
      </c>
      <c r="DC69" s="221">
        <f t="shared" si="30"/>
        <v>0</v>
      </c>
      <c r="DD69" s="221">
        <f t="shared" si="30"/>
        <v>0</v>
      </c>
      <c r="DE69" s="221">
        <f t="shared" si="30"/>
        <v>0</v>
      </c>
      <c r="DF69" s="221">
        <f t="shared" si="30"/>
        <v>0</v>
      </c>
      <c r="DG69" s="221">
        <f t="shared" si="30"/>
        <v>0</v>
      </c>
      <c r="DH69" s="221">
        <f t="shared" si="30"/>
        <v>0</v>
      </c>
      <c r="DI69" s="217"/>
      <c r="DJ69" s="217"/>
      <c r="DK69" s="218" t="s">
        <v>1003</v>
      </c>
      <c r="DL69" s="217" t="str">
        <f t="shared" ref="DL69:DL78" si="31">DL58</f>
        <v>lot1</v>
      </c>
      <c r="DM69" s="221">
        <f t="shared" ref="DM69:EJ78" si="32">DM47*DM58</f>
        <v>0</v>
      </c>
      <c r="DN69" s="221">
        <f t="shared" si="32"/>
        <v>0</v>
      </c>
      <c r="DO69" s="221">
        <f t="shared" si="32"/>
        <v>0</v>
      </c>
      <c r="DP69" s="221">
        <f t="shared" si="32"/>
        <v>0</v>
      </c>
      <c r="DQ69" s="221">
        <f t="shared" si="32"/>
        <v>0</v>
      </c>
      <c r="DR69" s="221">
        <f t="shared" si="32"/>
        <v>0</v>
      </c>
      <c r="DS69" s="221">
        <f t="shared" si="32"/>
        <v>0</v>
      </c>
      <c r="DT69" s="221">
        <f t="shared" si="32"/>
        <v>0</v>
      </c>
      <c r="DU69" s="221">
        <f t="shared" si="32"/>
        <v>0</v>
      </c>
      <c r="DV69" s="221">
        <f t="shared" si="32"/>
        <v>0</v>
      </c>
      <c r="DW69" s="221">
        <f t="shared" si="32"/>
        <v>0</v>
      </c>
      <c r="DX69" s="221">
        <f t="shared" si="32"/>
        <v>0</v>
      </c>
      <c r="DY69" s="221">
        <f t="shared" si="32"/>
        <v>0</v>
      </c>
      <c r="DZ69" s="221">
        <f t="shared" si="32"/>
        <v>0</v>
      </c>
      <c r="EA69" s="221">
        <f t="shared" si="32"/>
        <v>0</v>
      </c>
      <c r="EB69" s="221">
        <f t="shared" si="32"/>
        <v>0</v>
      </c>
      <c r="EC69" s="221">
        <f t="shared" si="32"/>
        <v>0</v>
      </c>
      <c r="ED69" s="221">
        <f t="shared" si="32"/>
        <v>0</v>
      </c>
      <c r="EE69" s="221">
        <f t="shared" si="32"/>
        <v>0</v>
      </c>
      <c r="EF69" s="221">
        <f t="shared" si="32"/>
        <v>0</v>
      </c>
      <c r="EG69" s="221">
        <f t="shared" si="32"/>
        <v>0</v>
      </c>
      <c r="EH69" s="221">
        <f t="shared" si="32"/>
        <v>0</v>
      </c>
      <c r="EI69" s="221">
        <f t="shared" si="32"/>
        <v>0</v>
      </c>
      <c r="EJ69" s="221">
        <f t="shared" si="32"/>
        <v>0</v>
      </c>
    </row>
    <row r="70" spans="1:143" x14ac:dyDescent="0.25">
      <c r="A70" s="5"/>
      <c r="B70" s="5"/>
      <c r="C70" s="5"/>
      <c r="D70" s="5"/>
      <c r="X70" s="217"/>
      <c r="Y70" s="217"/>
      <c r="Z70" s="217"/>
      <c r="AA70" s="217"/>
      <c r="AB70" s="217"/>
      <c r="AC70" s="217"/>
      <c r="AD70" s="217"/>
      <c r="AE70" s="217"/>
      <c r="AF70" s="217"/>
      <c r="AG70" s="217" t="str">
        <f t="shared" si="25"/>
        <v>vides</v>
      </c>
      <c r="AH70" s="221">
        <f t="shared" si="26"/>
        <v>0</v>
      </c>
      <c r="AI70" s="221">
        <f t="shared" si="26"/>
        <v>0</v>
      </c>
      <c r="AJ70" s="221">
        <f t="shared" si="26"/>
        <v>0</v>
      </c>
      <c r="AK70" s="221">
        <f t="shared" si="26"/>
        <v>0</v>
      </c>
      <c r="AL70" s="221">
        <f t="shared" si="26"/>
        <v>0</v>
      </c>
      <c r="AM70" s="221">
        <f t="shared" si="26"/>
        <v>0</v>
      </c>
      <c r="AN70" s="221">
        <f t="shared" si="26"/>
        <v>0</v>
      </c>
      <c r="AO70" s="221">
        <f t="shared" si="26"/>
        <v>0</v>
      </c>
      <c r="AP70" s="221">
        <f t="shared" si="26"/>
        <v>0</v>
      </c>
      <c r="AQ70" s="221">
        <f t="shared" si="26"/>
        <v>0</v>
      </c>
      <c r="AR70" s="221">
        <f t="shared" si="26"/>
        <v>0</v>
      </c>
      <c r="AS70" s="221">
        <f t="shared" si="26"/>
        <v>0</v>
      </c>
      <c r="AT70" s="221">
        <f t="shared" si="26"/>
        <v>0</v>
      </c>
      <c r="AU70" s="221">
        <f t="shared" si="26"/>
        <v>0</v>
      </c>
      <c r="AV70" s="221">
        <f t="shared" si="26"/>
        <v>0</v>
      </c>
      <c r="AW70" s="221">
        <f t="shared" si="26"/>
        <v>0</v>
      </c>
      <c r="AX70" s="221">
        <f t="shared" si="26"/>
        <v>0</v>
      </c>
      <c r="AY70" s="221">
        <f t="shared" si="26"/>
        <v>0</v>
      </c>
      <c r="AZ70" s="221">
        <f t="shared" si="26"/>
        <v>0</v>
      </c>
      <c r="BA70" s="221">
        <f t="shared" si="26"/>
        <v>0</v>
      </c>
      <c r="BB70" s="221">
        <f t="shared" si="26"/>
        <v>0</v>
      </c>
      <c r="BC70" s="221">
        <f t="shared" si="26"/>
        <v>0</v>
      </c>
      <c r="BD70" s="221">
        <f t="shared" si="26"/>
        <v>0</v>
      </c>
      <c r="BE70" s="221">
        <f t="shared" si="26"/>
        <v>0</v>
      </c>
      <c r="BF70" s="217"/>
      <c r="BG70" s="218"/>
      <c r="BH70" s="217" t="str">
        <f t="shared" si="27"/>
        <v>genisses -1an</v>
      </c>
      <c r="BI70" s="217">
        <f t="shared" si="28"/>
        <v>0</v>
      </c>
      <c r="BJ70" s="217">
        <f t="shared" si="28"/>
        <v>0</v>
      </c>
      <c r="BK70" s="217">
        <f t="shared" si="28"/>
        <v>0</v>
      </c>
      <c r="BL70" s="217">
        <f t="shared" si="28"/>
        <v>0</v>
      </c>
      <c r="BM70" s="217">
        <f t="shared" si="28"/>
        <v>0</v>
      </c>
      <c r="BN70" s="217">
        <f t="shared" si="28"/>
        <v>0</v>
      </c>
      <c r="BO70" s="217">
        <f t="shared" si="28"/>
        <v>0</v>
      </c>
      <c r="BP70" s="217">
        <f t="shared" si="28"/>
        <v>0</v>
      </c>
      <c r="BQ70" s="217">
        <f t="shared" si="28"/>
        <v>0</v>
      </c>
      <c r="BR70" s="217">
        <f t="shared" si="28"/>
        <v>0</v>
      </c>
      <c r="BS70" s="217">
        <f t="shared" si="28"/>
        <v>0</v>
      </c>
      <c r="BT70" s="217">
        <f t="shared" si="28"/>
        <v>0</v>
      </c>
      <c r="BU70" s="217">
        <f t="shared" si="28"/>
        <v>0</v>
      </c>
      <c r="BV70" s="217">
        <f t="shared" si="28"/>
        <v>0</v>
      </c>
      <c r="BW70" s="217">
        <f t="shared" si="28"/>
        <v>0</v>
      </c>
      <c r="BX70" s="217">
        <f t="shared" si="28"/>
        <v>0</v>
      </c>
      <c r="BY70" s="217">
        <f t="shared" si="28"/>
        <v>0</v>
      </c>
      <c r="BZ70" s="217">
        <f t="shared" si="28"/>
        <v>0</v>
      </c>
      <c r="CA70" s="217">
        <f t="shared" si="28"/>
        <v>0</v>
      </c>
      <c r="CB70" s="217">
        <f t="shared" si="28"/>
        <v>0</v>
      </c>
      <c r="CC70" s="217">
        <f t="shared" si="28"/>
        <v>0</v>
      </c>
      <c r="CD70" s="217">
        <f t="shared" si="28"/>
        <v>0</v>
      </c>
      <c r="CE70" s="217">
        <f t="shared" si="28"/>
        <v>0</v>
      </c>
      <c r="CF70" s="217">
        <f t="shared" si="28"/>
        <v>0</v>
      </c>
      <c r="CG70" s="217"/>
      <c r="CH70" s="217"/>
      <c r="CI70" s="218"/>
      <c r="CJ70" s="217" t="str">
        <f t="shared" si="29"/>
        <v>lot2</v>
      </c>
      <c r="CK70" s="221">
        <f t="shared" si="30"/>
        <v>0</v>
      </c>
      <c r="CL70" s="221">
        <f t="shared" si="30"/>
        <v>0</v>
      </c>
      <c r="CM70" s="221">
        <f t="shared" si="30"/>
        <v>0</v>
      </c>
      <c r="CN70" s="221">
        <f t="shared" si="30"/>
        <v>0</v>
      </c>
      <c r="CO70" s="221">
        <f t="shared" si="30"/>
        <v>0</v>
      </c>
      <c r="CP70" s="221">
        <f t="shared" si="30"/>
        <v>0</v>
      </c>
      <c r="CQ70" s="221">
        <f t="shared" si="30"/>
        <v>0</v>
      </c>
      <c r="CR70" s="221">
        <f t="shared" si="30"/>
        <v>0</v>
      </c>
      <c r="CS70" s="221">
        <f t="shared" si="30"/>
        <v>0</v>
      </c>
      <c r="CT70" s="221">
        <f t="shared" si="30"/>
        <v>0</v>
      </c>
      <c r="CU70" s="221">
        <f t="shared" si="30"/>
        <v>0</v>
      </c>
      <c r="CV70" s="221">
        <f t="shared" si="30"/>
        <v>0</v>
      </c>
      <c r="CW70" s="221">
        <f t="shared" si="30"/>
        <v>0</v>
      </c>
      <c r="CX70" s="221">
        <f t="shared" si="30"/>
        <v>0</v>
      </c>
      <c r="CY70" s="221">
        <f t="shared" si="30"/>
        <v>0</v>
      </c>
      <c r="CZ70" s="221">
        <f t="shared" si="30"/>
        <v>0</v>
      </c>
      <c r="DA70" s="221">
        <f t="shared" si="30"/>
        <v>0</v>
      </c>
      <c r="DB70" s="221">
        <f t="shared" si="30"/>
        <v>0</v>
      </c>
      <c r="DC70" s="221">
        <f t="shared" si="30"/>
        <v>0</v>
      </c>
      <c r="DD70" s="221">
        <f t="shared" si="30"/>
        <v>0</v>
      </c>
      <c r="DE70" s="221">
        <f t="shared" si="30"/>
        <v>0</v>
      </c>
      <c r="DF70" s="221">
        <f t="shared" si="30"/>
        <v>0</v>
      </c>
      <c r="DG70" s="221">
        <f t="shared" si="30"/>
        <v>0</v>
      </c>
      <c r="DH70" s="221">
        <f t="shared" si="30"/>
        <v>0</v>
      </c>
      <c r="DI70" s="217"/>
      <c r="DJ70" s="217"/>
      <c r="DK70" s="218"/>
      <c r="DL70" s="217" t="str">
        <f t="shared" si="31"/>
        <v>lot2</v>
      </c>
      <c r="DM70" s="221">
        <f t="shared" si="32"/>
        <v>0</v>
      </c>
      <c r="DN70" s="221">
        <f t="shared" si="32"/>
        <v>0</v>
      </c>
      <c r="DO70" s="221">
        <f t="shared" si="32"/>
        <v>0</v>
      </c>
      <c r="DP70" s="221">
        <f t="shared" si="32"/>
        <v>0</v>
      </c>
      <c r="DQ70" s="221">
        <f t="shared" si="32"/>
        <v>0</v>
      </c>
      <c r="DR70" s="221">
        <f t="shared" si="32"/>
        <v>0</v>
      </c>
      <c r="DS70" s="221">
        <f t="shared" si="32"/>
        <v>0</v>
      </c>
      <c r="DT70" s="221">
        <f t="shared" si="32"/>
        <v>0</v>
      </c>
      <c r="DU70" s="221">
        <f t="shared" si="32"/>
        <v>0</v>
      </c>
      <c r="DV70" s="221">
        <f t="shared" si="32"/>
        <v>0</v>
      </c>
      <c r="DW70" s="221">
        <f t="shared" si="32"/>
        <v>0</v>
      </c>
      <c r="DX70" s="221">
        <f t="shared" si="32"/>
        <v>0</v>
      </c>
      <c r="DY70" s="221">
        <f t="shared" si="32"/>
        <v>0</v>
      </c>
      <c r="DZ70" s="221">
        <f t="shared" si="32"/>
        <v>0</v>
      </c>
      <c r="EA70" s="221">
        <f t="shared" si="32"/>
        <v>0</v>
      </c>
      <c r="EB70" s="221">
        <f t="shared" si="32"/>
        <v>0</v>
      </c>
      <c r="EC70" s="221">
        <f t="shared" si="32"/>
        <v>0</v>
      </c>
      <c r="ED70" s="221">
        <f t="shared" si="32"/>
        <v>0</v>
      </c>
      <c r="EE70" s="221">
        <f t="shared" si="32"/>
        <v>0</v>
      </c>
      <c r="EF70" s="221">
        <f t="shared" si="32"/>
        <v>0</v>
      </c>
      <c r="EG70" s="221">
        <f t="shared" si="32"/>
        <v>0</v>
      </c>
      <c r="EH70" s="221">
        <f t="shared" si="32"/>
        <v>0</v>
      </c>
      <c r="EI70" s="221">
        <f t="shared" si="32"/>
        <v>0</v>
      </c>
      <c r="EJ70" s="221">
        <f t="shared" si="32"/>
        <v>0</v>
      </c>
    </row>
    <row r="71" spans="1:143" x14ac:dyDescent="0.25">
      <c r="A71" s="5"/>
      <c r="B71" s="5"/>
      <c r="C71" s="5"/>
      <c r="D71" s="5"/>
      <c r="X71" s="217"/>
      <c r="Y71" s="217"/>
      <c r="Z71" s="217"/>
      <c r="AA71" s="217"/>
      <c r="AB71" s="217"/>
      <c r="AC71" s="217"/>
      <c r="AD71" s="217"/>
      <c r="AE71" s="217"/>
      <c r="AF71" s="217"/>
      <c r="AG71" s="217" t="str">
        <f t="shared" si="25"/>
        <v>agnelles</v>
      </c>
      <c r="AH71" s="221">
        <f t="shared" si="26"/>
        <v>0</v>
      </c>
      <c r="AI71" s="221">
        <f t="shared" si="26"/>
        <v>0</v>
      </c>
      <c r="AJ71" s="221">
        <f t="shared" si="26"/>
        <v>0</v>
      </c>
      <c r="AK71" s="221">
        <f t="shared" si="26"/>
        <v>0</v>
      </c>
      <c r="AL71" s="221">
        <f t="shared" si="26"/>
        <v>0</v>
      </c>
      <c r="AM71" s="221">
        <f t="shared" si="26"/>
        <v>0</v>
      </c>
      <c r="AN71" s="221">
        <f t="shared" si="26"/>
        <v>0</v>
      </c>
      <c r="AO71" s="221">
        <f t="shared" si="26"/>
        <v>0</v>
      </c>
      <c r="AP71" s="221">
        <f t="shared" si="26"/>
        <v>0</v>
      </c>
      <c r="AQ71" s="221">
        <f t="shared" si="26"/>
        <v>0</v>
      </c>
      <c r="AR71" s="221">
        <f t="shared" si="26"/>
        <v>0</v>
      </c>
      <c r="AS71" s="221">
        <f t="shared" si="26"/>
        <v>0</v>
      </c>
      <c r="AT71" s="221">
        <f t="shared" si="26"/>
        <v>0</v>
      </c>
      <c r="AU71" s="221">
        <f t="shared" si="26"/>
        <v>0</v>
      </c>
      <c r="AV71" s="221">
        <f t="shared" si="26"/>
        <v>0</v>
      </c>
      <c r="AW71" s="221">
        <f t="shared" si="26"/>
        <v>0</v>
      </c>
      <c r="AX71" s="221">
        <f t="shared" si="26"/>
        <v>0</v>
      </c>
      <c r="AY71" s="221">
        <f t="shared" si="26"/>
        <v>0</v>
      </c>
      <c r="AZ71" s="221">
        <f t="shared" si="26"/>
        <v>0</v>
      </c>
      <c r="BA71" s="221">
        <f t="shared" si="26"/>
        <v>0</v>
      </c>
      <c r="BB71" s="221">
        <f t="shared" si="26"/>
        <v>0</v>
      </c>
      <c r="BC71" s="221">
        <f t="shared" si="26"/>
        <v>0</v>
      </c>
      <c r="BD71" s="221">
        <f t="shared" si="26"/>
        <v>0</v>
      </c>
      <c r="BE71" s="221">
        <f t="shared" si="26"/>
        <v>0</v>
      </c>
      <c r="BF71" s="217"/>
      <c r="BG71" s="218"/>
      <c r="BH71" s="217" t="str">
        <f t="shared" si="27"/>
        <v>genisses +1an</v>
      </c>
      <c r="BI71" s="217">
        <f t="shared" si="28"/>
        <v>0</v>
      </c>
      <c r="BJ71" s="217">
        <f t="shared" si="28"/>
        <v>0</v>
      </c>
      <c r="BK71" s="217">
        <f t="shared" si="28"/>
        <v>0</v>
      </c>
      <c r="BL71" s="217">
        <f t="shared" si="28"/>
        <v>0</v>
      </c>
      <c r="BM71" s="217">
        <f t="shared" si="28"/>
        <v>0</v>
      </c>
      <c r="BN71" s="217">
        <f t="shared" si="28"/>
        <v>0</v>
      </c>
      <c r="BO71" s="217">
        <f t="shared" si="28"/>
        <v>0</v>
      </c>
      <c r="BP71" s="217">
        <f t="shared" si="28"/>
        <v>0</v>
      </c>
      <c r="BQ71" s="217">
        <f t="shared" si="28"/>
        <v>0</v>
      </c>
      <c r="BR71" s="217">
        <f t="shared" si="28"/>
        <v>0</v>
      </c>
      <c r="BS71" s="217">
        <f t="shared" si="28"/>
        <v>0</v>
      </c>
      <c r="BT71" s="217">
        <f t="shared" si="28"/>
        <v>0</v>
      </c>
      <c r="BU71" s="217">
        <f t="shared" si="28"/>
        <v>0</v>
      </c>
      <c r="BV71" s="217">
        <f t="shared" si="28"/>
        <v>0</v>
      </c>
      <c r="BW71" s="217">
        <f t="shared" si="28"/>
        <v>0</v>
      </c>
      <c r="BX71" s="217">
        <f t="shared" si="28"/>
        <v>0</v>
      </c>
      <c r="BY71" s="217">
        <f t="shared" si="28"/>
        <v>0</v>
      </c>
      <c r="BZ71" s="217">
        <f t="shared" si="28"/>
        <v>0</v>
      </c>
      <c r="CA71" s="217">
        <f t="shared" si="28"/>
        <v>0</v>
      </c>
      <c r="CB71" s="217">
        <f t="shared" si="28"/>
        <v>0</v>
      </c>
      <c r="CC71" s="217">
        <f t="shared" si="28"/>
        <v>0</v>
      </c>
      <c r="CD71" s="217">
        <f t="shared" si="28"/>
        <v>0</v>
      </c>
      <c r="CE71" s="217">
        <f t="shared" si="28"/>
        <v>0</v>
      </c>
      <c r="CF71" s="217">
        <f t="shared" si="28"/>
        <v>0</v>
      </c>
      <c r="CG71" s="217"/>
      <c r="CH71" s="217"/>
      <c r="CI71" s="218"/>
      <c r="CJ71" s="217" t="str">
        <f t="shared" si="29"/>
        <v>lot3</v>
      </c>
      <c r="CK71" s="221">
        <f t="shared" si="30"/>
        <v>0</v>
      </c>
      <c r="CL71" s="221">
        <f t="shared" si="30"/>
        <v>0</v>
      </c>
      <c r="CM71" s="221">
        <f t="shared" si="30"/>
        <v>0</v>
      </c>
      <c r="CN71" s="221">
        <f t="shared" si="30"/>
        <v>0</v>
      </c>
      <c r="CO71" s="221">
        <f t="shared" si="30"/>
        <v>0</v>
      </c>
      <c r="CP71" s="221">
        <f t="shared" si="30"/>
        <v>0</v>
      </c>
      <c r="CQ71" s="221">
        <f t="shared" si="30"/>
        <v>0</v>
      </c>
      <c r="CR71" s="221">
        <f t="shared" si="30"/>
        <v>0</v>
      </c>
      <c r="CS71" s="221">
        <f t="shared" si="30"/>
        <v>0</v>
      </c>
      <c r="CT71" s="221">
        <f t="shared" si="30"/>
        <v>0</v>
      </c>
      <c r="CU71" s="221">
        <f t="shared" si="30"/>
        <v>0</v>
      </c>
      <c r="CV71" s="221">
        <f t="shared" si="30"/>
        <v>0</v>
      </c>
      <c r="CW71" s="221">
        <f t="shared" si="30"/>
        <v>0</v>
      </c>
      <c r="CX71" s="221">
        <f t="shared" si="30"/>
        <v>0</v>
      </c>
      <c r="CY71" s="221">
        <f t="shared" si="30"/>
        <v>0</v>
      </c>
      <c r="CZ71" s="221">
        <f t="shared" si="30"/>
        <v>0</v>
      </c>
      <c r="DA71" s="221">
        <f t="shared" si="30"/>
        <v>0</v>
      </c>
      <c r="DB71" s="221">
        <f t="shared" si="30"/>
        <v>0</v>
      </c>
      <c r="DC71" s="221">
        <f t="shared" si="30"/>
        <v>0</v>
      </c>
      <c r="DD71" s="221">
        <f t="shared" si="30"/>
        <v>0</v>
      </c>
      <c r="DE71" s="221">
        <f t="shared" si="30"/>
        <v>0</v>
      </c>
      <c r="DF71" s="221">
        <f t="shared" si="30"/>
        <v>0</v>
      </c>
      <c r="DG71" s="221">
        <f t="shared" si="30"/>
        <v>0</v>
      </c>
      <c r="DH71" s="221">
        <f t="shared" si="30"/>
        <v>0</v>
      </c>
      <c r="DI71" s="217"/>
      <c r="DJ71" s="217"/>
      <c r="DK71" s="218"/>
      <c r="DL71" s="217" t="str">
        <f t="shared" si="31"/>
        <v>lot3</v>
      </c>
      <c r="DM71" s="221">
        <f t="shared" si="32"/>
        <v>0</v>
      </c>
      <c r="DN71" s="221">
        <f t="shared" si="32"/>
        <v>0</v>
      </c>
      <c r="DO71" s="221">
        <f t="shared" si="32"/>
        <v>0</v>
      </c>
      <c r="DP71" s="221">
        <f t="shared" si="32"/>
        <v>0</v>
      </c>
      <c r="DQ71" s="221">
        <f t="shared" si="32"/>
        <v>0</v>
      </c>
      <c r="DR71" s="221">
        <f t="shared" si="32"/>
        <v>0</v>
      </c>
      <c r="DS71" s="221">
        <f t="shared" si="32"/>
        <v>0</v>
      </c>
      <c r="DT71" s="221">
        <f t="shared" si="32"/>
        <v>0</v>
      </c>
      <c r="DU71" s="221">
        <f t="shared" si="32"/>
        <v>0</v>
      </c>
      <c r="DV71" s="221">
        <f t="shared" si="32"/>
        <v>0</v>
      </c>
      <c r="DW71" s="221">
        <f t="shared" si="32"/>
        <v>0</v>
      </c>
      <c r="DX71" s="221">
        <f t="shared" si="32"/>
        <v>0</v>
      </c>
      <c r="DY71" s="221">
        <f t="shared" si="32"/>
        <v>0</v>
      </c>
      <c r="DZ71" s="221">
        <f t="shared" si="32"/>
        <v>0</v>
      </c>
      <c r="EA71" s="221">
        <f t="shared" si="32"/>
        <v>0</v>
      </c>
      <c r="EB71" s="221">
        <f t="shared" si="32"/>
        <v>0</v>
      </c>
      <c r="EC71" s="221">
        <f t="shared" si="32"/>
        <v>0</v>
      </c>
      <c r="ED71" s="221">
        <f t="shared" si="32"/>
        <v>0</v>
      </c>
      <c r="EE71" s="221">
        <f t="shared" si="32"/>
        <v>0</v>
      </c>
      <c r="EF71" s="221">
        <f t="shared" si="32"/>
        <v>0</v>
      </c>
      <c r="EG71" s="221">
        <f t="shared" si="32"/>
        <v>0</v>
      </c>
      <c r="EH71" s="221">
        <f t="shared" si="32"/>
        <v>0</v>
      </c>
      <c r="EI71" s="221">
        <f t="shared" si="32"/>
        <v>0</v>
      </c>
      <c r="EJ71" s="221">
        <f t="shared" si="32"/>
        <v>0</v>
      </c>
    </row>
    <row r="72" spans="1:143" x14ac:dyDescent="0.25">
      <c r="A72" s="5"/>
      <c r="B72" s="5"/>
      <c r="C72" s="5"/>
      <c r="D72" s="5"/>
      <c r="X72" s="217"/>
      <c r="Y72" s="217"/>
      <c r="Z72" s="217"/>
      <c r="AA72" s="217"/>
      <c r="AB72" s="217"/>
      <c r="AC72" s="217"/>
      <c r="AD72" s="217"/>
      <c r="AE72" s="217"/>
      <c r="AF72" s="217"/>
      <c r="AG72" s="217" t="str">
        <f t="shared" si="25"/>
        <v>beliers</v>
      </c>
      <c r="AH72" s="221">
        <f t="shared" si="26"/>
        <v>0</v>
      </c>
      <c r="AI72" s="221">
        <f t="shared" si="26"/>
        <v>0</v>
      </c>
      <c r="AJ72" s="221">
        <f t="shared" si="26"/>
        <v>0</v>
      </c>
      <c r="AK72" s="221">
        <f t="shared" si="26"/>
        <v>0</v>
      </c>
      <c r="AL72" s="221">
        <f t="shared" si="26"/>
        <v>0</v>
      </c>
      <c r="AM72" s="221">
        <f t="shared" si="26"/>
        <v>0</v>
      </c>
      <c r="AN72" s="221">
        <f t="shared" si="26"/>
        <v>0</v>
      </c>
      <c r="AO72" s="221">
        <f t="shared" si="26"/>
        <v>0</v>
      </c>
      <c r="AP72" s="221">
        <f t="shared" si="26"/>
        <v>0</v>
      </c>
      <c r="AQ72" s="221">
        <f t="shared" si="26"/>
        <v>0</v>
      </c>
      <c r="AR72" s="221">
        <f t="shared" si="26"/>
        <v>0</v>
      </c>
      <c r="AS72" s="221">
        <f t="shared" si="26"/>
        <v>0</v>
      </c>
      <c r="AT72" s="221">
        <f t="shared" si="26"/>
        <v>0</v>
      </c>
      <c r="AU72" s="221">
        <f t="shared" si="26"/>
        <v>0</v>
      </c>
      <c r="AV72" s="221">
        <f t="shared" si="26"/>
        <v>0</v>
      </c>
      <c r="AW72" s="221">
        <f t="shared" si="26"/>
        <v>0</v>
      </c>
      <c r="AX72" s="221">
        <f t="shared" si="26"/>
        <v>0</v>
      </c>
      <c r="AY72" s="221">
        <f t="shared" si="26"/>
        <v>0</v>
      </c>
      <c r="AZ72" s="221">
        <f t="shared" si="26"/>
        <v>0</v>
      </c>
      <c r="BA72" s="221">
        <f t="shared" si="26"/>
        <v>0</v>
      </c>
      <c r="BB72" s="221">
        <f t="shared" si="26"/>
        <v>0</v>
      </c>
      <c r="BC72" s="221">
        <f t="shared" si="26"/>
        <v>0</v>
      </c>
      <c r="BD72" s="221">
        <f t="shared" si="26"/>
        <v>0</v>
      </c>
      <c r="BE72" s="221">
        <f t="shared" si="26"/>
        <v>0</v>
      </c>
      <c r="BF72" s="217"/>
      <c r="BG72" s="218"/>
      <c r="BH72" s="217" t="str">
        <f t="shared" si="27"/>
        <v>lot4</v>
      </c>
      <c r="BI72" s="217">
        <f t="shared" si="28"/>
        <v>0</v>
      </c>
      <c r="BJ72" s="217">
        <f t="shared" si="28"/>
        <v>0</v>
      </c>
      <c r="BK72" s="217">
        <f t="shared" si="28"/>
        <v>0</v>
      </c>
      <c r="BL72" s="217">
        <f t="shared" si="28"/>
        <v>0</v>
      </c>
      <c r="BM72" s="217">
        <f t="shared" si="28"/>
        <v>0</v>
      </c>
      <c r="BN72" s="217">
        <f t="shared" si="28"/>
        <v>0</v>
      </c>
      <c r="BO72" s="217">
        <f t="shared" si="28"/>
        <v>0</v>
      </c>
      <c r="BP72" s="217">
        <f t="shared" si="28"/>
        <v>0</v>
      </c>
      <c r="BQ72" s="217">
        <f t="shared" si="28"/>
        <v>0</v>
      </c>
      <c r="BR72" s="217">
        <f t="shared" si="28"/>
        <v>0</v>
      </c>
      <c r="BS72" s="217">
        <f t="shared" si="28"/>
        <v>0</v>
      </c>
      <c r="BT72" s="217">
        <f t="shared" si="28"/>
        <v>0</v>
      </c>
      <c r="BU72" s="217">
        <f t="shared" si="28"/>
        <v>0</v>
      </c>
      <c r="BV72" s="217">
        <f t="shared" si="28"/>
        <v>0</v>
      </c>
      <c r="BW72" s="217">
        <f t="shared" si="28"/>
        <v>0</v>
      </c>
      <c r="BX72" s="217">
        <f t="shared" si="28"/>
        <v>0</v>
      </c>
      <c r="BY72" s="217">
        <f t="shared" si="28"/>
        <v>0</v>
      </c>
      <c r="BZ72" s="217">
        <f t="shared" si="28"/>
        <v>0</v>
      </c>
      <c r="CA72" s="217">
        <f t="shared" si="28"/>
        <v>0</v>
      </c>
      <c r="CB72" s="217">
        <f t="shared" si="28"/>
        <v>0</v>
      </c>
      <c r="CC72" s="217">
        <f t="shared" si="28"/>
        <v>0</v>
      </c>
      <c r="CD72" s="217">
        <f t="shared" si="28"/>
        <v>0</v>
      </c>
      <c r="CE72" s="217">
        <f t="shared" si="28"/>
        <v>0</v>
      </c>
      <c r="CF72" s="217">
        <f t="shared" si="28"/>
        <v>0</v>
      </c>
      <c r="CG72" s="217"/>
      <c r="CH72" s="217"/>
      <c r="CI72" s="218"/>
      <c r="CJ72" s="217" t="str">
        <f t="shared" si="29"/>
        <v>lot4</v>
      </c>
      <c r="CK72" s="221">
        <f t="shared" si="30"/>
        <v>0</v>
      </c>
      <c r="CL72" s="221">
        <f t="shared" si="30"/>
        <v>0</v>
      </c>
      <c r="CM72" s="221">
        <f t="shared" si="30"/>
        <v>0</v>
      </c>
      <c r="CN72" s="221">
        <f t="shared" si="30"/>
        <v>0</v>
      </c>
      <c r="CO72" s="221">
        <f t="shared" si="30"/>
        <v>0</v>
      </c>
      <c r="CP72" s="221">
        <f t="shared" si="30"/>
        <v>0</v>
      </c>
      <c r="CQ72" s="221">
        <f t="shared" si="30"/>
        <v>0</v>
      </c>
      <c r="CR72" s="221">
        <f t="shared" si="30"/>
        <v>0</v>
      </c>
      <c r="CS72" s="221">
        <f t="shared" si="30"/>
        <v>0</v>
      </c>
      <c r="CT72" s="221">
        <f t="shared" si="30"/>
        <v>0</v>
      </c>
      <c r="CU72" s="221">
        <f t="shared" si="30"/>
        <v>0</v>
      </c>
      <c r="CV72" s="221">
        <f t="shared" si="30"/>
        <v>0</v>
      </c>
      <c r="CW72" s="221">
        <f t="shared" si="30"/>
        <v>0</v>
      </c>
      <c r="CX72" s="221">
        <f t="shared" si="30"/>
        <v>0</v>
      </c>
      <c r="CY72" s="221">
        <f t="shared" si="30"/>
        <v>0</v>
      </c>
      <c r="CZ72" s="221">
        <f t="shared" si="30"/>
        <v>0</v>
      </c>
      <c r="DA72" s="221">
        <f t="shared" si="30"/>
        <v>0</v>
      </c>
      <c r="DB72" s="221">
        <f t="shared" si="30"/>
        <v>0</v>
      </c>
      <c r="DC72" s="221">
        <f t="shared" si="30"/>
        <v>0</v>
      </c>
      <c r="DD72" s="221">
        <f t="shared" si="30"/>
        <v>0</v>
      </c>
      <c r="DE72" s="221">
        <f t="shared" si="30"/>
        <v>0</v>
      </c>
      <c r="DF72" s="221">
        <f t="shared" si="30"/>
        <v>0</v>
      </c>
      <c r="DG72" s="221">
        <f t="shared" si="30"/>
        <v>0</v>
      </c>
      <c r="DH72" s="221">
        <f t="shared" si="30"/>
        <v>0</v>
      </c>
      <c r="DI72" s="217"/>
      <c r="DJ72" s="217"/>
      <c r="DK72" s="218"/>
      <c r="DL72" s="217" t="str">
        <f t="shared" si="31"/>
        <v>lot4</v>
      </c>
      <c r="DM72" s="221">
        <f t="shared" si="32"/>
        <v>0</v>
      </c>
      <c r="DN72" s="221">
        <f t="shared" si="32"/>
        <v>0</v>
      </c>
      <c r="DO72" s="221">
        <f t="shared" si="32"/>
        <v>0</v>
      </c>
      <c r="DP72" s="221">
        <f t="shared" si="32"/>
        <v>0</v>
      </c>
      <c r="DQ72" s="221">
        <f t="shared" si="32"/>
        <v>0</v>
      </c>
      <c r="DR72" s="221">
        <f t="shared" si="32"/>
        <v>0</v>
      </c>
      <c r="DS72" s="221">
        <f t="shared" si="32"/>
        <v>0</v>
      </c>
      <c r="DT72" s="221">
        <f t="shared" si="32"/>
        <v>0</v>
      </c>
      <c r="DU72" s="221">
        <f t="shared" si="32"/>
        <v>0</v>
      </c>
      <c r="DV72" s="221">
        <f t="shared" si="32"/>
        <v>0</v>
      </c>
      <c r="DW72" s="221">
        <f t="shared" si="32"/>
        <v>0</v>
      </c>
      <c r="DX72" s="221">
        <f t="shared" si="32"/>
        <v>0</v>
      </c>
      <c r="DY72" s="221">
        <f t="shared" si="32"/>
        <v>0</v>
      </c>
      <c r="DZ72" s="221">
        <f t="shared" si="32"/>
        <v>0</v>
      </c>
      <c r="EA72" s="221">
        <f t="shared" si="32"/>
        <v>0</v>
      </c>
      <c r="EB72" s="221">
        <f t="shared" si="32"/>
        <v>0</v>
      </c>
      <c r="EC72" s="221">
        <f t="shared" si="32"/>
        <v>0</v>
      </c>
      <c r="ED72" s="221">
        <f t="shared" si="32"/>
        <v>0</v>
      </c>
      <c r="EE72" s="221">
        <f t="shared" si="32"/>
        <v>0</v>
      </c>
      <c r="EF72" s="221">
        <f t="shared" si="32"/>
        <v>0</v>
      </c>
      <c r="EG72" s="221">
        <f t="shared" si="32"/>
        <v>0</v>
      </c>
      <c r="EH72" s="221">
        <f t="shared" si="32"/>
        <v>0</v>
      </c>
      <c r="EI72" s="221">
        <f t="shared" si="32"/>
        <v>0</v>
      </c>
      <c r="EJ72" s="221">
        <f t="shared" si="32"/>
        <v>0</v>
      </c>
    </row>
    <row r="73" spans="1:143" x14ac:dyDescent="0.25">
      <c r="A73" s="5"/>
      <c r="B73" s="5"/>
      <c r="C73" s="5"/>
      <c r="D73" s="5"/>
      <c r="X73" s="217"/>
      <c r="Y73" s="217"/>
      <c r="Z73" s="217"/>
      <c r="AA73" s="217"/>
      <c r="AB73" s="217"/>
      <c r="AC73" s="217"/>
      <c r="AD73" s="217"/>
      <c r="AE73" s="217"/>
      <c r="AF73" s="217"/>
      <c r="AG73" s="217" t="str">
        <f t="shared" si="25"/>
        <v>lot5</v>
      </c>
      <c r="AH73" s="221">
        <f t="shared" si="26"/>
        <v>0</v>
      </c>
      <c r="AI73" s="221">
        <f t="shared" si="26"/>
        <v>0</v>
      </c>
      <c r="AJ73" s="221">
        <f t="shared" si="26"/>
        <v>0</v>
      </c>
      <c r="AK73" s="221">
        <f t="shared" si="26"/>
        <v>0</v>
      </c>
      <c r="AL73" s="221">
        <f t="shared" si="26"/>
        <v>0</v>
      </c>
      <c r="AM73" s="221">
        <f t="shared" si="26"/>
        <v>0</v>
      </c>
      <c r="AN73" s="221">
        <f t="shared" si="26"/>
        <v>0</v>
      </c>
      <c r="AO73" s="221">
        <f t="shared" si="26"/>
        <v>0</v>
      </c>
      <c r="AP73" s="221">
        <f t="shared" si="26"/>
        <v>0</v>
      </c>
      <c r="AQ73" s="221">
        <f t="shared" si="26"/>
        <v>0</v>
      </c>
      <c r="AR73" s="221">
        <f t="shared" si="26"/>
        <v>0</v>
      </c>
      <c r="AS73" s="221">
        <f t="shared" si="26"/>
        <v>0</v>
      </c>
      <c r="AT73" s="221">
        <f t="shared" si="26"/>
        <v>0</v>
      </c>
      <c r="AU73" s="221">
        <f t="shared" si="26"/>
        <v>0</v>
      </c>
      <c r="AV73" s="221" t="e">
        <f t="shared" ca="1" si="26"/>
        <v>#REF!</v>
      </c>
      <c r="AW73" s="221">
        <f t="shared" si="26"/>
        <v>0</v>
      </c>
      <c r="AX73" s="221">
        <f t="shared" si="26"/>
        <v>0</v>
      </c>
      <c r="AY73" s="221">
        <f t="shared" si="26"/>
        <v>0</v>
      </c>
      <c r="AZ73" s="221">
        <f t="shared" si="26"/>
        <v>0</v>
      </c>
      <c r="BA73" s="221">
        <f t="shared" si="26"/>
        <v>0</v>
      </c>
      <c r="BB73" s="221">
        <f t="shared" si="26"/>
        <v>0</v>
      </c>
      <c r="BC73" s="221">
        <f t="shared" si="26"/>
        <v>0</v>
      </c>
      <c r="BD73" s="221">
        <f t="shared" si="26"/>
        <v>0</v>
      </c>
      <c r="BE73" s="221">
        <f t="shared" si="26"/>
        <v>0</v>
      </c>
      <c r="BF73" s="217"/>
      <c r="BG73" s="218"/>
      <c r="BH73" s="217" t="str">
        <f t="shared" si="27"/>
        <v>lot5</v>
      </c>
      <c r="BI73" s="217">
        <f t="shared" si="28"/>
        <v>0</v>
      </c>
      <c r="BJ73" s="217">
        <f t="shared" si="28"/>
        <v>0</v>
      </c>
      <c r="BK73" s="217">
        <f t="shared" si="28"/>
        <v>0</v>
      </c>
      <c r="BL73" s="217">
        <f t="shared" si="28"/>
        <v>0</v>
      </c>
      <c r="BM73" s="217">
        <f t="shared" si="28"/>
        <v>0</v>
      </c>
      <c r="BN73" s="217">
        <f t="shared" si="28"/>
        <v>0</v>
      </c>
      <c r="BO73" s="217">
        <f t="shared" si="28"/>
        <v>0</v>
      </c>
      <c r="BP73" s="217">
        <f t="shared" si="28"/>
        <v>0</v>
      </c>
      <c r="BQ73" s="217">
        <f t="shared" si="28"/>
        <v>0</v>
      </c>
      <c r="BR73" s="217">
        <f t="shared" si="28"/>
        <v>0</v>
      </c>
      <c r="BS73" s="217">
        <f t="shared" si="28"/>
        <v>0</v>
      </c>
      <c r="BT73" s="217">
        <f t="shared" si="28"/>
        <v>0</v>
      </c>
      <c r="BU73" s="217">
        <f t="shared" si="28"/>
        <v>0</v>
      </c>
      <c r="BV73" s="217">
        <f t="shared" si="28"/>
        <v>0</v>
      </c>
      <c r="BW73" s="217">
        <f t="shared" si="28"/>
        <v>0</v>
      </c>
      <c r="BX73" s="217">
        <f t="shared" si="28"/>
        <v>0</v>
      </c>
      <c r="BY73" s="217">
        <f t="shared" si="28"/>
        <v>0</v>
      </c>
      <c r="BZ73" s="217">
        <f t="shared" si="28"/>
        <v>0</v>
      </c>
      <c r="CA73" s="217">
        <f t="shared" si="28"/>
        <v>0</v>
      </c>
      <c r="CB73" s="217">
        <f t="shared" si="28"/>
        <v>0</v>
      </c>
      <c r="CC73" s="217">
        <f t="shared" si="28"/>
        <v>0</v>
      </c>
      <c r="CD73" s="217">
        <f t="shared" si="28"/>
        <v>0</v>
      </c>
      <c r="CE73" s="217">
        <f t="shared" si="28"/>
        <v>0</v>
      </c>
      <c r="CF73" s="217">
        <f t="shared" si="28"/>
        <v>0</v>
      </c>
      <c r="CG73" s="217"/>
      <c r="CH73" s="217"/>
      <c r="CI73" s="218"/>
      <c r="CJ73" s="217" t="str">
        <f t="shared" si="29"/>
        <v>lot5</v>
      </c>
      <c r="CK73" s="221">
        <f t="shared" si="30"/>
        <v>0</v>
      </c>
      <c r="CL73" s="221">
        <f t="shared" si="30"/>
        <v>0</v>
      </c>
      <c r="CM73" s="221">
        <f t="shared" si="30"/>
        <v>0</v>
      </c>
      <c r="CN73" s="221">
        <f t="shared" si="30"/>
        <v>0</v>
      </c>
      <c r="CO73" s="221">
        <f t="shared" si="30"/>
        <v>0</v>
      </c>
      <c r="CP73" s="221">
        <f t="shared" si="30"/>
        <v>0</v>
      </c>
      <c r="CQ73" s="221">
        <f t="shared" si="30"/>
        <v>0</v>
      </c>
      <c r="CR73" s="221">
        <f t="shared" si="30"/>
        <v>0</v>
      </c>
      <c r="CS73" s="221">
        <f t="shared" si="30"/>
        <v>0</v>
      </c>
      <c r="CT73" s="221">
        <f t="shared" si="30"/>
        <v>0</v>
      </c>
      <c r="CU73" s="221">
        <f t="shared" si="30"/>
        <v>0</v>
      </c>
      <c r="CV73" s="221">
        <f t="shared" si="30"/>
        <v>0</v>
      </c>
      <c r="CW73" s="221">
        <f t="shared" si="30"/>
        <v>0</v>
      </c>
      <c r="CX73" s="221">
        <f t="shared" si="30"/>
        <v>0</v>
      </c>
      <c r="CY73" s="221">
        <f t="shared" si="30"/>
        <v>0</v>
      </c>
      <c r="CZ73" s="221">
        <f t="shared" si="30"/>
        <v>0</v>
      </c>
      <c r="DA73" s="221">
        <f t="shared" si="30"/>
        <v>0</v>
      </c>
      <c r="DB73" s="221">
        <f t="shared" si="30"/>
        <v>0</v>
      </c>
      <c r="DC73" s="221">
        <f t="shared" si="30"/>
        <v>0</v>
      </c>
      <c r="DD73" s="221">
        <f t="shared" si="30"/>
        <v>0</v>
      </c>
      <c r="DE73" s="221">
        <f t="shared" si="30"/>
        <v>0</v>
      </c>
      <c r="DF73" s="221">
        <f t="shared" si="30"/>
        <v>0</v>
      </c>
      <c r="DG73" s="221">
        <f t="shared" si="30"/>
        <v>0</v>
      </c>
      <c r="DH73" s="221">
        <f t="shared" si="30"/>
        <v>0</v>
      </c>
      <c r="DI73" s="217"/>
      <c r="DJ73" s="217"/>
      <c r="DK73" s="218"/>
      <c r="DL73" s="217" t="str">
        <f t="shared" si="31"/>
        <v>lot5</v>
      </c>
      <c r="DM73" s="221">
        <f t="shared" si="32"/>
        <v>0</v>
      </c>
      <c r="DN73" s="221">
        <f t="shared" si="32"/>
        <v>0</v>
      </c>
      <c r="DO73" s="221">
        <f t="shared" si="32"/>
        <v>0</v>
      </c>
      <c r="DP73" s="221">
        <f t="shared" si="32"/>
        <v>0</v>
      </c>
      <c r="DQ73" s="221">
        <f t="shared" si="32"/>
        <v>0</v>
      </c>
      <c r="DR73" s="221">
        <f t="shared" si="32"/>
        <v>0</v>
      </c>
      <c r="DS73" s="221">
        <f t="shared" si="32"/>
        <v>0</v>
      </c>
      <c r="DT73" s="221">
        <f t="shared" si="32"/>
        <v>0</v>
      </c>
      <c r="DU73" s="221">
        <f t="shared" si="32"/>
        <v>0</v>
      </c>
      <c r="DV73" s="221">
        <f t="shared" si="32"/>
        <v>0</v>
      </c>
      <c r="DW73" s="221">
        <f t="shared" si="32"/>
        <v>0</v>
      </c>
      <c r="DX73" s="221">
        <f t="shared" si="32"/>
        <v>0</v>
      </c>
      <c r="DY73" s="221">
        <f t="shared" si="32"/>
        <v>0</v>
      </c>
      <c r="DZ73" s="221">
        <f t="shared" si="32"/>
        <v>0</v>
      </c>
      <c r="EA73" s="221">
        <f t="shared" si="32"/>
        <v>0</v>
      </c>
      <c r="EB73" s="221">
        <f t="shared" si="32"/>
        <v>0</v>
      </c>
      <c r="EC73" s="221">
        <f t="shared" si="32"/>
        <v>0</v>
      </c>
      <c r="ED73" s="221">
        <f t="shared" si="32"/>
        <v>0</v>
      </c>
      <c r="EE73" s="221">
        <f t="shared" si="32"/>
        <v>0</v>
      </c>
      <c r="EF73" s="221">
        <f t="shared" si="32"/>
        <v>0</v>
      </c>
      <c r="EG73" s="221">
        <f t="shared" si="32"/>
        <v>0</v>
      </c>
      <c r="EH73" s="221">
        <f t="shared" si="32"/>
        <v>0</v>
      </c>
      <c r="EI73" s="221">
        <f t="shared" si="32"/>
        <v>0</v>
      </c>
      <c r="EJ73" s="221">
        <f t="shared" si="32"/>
        <v>0</v>
      </c>
    </row>
    <row r="74" spans="1:143" x14ac:dyDescent="0.25">
      <c r="A74" s="5"/>
      <c r="B74" s="5"/>
      <c r="C74" s="5"/>
      <c r="D74" s="5"/>
      <c r="X74" s="217"/>
      <c r="Y74" s="217"/>
      <c r="Z74" s="217"/>
      <c r="AA74" s="217"/>
      <c r="AB74" s="217"/>
      <c r="AC74" s="217"/>
      <c r="AD74" s="217"/>
      <c r="AE74" s="217"/>
      <c r="AF74" s="217"/>
      <c r="AG74" s="217" t="str">
        <f t="shared" si="25"/>
        <v>lot6</v>
      </c>
      <c r="AH74" s="221">
        <f t="shared" si="26"/>
        <v>0</v>
      </c>
      <c r="AI74" s="221">
        <f t="shared" si="26"/>
        <v>0</v>
      </c>
      <c r="AJ74" s="221">
        <f t="shared" si="26"/>
        <v>0</v>
      </c>
      <c r="AK74" s="221">
        <f t="shared" si="26"/>
        <v>0</v>
      </c>
      <c r="AL74" s="221">
        <f t="shared" si="26"/>
        <v>0</v>
      </c>
      <c r="AM74" s="221">
        <f t="shared" si="26"/>
        <v>0</v>
      </c>
      <c r="AN74" s="221">
        <f t="shared" si="26"/>
        <v>0</v>
      </c>
      <c r="AO74" s="221">
        <f t="shared" si="26"/>
        <v>0</v>
      </c>
      <c r="AP74" s="221">
        <f t="shared" si="26"/>
        <v>0</v>
      </c>
      <c r="AQ74" s="221">
        <f t="shared" si="26"/>
        <v>0</v>
      </c>
      <c r="AR74" s="221">
        <f t="shared" si="26"/>
        <v>0</v>
      </c>
      <c r="AS74" s="221">
        <f t="shared" si="26"/>
        <v>0</v>
      </c>
      <c r="AT74" s="221">
        <f t="shared" si="26"/>
        <v>0</v>
      </c>
      <c r="AU74" s="221">
        <f t="shared" si="26"/>
        <v>0</v>
      </c>
      <c r="AV74" s="221">
        <f t="shared" si="26"/>
        <v>0</v>
      </c>
      <c r="AW74" s="221">
        <f t="shared" si="26"/>
        <v>0</v>
      </c>
      <c r="AX74" s="221">
        <f t="shared" si="26"/>
        <v>0</v>
      </c>
      <c r="AY74" s="221">
        <f t="shared" si="26"/>
        <v>0</v>
      </c>
      <c r="AZ74" s="221">
        <f t="shared" si="26"/>
        <v>0</v>
      </c>
      <c r="BA74" s="221">
        <f t="shared" si="26"/>
        <v>0</v>
      </c>
      <c r="BB74" s="221">
        <f t="shared" si="26"/>
        <v>0</v>
      </c>
      <c r="BC74" s="221">
        <f t="shared" si="26"/>
        <v>0</v>
      </c>
      <c r="BD74" s="221">
        <f t="shared" si="26"/>
        <v>0</v>
      </c>
      <c r="BE74" s="221">
        <f t="shared" si="26"/>
        <v>0</v>
      </c>
      <c r="BF74" s="217"/>
      <c r="BG74" s="218"/>
      <c r="BH74" s="217" t="str">
        <f t="shared" si="27"/>
        <v>lot6</v>
      </c>
      <c r="BI74" s="217">
        <f t="shared" si="28"/>
        <v>0</v>
      </c>
      <c r="BJ74" s="217">
        <f t="shared" si="28"/>
        <v>0</v>
      </c>
      <c r="BK74" s="217">
        <f t="shared" si="28"/>
        <v>0</v>
      </c>
      <c r="BL74" s="217">
        <f t="shared" si="28"/>
        <v>0</v>
      </c>
      <c r="BM74" s="217">
        <f t="shared" si="28"/>
        <v>0</v>
      </c>
      <c r="BN74" s="217">
        <f t="shared" si="28"/>
        <v>0</v>
      </c>
      <c r="BO74" s="217">
        <f t="shared" si="28"/>
        <v>0</v>
      </c>
      <c r="BP74" s="217">
        <f t="shared" si="28"/>
        <v>0</v>
      </c>
      <c r="BQ74" s="217">
        <f t="shared" si="28"/>
        <v>0</v>
      </c>
      <c r="BR74" s="217">
        <f t="shared" si="28"/>
        <v>0</v>
      </c>
      <c r="BS74" s="217">
        <f t="shared" si="28"/>
        <v>0</v>
      </c>
      <c r="BT74" s="217">
        <f t="shared" si="28"/>
        <v>0</v>
      </c>
      <c r="BU74" s="217">
        <f t="shared" si="28"/>
        <v>0</v>
      </c>
      <c r="BV74" s="217">
        <f t="shared" si="28"/>
        <v>0</v>
      </c>
      <c r="BW74" s="217">
        <f t="shared" si="28"/>
        <v>0</v>
      </c>
      <c r="BX74" s="217">
        <f t="shared" si="28"/>
        <v>0</v>
      </c>
      <c r="BY74" s="217">
        <f t="shared" si="28"/>
        <v>0</v>
      </c>
      <c r="BZ74" s="217">
        <f t="shared" si="28"/>
        <v>0</v>
      </c>
      <c r="CA74" s="217">
        <f t="shared" si="28"/>
        <v>0</v>
      </c>
      <c r="CB74" s="217">
        <f t="shared" si="28"/>
        <v>0</v>
      </c>
      <c r="CC74" s="217">
        <f t="shared" si="28"/>
        <v>0</v>
      </c>
      <c r="CD74" s="217">
        <f t="shared" si="28"/>
        <v>0</v>
      </c>
      <c r="CE74" s="217">
        <f t="shared" si="28"/>
        <v>0</v>
      </c>
      <c r="CF74" s="217">
        <f t="shared" si="28"/>
        <v>0</v>
      </c>
      <c r="CG74" s="217"/>
      <c r="CH74" s="217"/>
      <c r="CI74" s="218"/>
      <c r="CJ74" s="217" t="str">
        <f t="shared" si="29"/>
        <v>lot6</v>
      </c>
      <c r="CK74" s="221">
        <f t="shared" si="30"/>
        <v>0</v>
      </c>
      <c r="CL74" s="221">
        <f t="shared" si="30"/>
        <v>0</v>
      </c>
      <c r="CM74" s="221">
        <f t="shared" si="30"/>
        <v>0</v>
      </c>
      <c r="CN74" s="221">
        <f t="shared" si="30"/>
        <v>0</v>
      </c>
      <c r="CO74" s="221">
        <f t="shared" si="30"/>
        <v>0</v>
      </c>
      <c r="CP74" s="221">
        <f t="shared" si="30"/>
        <v>0</v>
      </c>
      <c r="CQ74" s="221">
        <f t="shared" si="30"/>
        <v>0</v>
      </c>
      <c r="CR74" s="221">
        <f t="shared" si="30"/>
        <v>0</v>
      </c>
      <c r="CS74" s="221">
        <f t="shared" si="30"/>
        <v>0</v>
      </c>
      <c r="CT74" s="221">
        <f t="shared" si="30"/>
        <v>0</v>
      </c>
      <c r="CU74" s="221">
        <f t="shared" si="30"/>
        <v>0</v>
      </c>
      <c r="CV74" s="221">
        <f t="shared" si="30"/>
        <v>0</v>
      </c>
      <c r="CW74" s="221">
        <f t="shared" si="30"/>
        <v>0</v>
      </c>
      <c r="CX74" s="221">
        <f t="shared" si="30"/>
        <v>0</v>
      </c>
      <c r="CY74" s="221">
        <f t="shared" si="30"/>
        <v>0</v>
      </c>
      <c r="CZ74" s="221">
        <f t="shared" si="30"/>
        <v>0</v>
      </c>
      <c r="DA74" s="221">
        <f t="shared" si="30"/>
        <v>0</v>
      </c>
      <c r="DB74" s="221">
        <f t="shared" si="30"/>
        <v>0</v>
      </c>
      <c r="DC74" s="221">
        <f t="shared" si="30"/>
        <v>0</v>
      </c>
      <c r="DD74" s="221">
        <f t="shared" si="30"/>
        <v>0</v>
      </c>
      <c r="DE74" s="221">
        <f t="shared" si="30"/>
        <v>0</v>
      </c>
      <c r="DF74" s="221">
        <f t="shared" si="30"/>
        <v>0</v>
      </c>
      <c r="DG74" s="221">
        <f t="shared" si="30"/>
        <v>0</v>
      </c>
      <c r="DH74" s="221">
        <f t="shared" si="30"/>
        <v>0</v>
      </c>
      <c r="DI74" s="217"/>
      <c r="DJ74" s="217"/>
      <c r="DK74" s="218"/>
      <c r="DL74" s="217" t="str">
        <f t="shared" si="31"/>
        <v>lot6</v>
      </c>
      <c r="DM74" s="221">
        <f t="shared" si="32"/>
        <v>0</v>
      </c>
      <c r="DN74" s="221">
        <f t="shared" si="32"/>
        <v>0</v>
      </c>
      <c r="DO74" s="221">
        <f t="shared" si="32"/>
        <v>0</v>
      </c>
      <c r="DP74" s="221">
        <f t="shared" si="32"/>
        <v>0</v>
      </c>
      <c r="DQ74" s="221">
        <f t="shared" si="32"/>
        <v>0</v>
      </c>
      <c r="DR74" s="221">
        <f t="shared" si="32"/>
        <v>0</v>
      </c>
      <c r="DS74" s="221">
        <f t="shared" si="32"/>
        <v>0</v>
      </c>
      <c r="DT74" s="221">
        <f t="shared" si="32"/>
        <v>0</v>
      </c>
      <c r="DU74" s="221">
        <f t="shared" si="32"/>
        <v>0</v>
      </c>
      <c r="DV74" s="221">
        <f t="shared" si="32"/>
        <v>0</v>
      </c>
      <c r="DW74" s="221">
        <f t="shared" si="32"/>
        <v>0</v>
      </c>
      <c r="DX74" s="221">
        <f t="shared" si="32"/>
        <v>0</v>
      </c>
      <c r="DY74" s="221">
        <f t="shared" si="32"/>
        <v>0</v>
      </c>
      <c r="DZ74" s="221">
        <f t="shared" si="32"/>
        <v>0</v>
      </c>
      <c r="EA74" s="221">
        <f t="shared" si="32"/>
        <v>0</v>
      </c>
      <c r="EB74" s="221">
        <f t="shared" si="32"/>
        <v>0</v>
      </c>
      <c r="EC74" s="221">
        <f t="shared" si="32"/>
        <v>0</v>
      </c>
      <c r="ED74" s="221">
        <f t="shared" si="32"/>
        <v>0</v>
      </c>
      <c r="EE74" s="221">
        <f t="shared" si="32"/>
        <v>0</v>
      </c>
      <c r="EF74" s="221">
        <f t="shared" si="32"/>
        <v>0</v>
      </c>
      <c r="EG74" s="221">
        <f t="shared" si="32"/>
        <v>0</v>
      </c>
      <c r="EH74" s="221">
        <f t="shared" si="32"/>
        <v>0</v>
      </c>
      <c r="EI74" s="221">
        <f t="shared" si="32"/>
        <v>0</v>
      </c>
      <c r="EJ74" s="221">
        <f t="shared" si="32"/>
        <v>0</v>
      </c>
    </row>
    <row r="75" spans="1:143" x14ac:dyDescent="0.25">
      <c r="A75" s="5"/>
      <c r="B75" s="5"/>
      <c r="C75" s="5"/>
      <c r="D75" s="5"/>
      <c r="X75" s="217"/>
      <c r="Y75" s="217"/>
      <c r="Z75" s="217"/>
      <c r="AA75" s="217"/>
      <c r="AB75" s="217"/>
      <c r="AC75" s="217"/>
      <c r="AD75" s="217"/>
      <c r="AE75" s="217"/>
      <c r="AF75" s="217"/>
      <c r="AG75" s="217" t="str">
        <f t="shared" si="25"/>
        <v>lot7</v>
      </c>
      <c r="AH75" s="221">
        <f t="shared" si="26"/>
        <v>0</v>
      </c>
      <c r="AI75" s="221">
        <f t="shared" si="26"/>
        <v>0</v>
      </c>
      <c r="AJ75" s="221">
        <f t="shared" si="26"/>
        <v>0</v>
      </c>
      <c r="AK75" s="221">
        <f t="shared" si="26"/>
        <v>0</v>
      </c>
      <c r="AL75" s="221">
        <f t="shared" si="26"/>
        <v>0</v>
      </c>
      <c r="AM75" s="221">
        <f t="shared" si="26"/>
        <v>0</v>
      </c>
      <c r="AN75" s="221">
        <f t="shared" si="26"/>
        <v>0</v>
      </c>
      <c r="AO75" s="221">
        <f t="shared" si="26"/>
        <v>0</v>
      </c>
      <c r="AP75" s="221">
        <f t="shared" si="26"/>
        <v>0</v>
      </c>
      <c r="AQ75" s="221">
        <f t="shared" si="26"/>
        <v>0</v>
      </c>
      <c r="AR75" s="221">
        <f t="shared" si="26"/>
        <v>0</v>
      </c>
      <c r="AS75" s="221">
        <f t="shared" si="26"/>
        <v>0</v>
      </c>
      <c r="AT75" s="221">
        <f t="shared" si="26"/>
        <v>0</v>
      </c>
      <c r="AU75" s="221">
        <f t="shared" si="26"/>
        <v>0</v>
      </c>
      <c r="AV75" s="221">
        <f t="shared" si="26"/>
        <v>0</v>
      </c>
      <c r="AW75" s="221">
        <f t="shared" si="26"/>
        <v>0</v>
      </c>
      <c r="AX75" s="221">
        <f t="shared" si="26"/>
        <v>0</v>
      </c>
      <c r="AY75" s="221">
        <f t="shared" si="26"/>
        <v>0</v>
      </c>
      <c r="AZ75" s="221">
        <f t="shared" si="26"/>
        <v>0</v>
      </c>
      <c r="BA75" s="221">
        <f t="shared" si="26"/>
        <v>0</v>
      </c>
      <c r="BB75" s="221">
        <f t="shared" si="26"/>
        <v>0</v>
      </c>
      <c r="BC75" s="221">
        <f t="shared" si="26"/>
        <v>0</v>
      </c>
      <c r="BD75" s="221">
        <f t="shared" si="26"/>
        <v>0</v>
      </c>
      <c r="BE75" s="221">
        <f t="shared" si="26"/>
        <v>0</v>
      </c>
      <c r="BF75" s="217"/>
      <c r="BG75" s="218"/>
      <c r="BH75" s="217" t="str">
        <f t="shared" si="27"/>
        <v>lot7</v>
      </c>
      <c r="BI75" s="217">
        <f t="shared" si="28"/>
        <v>0</v>
      </c>
      <c r="BJ75" s="217">
        <f t="shared" si="28"/>
        <v>0</v>
      </c>
      <c r="BK75" s="217">
        <f t="shared" si="28"/>
        <v>0</v>
      </c>
      <c r="BL75" s="217">
        <f t="shared" si="28"/>
        <v>0</v>
      </c>
      <c r="BM75" s="217">
        <f t="shared" si="28"/>
        <v>0</v>
      </c>
      <c r="BN75" s="217">
        <f t="shared" si="28"/>
        <v>0</v>
      </c>
      <c r="BO75" s="217">
        <f t="shared" si="28"/>
        <v>0</v>
      </c>
      <c r="BP75" s="217">
        <f t="shared" si="28"/>
        <v>0</v>
      </c>
      <c r="BQ75" s="217">
        <f t="shared" si="28"/>
        <v>0</v>
      </c>
      <c r="BR75" s="217">
        <f t="shared" si="28"/>
        <v>0</v>
      </c>
      <c r="BS75" s="217">
        <f t="shared" si="28"/>
        <v>0</v>
      </c>
      <c r="BT75" s="217">
        <f t="shared" si="28"/>
        <v>0</v>
      </c>
      <c r="BU75" s="217">
        <f t="shared" si="28"/>
        <v>0</v>
      </c>
      <c r="BV75" s="217">
        <f t="shared" si="28"/>
        <v>0</v>
      </c>
      <c r="BW75" s="217">
        <f t="shared" si="28"/>
        <v>0</v>
      </c>
      <c r="BX75" s="217">
        <f t="shared" si="28"/>
        <v>0</v>
      </c>
      <c r="BY75" s="217">
        <f t="shared" si="28"/>
        <v>0</v>
      </c>
      <c r="BZ75" s="217">
        <f t="shared" si="28"/>
        <v>0</v>
      </c>
      <c r="CA75" s="217">
        <f t="shared" si="28"/>
        <v>0</v>
      </c>
      <c r="CB75" s="217">
        <f t="shared" si="28"/>
        <v>0</v>
      </c>
      <c r="CC75" s="217">
        <f t="shared" si="28"/>
        <v>0</v>
      </c>
      <c r="CD75" s="217">
        <f t="shared" si="28"/>
        <v>0</v>
      </c>
      <c r="CE75" s="217">
        <f t="shared" si="28"/>
        <v>0</v>
      </c>
      <c r="CF75" s="217">
        <f t="shared" si="28"/>
        <v>0</v>
      </c>
      <c r="CG75" s="217"/>
      <c r="CH75" s="217"/>
      <c r="CI75" s="218"/>
      <c r="CJ75" s="217" t="str">
        <f t="shared" si="29"/>
        <v>lot7</v>
      </c>
      <c r="CK75" s="221">
        <f t="shared" si="30"/>
        <v>0</v>
      </c>
      <c r="CL75" s="221">
        <f t="shared" si="30"/>
        <v>0</v>
      </c>
      <c r="CM75" s="221">
        <f t="shared" si="30"/>
        <v>0</v>
      </c>
      <c r="CN75" s="221">
        <f t="shared" si="30"/>
        <v>0</v>
      </c>
      <c r="CO75" s="221">
        <f t="shared" si="30"/>
        <v>0</v>
      </c>
      <c r="CP75" s="221">
        <f t="shared" si="30"/>
        <v>0</v>
      </c>
      <c r="CQ75" s="221">
        <f t="shared" si="30"/>
        <v>0</v>
      </c>
      <c r="CR75" s="221">
        <f t="shared" si="30"/>
        <v>0</v>
      </c>
      <c r="CS75" s="221">
        <f t="shared" si="30"/>
        <v>0</v>
      </c>
      <c r="CT75" s="221">
        <f t="shared" si="30"/>
        <v>0</v>
      </c>
      <c r="CU75" s="221">
        <f t="shared" si="30"/>
        <v>0</v>
      </c>
      <c r="CV75" s="221">
        <f t="shared" si="30"/>
        <v>0</v>
      </c>
      <c r="CW75" s="221">
        <f t="shared" si="30"/>
        <v>0</v>
      </c>
      <c r="CX75" s="221">
        <f t="shared" si="30"/>
        <v>0</v>
      </c>
      <c r="CY75" s="221">
        <f t="shared" si="30"/>
        <v>0</v>
      </c>
      <c r="CZ75" s="221">
        <f t="shared" si="30"/>
        <v>0</v>
      </c>
      <c r="DA75" s="221">
        <f t="shared" si="30"/>
        <v>0</v>
      </c>
      <c r="DB75" s="221">
        <f t="shared" si="30"/>
        <v>0</v>
      </c>
      <c r="DC75" s="221">
        <f t="shared" si="30"/>
        <v>0</v>
      </c>
      <c r="DD75" s="221">
        <f t="shared" si="30"/>
        <v>0</v>
      </c>
      <c r="DE75" s="221">
        <f t="shared" si="30"/>
        <v>0</v>
      </c>
      <c r="DF75" s="221">
        <f t="shared" si="30"/>
        <v>0</v>
      </c>
      <c r="DG75" s="221">
        <f t="shared" si="30"/>
        <v>0</v>
      </c>
      <c r="DH75" s="221">
        <f t="shared" si="30"/>
        <v>0</v>
      </c>
      <c r="DI75" s="217"/>
      <c r="DJ75" s="217"/>
      <c r="DK75" s="218"/>
      <c r="DL75" s="217" t="str">
        <f t="shared" si="31"/>
        <v>lot7</v>
      </c>
      <c r="DM75" s="221">
        <f t="shared" si="32"/>
        <v>0</v>
      </c>
      <c r="DN75" s="221">
        <f t="shared" si="32"/>
        <v>0</v>
      </c>
      <c r="DO75" s="221">
        <f t="shared" si="32"/>
        <v>0</v>
      </c>
      <c r="DP75" s="221">
        <f t="shared" si="32"/>
        <v>0</v>
      </c>
      <c r="DQ75" s="221">
        <f t="shared" si="32"/>
        <v>0</v>
      </c>
      <c r="DR75" s="221">
        <f t="shared" si="32"/>
        <v>0</v>
      </c>
      <c r="DS75" s="221">
        <f t="shared" si="32"/>
        <v>0</v>
      </c>
      <c r="DT75" s="221">
        <f t="shared" si="32"/>
        <v>0</v>
      </c>
      <c r="DU75" s="221">
        <f t="shared" si="32"/>
        <v>0</v>
      </c>
      <c r="DV75" s="221">
        <f t="shared" si="32"/>
        <v>0</v>
      </c>
      <c r="DW75" s="221">
        <f t="shared" si="32"/>
        <v>0</v>
      </c>
      <c r="DX75" s="221">
        <f t="shared" si="32"/>
        <v>0</v>
      </c>
      <c r="DY75" s="221">
        <f t="shared" si="32"/>
        <v>0</v>
      </c>
      <c r="DZ75" s="221">
        <f t="shared" si="32"/>
        <v>0</v>
      </c>
      <c r="EA75" s="221">
        <f t="shared" si="32"/>
        <v>0</v>
      </c>
      <c r="EB75" s="221">
        <f t="shared" si="32"/>
        <v>0</v>
      </c>
      <c r="EC75" s="221">
        <f t="shared" si="32"/>
        <v>0</v>
      </c>
      <c r="ED75" s="221">
        <f t="shared" si="32"/>
        <v>0</v>
      </c>
      <c r="EE75" s="221">
        <f t="shared" si="32"/>
        <v>0</v>
      </c>
      <c r="EF75" s="221">
        <f t="shared" si="32"/>
        <v>0</v>
      </c>
      <c r="EG75" s="221">
        <f t="shared" si="32"/>
        <v>0</v>
      </c>
      <c r="EH75" s="221">
        <f t="shared" si="32"/>
        <v>0</v>
      </c>
      <c r="EI75" s="221">
        <f t="shared" si="32"/>
        <v>0</v>
      </c>
      <c r="EJ75" s="221">
        <f t="shared" si="32"/>
        <v>0</v>
      </c>
    </row>
    <row r="76" spans="1:143" s="223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8"/>
      <c r="P76"/>
      <c r="Q76"/>
      <c r="R76"/>
      <c r="S76"/>
      <c r="T76"/>
      <c r="U76"/>
      <c r="V76"/>
      <c r="W76"/>
      <c r="X76" s="217"/>
      <c r="Y76" s="217"/>
      <c r="Z76" s="217"/>
      <c r="AA76" s="217"/>
      <c r="AB76" s="217"/>
      <c r="AC76" s="217"/>
      <c r="AD76" s="217"/>
      <c r="AE76" s="217"/>
      <c r="AF76" s="217"/>
      <c r="AG76" s="217" t="str">
        <f t="shared" si="25"/>
        <v>lot8</v>
      </c>
      <c r="AH76" s="221">
        <f t="shared" si="26"/>
        <v>0</v>
      </c>
      <c r="AI76" s="221">
        <f t="shared" si="26"/>
        <v>0</v>
      </c>
      <c r="AJ76" s="221">
        <f t="shared" si="26"/>
        <v>0</v>
      </c>
      <c r="AK76" s="221">
        <f t="shared" si="26"/>
        <v>0</v>
      </c>
      <c r="AL76" s="221">
        <f t="shared" si="26"/>
        <v>0</v>
      </c>
      <c r="AM76" s="221">
        <f t="shared" si="26"/>
        <v>0</v>
      </c>
      <c r="AN76" s="221">
        <f t="shared" si="26"/>
        <v>0</v>
      </c>
      <c r="AO76" s="221">
        <f t="shared" si="26"/>
        <v>0</v>
      </c>
      <c r="AP76" s="221">
        <f t="shared" si="26"/>
        <v>0</v>
      </c>
      <c r="AQ76" s="221">
        <f t="shared" si="26"/>
        <v>0</v>
      </c>
      <c r="AR76" s="221">
        <f t="shared" si="26"/>
        <v>0</v>
      </c>
      <c r="AS76" s="221">
        <f t="shared" si="26"/>
        <v>0</v>
      </c>
      <c r="AT76" s="221">
        <f t="shared" si="26"/>
        <v>0</v>
      </c>
      <c r="AU76" s="221">
        <f t="shared" si="26"/>
        <v>0</v>
      </c>
      <c r="AV76" s="221">
        <f t="shared" si="26"/>
        <v>0</v>
      </c>
      <c r="AW76" s="221">
        <f t="shared" si="26"/>
        <v>0</v>
      </c>
      <c r="AX76" s="221">
        <f t="shared" si="26"/>
        <v>0</v>
      </c>
      <c r="AY76" s="221">
        <f t="shared" si="26"/>
        <v>0</v>
      </c>
      <c r="AZ76" s="221">
        <f t="shared" si="26"/>
        <v>0</v>
      </c>
      <c r="BA76" s="221">
        <f t="shared" si="26"/>
        <v>0</v>
      </c>
      <c r="BB76" s="221">
        <f t="shared" si="26"/>
        <v>0</v>
      </c>
      <c r="BC76" s="221">
        <f t="shared" si="26"/>
        <v>0</v>
      </c>
      <c r="BD76" s="221">
        <f t="shared" si="26"/>
        <v>0</v>
      </c>
      <c r="BE76" s="221">
        <f t="shared" si="26"/>
        <v>0</v>
      </c>
      <c r="BF76" s="217"/>
      <c r="BG76" s="218"/>
      <c r="BH76" s="217" t="str">
        <f t="shared" si="27"/>
        <v>lot8</v>
      </c>
      <c r="BI76" s="217">
        <f t="shared" si="28"/>
        <v>0</v>
      </c>
      <c r="BJ76" s="217">
        <f t="shared" si="28"/>
        <v>0</v>
      </c>
      <c r="BK76" s="217">
        <f t="shared" si="28"/>
        <v>0</v>
      </c>
      <c r="BL76" s="217">
        <f t="shared" si="28"/>
        <v>0</v>
      </c>
      <c r="BM76" s="217">
        <f t="shared" si="28"/>
        <v>0</v>
      </c>
      <c r="BN76" s="217">
        <f t="shared" si="28"/>
        <v>0</v>
      </c>
      <c r="BO76" s="217">
        <f t="shared" si="28"/>
        <v>0</v>
      </c>
      <c r="BP76" s="217">
        <f t="shared" si="28"/>
        <v>0</v>
      </c>
      <c r="BQ76" s="217">
        <f t="shared" si="28"/>
        <v>0</v>
      </c>
      <c r="BR76" s="217">
        <f t="shared" si="28"/>
        <v>0</v>
      </c>
      <c r="BS76" s="217">
        <f t="shared" si="28"/>
        <v>0</v>
      </c>
      <c r="BT76" s="217">
        <f t="shared" si="28"/>
        <v>0</v>
      </c>
      <c r="BU76" s="217">
        <f t="shared" si="28"/>
        <v>0</v>
      </c>
      <c r="BV76" s="217">
        <f t="shared" si="28"/>
        <v>0</v>
      </c>
      <c r="BW76" s="217">
        <f t="shared" si="28"/>
        <v>0</v>
      </c>
      <c r="BX76" s="217">
        <f t="shared" si="28"/>
        <v>0</v>
      </c>
      <c r="BY76" s="217">
        <f t="shared" si="28"/>
        <v>0</v>
      </c>
      <c r="BZ76" s="217">
        <f t="shared" si="28"/>
        <v>0</v>
      </c>
      <c r="CA76" s="217">
        <f t="shared" si="28"/>
        <v>0</v>
      </c>
      <c r="CB76" s="217">
        <f t="shared" si="28"/>
        <v>0</v>
      </c>
      <c r="CC76" s="217">
        <f t="shared" si="28"/>
        <v>0</v>
      </c>
      <c r="CD76" s="217">
        <f t="shared" si="28"/>
        <v>0</v>
      </c>
      <c r="CE76" s="217">
        <f t="shared" si="28"/>
        <v>0</v>
      </c>
      <c r="CF76" s="217">
        <f t="shared" si="28"/>
        <v>0</v>
      </c>
      <c r="CG76" s="217"/>
      <c r="CH76" s="217"/>
      <c r="CI76" s="218"/>
      <c r="CJ76" s="217" t="str">
        <f t="shared" si="29"/>
        <v>lot8</v>
      </c>
      <c r="CK76" s="221">
        <f t="shared" si="30"/>
        <v>0</v>
      </c>
      <c r="CL76" s="221">
        <f t="shared" si="30"/>
        <v>0</v>
      </c>
      <c r="CM76" s="221">
        <f t="shared" si="30"/>
        <v>0</v>
      </c>
      <c r="CN76" s="221">
        <f t="shared" si="30"/>
        <v>0</v>
      </c>
      <c r="CO76" s="221">
        <f t="shared" si="30"/>
        <v>0</v>
      </c>
      <c r="CP76" s="221">
        <f t="shared" si="30"/>
        <v>0</v>
      </c>
      <c r="CQ76" s="221">
        <f t="shared" si="30"/>
        <v>0</v>
      </c>
      <c r="CR76" s="221">
        <f t="shared" si="30"/>
        <v>0</v>
      </c>
      <c r="CS76" s="221">
        <f t="shared" si="30"/>
        <v>0</v>
      </c>
      <c r="CT76" s="221">
        <f t="shared" si="30"/>
        <v>0</v>
      </c>
      <c r="CU76" s="221">
        <f t="shared" si="30"/>
        <v>0</v>
      </c>
      <c r="CV76" s="221">
        <f t="shared" si="30"/>
        <v>0</v>
      </c>
      <c r="CW76" s="221">
        <f t="shared" si="30"/>
        <v>0</v>
      </c>
      <c r="CX76" s="221">
        <f t="shared" si="30"/>
        <v>0</v>
      </c>
      <c r="CY76" s="221">
        <f t="shared" si="30"/>
        <v>0</v>
      </c>
      <c r="CZ76" s="221">
        <f t="shared" si="30"/>
        <v>0</v>
      </c>
      <c r="DA76" s="221">
        <f t="shared" si="30"/>
        <v>0</v>
      </c>
      <c r="DB76" s="221">
        <f t="shared" si="30"/>
        <v>0</v>
      </c>
      <c r="DC76" s="221">
        <f t="shared" si="30"/>
        <v>0</v>
      </c>
      <c r="DD76" s="221">
        <f t="shared" si="30"/>
        <v>0</v>
      </c>
      <c r="DE76" s="221">
        <f t="shared" si="30"/>
        <v>0</v>
      </c>
      <c r="DF76" s="221">
        <f t="shared" si="30"/>
        <v>0</v>
      </c>
      <c r="DG76" s="221">
        <f t="shared" si="30"/>
        <v>0</v>
      </c>
      <c r="DH76" s="221">
        <f t="shared" si="30"/>
        <v>0</v>
      </c>
      <c r="DI76" s="217"/>
      <c r="DJ76" s="217"/>
      <c r="DK76" s="218"/>
      <c r="DL76" s="217" t="str">
        <f t="shared" si="31"/>
        <v>lot8</v>
      </c>
      <c r="DM76" s="221">
        <f t="shared" si="32"/>
        <v>0</v>
      </c>
      <c r="DN76" s="221">
        <f t="shared" si="32"/>
        <v>0</v>
      </c>
      <c r="DO76" s="221">
        <f t="shared" si="32"/>
        <v>0</v>
      </c>
      <c r="DP76" s="221">
        <f t="shared" si="32"/>
        <v>0</v>
      </c>
      <c r="DQ76" s="221">
        <f t="shared" si="32"/>
        <v>0</v>
      </c>
      <c r="DR76" s="221">
        <f t="shared" si="32"/>
        <v>0</v>
      </c>
      <c r="DS76" s="221">
        <f t="shared" si="32"/>
        <v>0</v>
      </c>
      <c r="DT76" s="221">
        <f t="shared" si="32"/>
        <v>0</v>
      </c>
      <c r="DU76" s="221">
        <f t="shared" si="32"/>
        <v>0</v>
      </c>
      <c r="DV76" s="221">
        <f t="shared" si="32"/>
        <v>0</v>
      </c>
      <c r="DW76" s="221">
        <f t="shared" si="32"/>
        <v>0</v>
      </c>
      <c r="DX76" s="221">
        <f t="shared" si="32"/>
        <v>0</v>
      </c>
      <c r="DY76" s="221">
        <f t="shared" si="32"/>
        <v>0</v>
      </c>
      <c r="DZ76" s="221">
        <f t="shared" si="32"/>
        <v>0</v>
      </c>
      <c r="EA76" s="221">
        <f t="shared" si="32"/>
        <v>0</v>
      </c>
      <c r="EB76" s="221">
        <f t="shared" si="32"/>
        <v>0</v>
      </c>
      <c r="EC76" s="221">
        <f t="shared" si="32"/>
        <v>0</v>
      </c>
      <c r="ED76" s="221">
        <f t="shared" si="32"/>
        <v>0</v>
      </c>
      <c r="EE76" s="221">
        <f t="shared" si="32"/>
        <v>0</v>
      </c>
      <c r="EF76" s="221">
        <f t="shared" si="32"/>
        <v>0</v>
      </c>
      <c r="EG76" s="221">
        <f t="shared" si="32"/>
        <v>0</v>
      </c>
      <c r="EH76" s="221">
        <f t="shared" si="32"/>
        <v>0</v>
      </c>
      <c r="EI76" s="221">
        <f t="shared" si="32"/>
        <v>0</v>
      </c>
      <c r="EJ76" s="221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7"/>
      <c r="Y77" s="217"/>
      <c r="Z77" s="217"/>
      <c r="AA77" s="217"/>
      <c r="AB77" s="217"/>
      <c r="AC77" s="217"/>
      <c r="AD77" s="217"/>
      <c r="AE77" s="217"/>
      <c r="AF77" s="217"/>
      <c r="AG77" s="217" t="str">
        <f t="shared" si="25"/>
        <v>lot9</v>
      </c>
      <c r="AH77" s="221">
        <f t="shared" si="26"/>
        <v>0</v>
      </c>
      <c r="AI77" s="221">
        <f t="shared" si="26"/>
        <v>0</v>
      </c>
      <c r="AJ77" s="221">
        <f t="shared" si="26"/>
        <v>0</v>
      </c>
      <c r="AK77" s="221">
        <f t="shared" si="26"/>
        <v>0</v>
      </c>
      <c r="AL77" s="221">
        <f t="shared" si="26"/>
        <v>0</v>
      </c>
      <c r="AM77" s="221">
        <f t="shared" si="26"/>
        <v>0</v>
      </c>
      <c r="AN77" s="221">
        <f t="shared" si="26"/>
        <v>0</v>
      </c>
      <c r="AO77" s="221">
        <f t="shared" si="26"/>
        <v>0</v>
      </c>
      <c r="AP77" s="221">
        <f t="shared" si="26"/>
        <v>0</v>
      </c>
      <c r="AQ77" s="221">
        <f t="shared" si="26"/>
        <v>0</v>
      </c>
      <c r="AR77" s="221">
        <f t="shared" si="26"/>
        <v>0</v>
      </c>
      <c r="AS77" s="221">
        <f t="shared" si="26"/>
        <v>0</v>
      </c>
      <c r="AT77" s="221">
        <f t="shared" si="26"/>
        <v>0</v>
      </c>
      <c r="AU77" s="221">
        <f t="shared" si="26"/>
        <v>0</v>
      </c>
      <c r="AV77" s="221">
        <f t="shared" si="26"/>
        <v>0</v>
      </c>
      <c r="AW77" s="221">
        <f t="shared" si="26"/>
        <v>0</v>
      </c>
      <c r="AX77" s="221">
        <f t="shared" si="26"/>
        <v>0</v>
      </c>
      <c r="AY77" s="221">
        <f t="shared" si="26"/>
        <v>0</v>
      </c>
      <c r="AZ77" s="221">
        <f t="shared" si="26"/>
        <v>0</v>
      </c>
      <c r="BA77" s="221">
        <f t="shared" si="26"/>
        <v>0</v>
      </c>
      <c r="BB77" s="221">
        <f t="shared" si="26"/>
        <v>0</v>
      </c>
      <c r="BC77" s="221">
        <f t="shared" si="26"/>
        <v>0</v>
      </c>
      <c r="BD77" s="221">
        <f t="shared" si="26"/>
        <v>0</v>
      </c>
      <c r="BE77" s="221">
        <f t="shared" si="26"/>
        <v>0</v>
      </c>
      <c r="BF77" s="217"/>
      <c r="BG77" s="218"/>
      <c r="BH77" s="217" t="str">
        <f t="shared" si="27"/>
        <v>lot9</v>
      </c>
      <c r="BI77" s="217">
        <f t="shared" si="28"/>
        <v>0</v>
      </c>
      <c r="BJ77" s="217">
        <f t="shared" si="28"/>
        <v>0</v>
      </c>
      <c r="BK77" s="217">
        <f t="shared" si="28"/>
        <v>0</v>
      </c>
      <c r="BL77" s="217">
        <f t="shared" si="28"/>
        <v>0</v>
      </c>
      <c r="BM77" s="217">
        <f t="shared" si="28"/>
        <v>0</v>
      </c>
      <c r="BN77" s="217">
        <f t="shared" si="28"/>
        <v>0</v>
      </c>
      <c r="BO77" s="217">
        <f t="shared" si="28"/>
        <v>0</v>
      </c>
      <c r="BP77" s="217">
        <f t="shared" si="28"/>
        <v>0</v>
      </c>
      <c r="BQ77" s="217">
        <f t="shared" si="28"/>
        <v>0</v>
      </c>
      <c r="BR77" s="217">
        <f t="shared" si="28"/>
        <v>0</v>
      </c>
      <c r="BS77" s="217">
        <f t="shared" si="28"/>
        <v>0</v>
      </c>
      <c r="BT77" s="217">
        <f t="shared" si="28"/>
        <v>0</v>
      </c>
      <c r="BU77" s="217">
        <f t="shared" si="28"/>
        <v>0</v>
      </c>
      <c r="BV77" s="217">
        <f t="shared" si="28"/>
        <v>0</v>
      </c>
      <c r="BW77" s="217">
        <f t="shared" si="28"/>
        <v>0</v>
      </c>
      <c r="BX77" s="217">
        <f t="shared" si="28"/>
        <v>0</v>
      </c>
      <c r="BY77" s="217">
        <f t="shared" si="28"/>
        <v>0</v>
      </c>
      <c r="BZ77" s="217">
        <f t="shared" si="28"/>
        <v>0</v>
      </c>
      <c r="CA77" s="217">
        <f t="shared" si="28"/>
        <v>0</v>
      </c>
      <c r="CB77" s="217">
        <f t="shared" si="28"/>
        <v>0</v>
      </c>
      <c r="CC77" s="217">
        <f t="shared" si="28"/>
        <v>0</v>
      </c>
      <c r="CD77" s="217">
        <f t="shared" si="28"/>
        <v>0</v>
      </c>
      <c r="CE77" s="217">
        <f t="shared" si="28"/>
        <v>0</v>
      </c>
      <c r="CF77" s="217">
        <f t="shared" si="28"/>
        <v>0</v>
      </c>
      <c r="CG77" s="217"/>
      <c r="CH77" s="217"/>
      <c r="CI77" s="218"/>
      <c r="CJ77" s="217" t="str">
        <f t="shared" si="29"/>
        <v>lot9</v>
      </c>
      <c r="CK77" s="221">
        <f t="shared" si="30"/>
        <v>0</v>
      </c>
      <c r="CL77" s="221">
        <f t="shared" si="30"/>
        <v>0</v>
      </c>
      <c r="CM77" s="221">
        <f t="shared" si="30"/>
        <v>0</v>
      </c>
      <c r="CN77" s="221">
        <f t="shared" si="30"/>
        <v>0</v>
      </c>
      <c r="CO77" s="221">
        <f t="shared" si="30"/>
        <v>0</v>
      </c>
      <c r="CP77" s="221">
        <f t="shared" si="30"/>
        <v>0</v>
      </c>
      <c r="CQ77" s="221">
        <f t="shared" si="30"/>
        <v>0</v>
      </c>
      <c r="CR77" s="221">
        <f t="shared" si="30"/>
        <v>0</v>
      </c>
      <c r="CS77" s="221">
        <f t="shared" si="30"/>
        <v>0</v>
      </c>
      <c r="CT77" s="221">
        <f t="shared" si="30"/>
        <v>0</v>
      </c>
      <c r="CU77" s="221">
        <f t="shared" si="30"/>
        <v>0</v>
      </c>
      <c r="CV77" s="221">
        <f t="shared" si="30"/>
        <v>0</v>
      </c>
      <c r="CW77" s="221">
        <f t="shared" si="30"/>
        <v>0</v>
      </c>
      <c r="CX77" s="221">
        <f t="shared" si="30"/>
        <v>0</v>
      </c>
      <c r="CY77" s="221">
        <f t="shared" si="30"/>
        <v>0</v>
      </c>
      <c r="CZ77" s="221">
        <f t="shared" si="30"/>
        <v>0</v>
      </c>
      <c r="DA77" s="221">
        <f t="shared" si="30"/>
        <v>0</v>
      </c>
      <c r="DB77" s="221">
        <f t="shared" si="30"/>
        <v>0</v>
      </c>
      <c r="DC77" s="221">
        <f t="shared" si="30"/>
        <v>0</v>
      </c>
      <c r="DD77" s="221">
        <f t="shared" si="30"/>
        <v>0</v>
      </c>
      <c r="DE77" s="221">
        <f t="shared" si="30"/>
        <v>0</v>
      </c>
      <c r="DF77" s="221">
        <f t="shared" si="30"/>
        <v>0</v>
      </c>
      <c r="DG77" s="221">
        <f t="shared" si="30"/>
        <v>0</v>
      </c>
      <c r="DH77" s="221">
        <f t="shared" si="30"/>
        <v>0</v>
      </c>
      <c r="DI77" s="217"/>
      <c r="DJ77" s="217"/>
      <c r="DK77" s="218"/>
      <c r="DL77" s="217" t="str">
        <f t="shared" si="31"/>
        <v>lot9</v>
      </c>
      <c r="DM77" s="221">
        <f t="shared" si="32"/>
        <v>0</v>
      </c>
      <c r="DN77" s="221">
        <f t="shared" si="32"/>
        <v>0</v>
      </c>
      <c r="DO77" s="221">
        <f t="shared" si="32"/>
        <v>0</v>
      </c>
      <c r="DP77" s="221">
        <f t="shared" si="32"/>
        <v>0</v>
      </c>
      <c r="DQ77" s="221">
        <f t="shared" si="32"/>
        <v>0</v>
      </c>
      <c r="DR77" s="221">
        <f t="shared" si="32"/>
        <v>0</v>
      </c>
      <c r="DS77" s="221">
        <f t="shared" si="32"/>
        <v>0</v>
      </c>
      <c r="DT77" s="221">
        <f t="shared" si="32"/>
        <v>0</v>
      </c>
      <c r="DU77" s="221">
        <f t="shared" si="32"/>
        <v>0</v>
      </c>
      <c r="DV77" s="221">
        <f t="shared" si="32"/>
        <v>0</v>
      </c>
      <c r="DW77" s="221">
        <f t="shared" si="32"/>
        <v>0</v>
      </c>
      <c r="DX77" s="221">
        <f t="shared" si="32"/>
        <v>0</v>
      </c>
      <c r="DY77" s="221">
        <f t="shared" si="32"/>
        <v>0</v>
      </c>
      <c r="DZ77" s="221">
        <f t="shared" si="32"/>
        <v>0</v>
      </c>
      <c r="EA77" s="221">
        <f t="shared" si="32"/>
        <v>0</v>
      </c>
      <c r="EB77" s="221">
        <f t="shared" si="32"/>
        <v>0</v>
      </c>
      <c r="EC77" s="221">
        <f t="shared" si="32"/>
        <v>0</v>
      </c>
      <c r="ED77" s="221">
        <f t="shared" si="32"/>
        <v>0</v>
      </c>
      <c r="EE77" s="221">
        <f t="shared" si="32"/>
        <v>0</v>
      </c>
      <c r="EF77" s="221">
        <f t="shared" si="32"/>
        <v>0</v>
      </c>
      <c r="EG77" s="221">
        <f t="shared" si="32"/>
        <v>0</v>
      </c>
      <c r="EH77" s="221">
        <f t="shared" si="32"/>
        <v>0</v>
      </c>
      <c r="EI77" s="221">
        <f t="shared" si="32"/>
        <v>0</v>
      </c>
      <c r="EJ77" s="221">
        <f t="shared" si="32"/>
        <v>0</v>
      </c>
    </row>
    <row r="78" spans="1:143" x14ac:dyDescent="0.25">
      <c r="A78" s="225" t="s">
        <v>1004</v>
      </c>
      <c r="B78" s="229"/>
      <c r="C78" s="229"/>
      <c r="D78" s="229"/>
      <c r="E78" s="229"/>
      <c r="F78" s="229"/>
      <c r="G78" s="229"/>
      <c r="H78" s="229"/>
      <c r="I78" s="229"/>
      <c r="J78" s="229"/>
      <c r="K78" s="229"/>
      <c r="L78" s="229"/>
      <c r="M78" s="229"/>
      <c r="N78" s="229"/>
      <c r="O78" s="230"/>
      <c r="X78" s="217"/>
      <c r="Y78" s="217"/>
      <c r="Z78" s="217"/>
      <c r="AA78" s="217"/>
      <c r="AB78" s="217"/>
      <c r="AC78" s="217"/>
      <c r="AD78" s="217"/>
      <c r="AE78" s="217"/>
      <c r="AF78" s="217"/>
      <c r="AG78" s="217" t="str">
        <f t="shared" si="25"/>
        <v>lot10</v>
      </c>
      <c r="AH78" s="221">
        <f t="shared" si="26"/>
        <v>0</v>
      </c>
      <c r="AI78" s="221">
        <f t="shared" si="26"/>
        <v>0</v>
      </c>
      <c r="AJ78" s="221">
        <f t="shared" si="26"/>
        <v>0</v>
      </c>
      <c r="AK78" s="221">
        <f t="shared" si="26"/>
        <v>0</v>
      </c>
      <c r="AL78" s="221">
        <f t="shared" si="26"/>
        <v>0</v>
      </c>
      <c r="AM78" s="221">
        <f t="shared" si="26"/>
        <v>0</v>
      </c>
      <c r="AN78" s="221">
        <f t="shared" si="26"/>
        <v>0</v>
      </c>
      <c r="AO78" s="221">
        <f t="shared" si="26"/>
        <v>0</v>
      </c>
      <c r="AP78" s="221">
        <f t="shared" si="26"/>
        <v>0</v>
      </c>
      <c r="AQ78" s="221">
        <f t="shared" si="26"/>
        <v>0</v>
      </c>
      <c r="AR78" s="221">
        <f t="shared" si="26"/>
        <v>0</v>
      </c>
      <c r="AS78" s="221">
        <f t="shared" si="26"/>
        <v>0</v>
      </c>
      <c r="AT78" s="221">
        <f t="shared" si="26"/>
        <v>0</v>
      </c>
      <c r="AU78" s="221">
        <f t="shared" si="26"/>
        <v>0</v>
      </c>
      <c r="AV78" s="221">
        <f t="shared" si="26"/>
        <v>0</v>
      </c>
      <c r="AW78" s="221">
        <f t="shared" si="26"/>
        <v>0</v>
      </c>
      <c r="AX78" s="221">
        <f t="shared" si="26"/>
        <v>0</v>
      </c>
      <c r="AY78" s="221">
        <f t="shared" si="26"/>
        <v>0</v>
      </c>
      <c r="AZ78" s="221">
        <f t="shared" si="26"/>
        <v>0</v>
      </c>
      <c r="BA78" s="221">
        <f t="shared" si="26"/>
        <v>0</v>
      </c>
      <c r="BB78" s="221">
        <f t="shared" si="26"/>
        <v>0</v>
      </c>
      <c r="BC78" s="221">
        <f t="shared" si="26"/>
        <v>0</v>
      </c>
      <c r="BD78" s="221">
        <f t="shared" si="26"/>
        <v>0</v>
      </c>
      <c r="BE78" s="221">
        <f t="shared" si="26"/>
        <v>0</v>
      </c>
      <c r="BF78" s="217"/>
      <c r="BG78" s="218"/>
      <c r="BH78" s="217" t="str">
        <f t="shared" si="27"/>
        <v>lot10</v>
      </c>
      <c r="BI78" s="217">
        <f t="shared" si="28"/>
        <v>0</v>
      </c>
      <c r="BJ78" s="217">
        <f t="shared" si="28"/>
        <v>0</v>
      </c>
      <c r="BK78" s="217">
        <f t="shared" si="28"/>
        <v>0</v>
      </c>
      <c r="BL78" s="217">
        <f t="shared" si="28"/>
        <v>0</v>
      </c>
      <c r="BM78" s="217">
        <f t="shared" si="28"/>
        <v>0</v>
      </c>
      <c r="BN78" s="217">
        <f t="shared" si="28"/>
        <v>0</v>
      </c>
      <c r="BO78" s="217">
        <f t="shared" si="28"/>
        <v>0</v>
      </c>
      <c r="BP78" s="217">
        <f t="shared" si="28"/>
        <v>0</v>
      </c>
      <c r="BQ78" s="217">
        <f t="shared" si="28"/>
        <v>0</v>
      </c>
      <c r="BR78" s="217">
        <f t="shared" si="28"/>
        <v>0</v>
      </c>
      <c r="BS78" s="217">
        <f t="shared" si="28"/>
        <v>0</v>
      </c>
      <c r="BT78" s="217">
        <f t="shared" si="28"/>
        <v>0</v>
      </c>
      <c r="BU78" s="217">
        <f t="shared" si="28"/>
        <v>0</v>
      </c>
      <c r="BV78" s="217">
        <f t="shared" si="28"/>
        <v>0</v>
      </c>
      <c r="BW78" s="217">
        <f t="shared" si="28"/>
        <v>0</v>
      </c>
      <c r="BX78" s="217">
        <f t="shared" si="28"/>
        <v>0</v>
      </c>
      <c r="BY78" s="217">
        <f t="shared" si="28"/>
        <v>0</v>
      </c>
      <c r="BZ78" s="217">
        <f t="shared" si="28"/>
        <v>0</v>
      </c>
      <c r="CA78" s="217">
        <f t="shared" si="28"/>
        <v>0</v>
      </c>
      <c r="CB78" s="217">
        <f t="shared" si="28"/>
        <v>0</v>
      </c>
      <c r="CC78" s="217">
        <f t="shared" si="28"/>
        <v>0</v>
      </c>
      <c r="CD78" s="217">
        <f t="shared" si="28"/>
        <v>0</v>
      </c>
      <c r="CE78" s="217">
        <f t="shared" si="28"/>
        <v>0</v>
      </c>
      <c r="CF78" s="217">
        <f t="shared" si="28"/>
        <v>0</v>
      </c>
      <c r="CG78" s="217"/>
      <c r="CH78" s="217"/>
      <c r="CI78" s="218"/>
      <c r="CJ78" s="217" t="str">
        <f t="shared" si="29"/>
        <v>lot10</v>
      </c>
      <c r="CK78" s="221">
        <f t="shared" si="30"/>
        <v>0</v>
      </c>
      <c r="CL78" s="221">
        <f t="shared" si="30"/>
        <v>0</v>
      </c>
      <c r="CM78" s="221">
        <f t="shared" si="30"/>
        <v>0</v>
      </c>
      <c r="CN78" s="221">
        <f t="shared" si="30"/>
        <v>0</v>
      </c>
      <c r="CO78" s="221">
        <f t="shared" si="30"/>
        <v>0</v>
      </c>
      <c r="CP78" s="221">
        <f t="shared" si="30"/>
        <v>0</v>
      </c>
      <c r="CQ78" s="221">
        <f t="shared" si="30"/>
        <v>0</v>
      </c>
      <c r="CR78" s="221">
        <f t="shared" si="30"/>
        <v>0</v>
      </c>
      <c r="CS78" s="221">
        <f t="shared" si="30"/>
        <v>0</v>
      </c>
      <c r="CT78" s="221">
        <f t="shared" si="30"/>
        <v>0</v>
      </c>
      <c r="CU78" s="221">
        <f t="shared" si="30"/>
        <v>0</v>
      </c>
      <c r="CV78" s="221">
        <f t="shared" si="30"/>
        <v>0</v>
      </c>
      <c r="CW78" s="221">
        <f t="shared" si="30"/>
        <v>0</v>
      </c>
      <c r="CX78" s="221">
        <f t="shared" si="30"/>
        <v>0</v>
      </c>
      <c r="CY78" s="221">
        <f t="shared" si="30"/>
        <v>0</v>
      </c>
      <c r="CZ78" s="221">
        <f t="shared" si="30"/>
        <v>0</v>
      </c>
      <c r="DA78" s="221">
        <f t="shared" si="30"/>
        <v>0</v>
      </c>
      <c r="DB78" s="221">
        <f t="shared" si="30"/>
        <v>0</v>
      </c>
      <c r="DC78" s="221">
        <f t="shared" si="30"/>
        <v>0</v>
      </c>
      <c r="DD78" s="221">
        <f t="shared" si="30"/>
        <v>0</v>
      </c>
      <c r="DE78" s="221">
        <f t="shared" si="30"/>
        <v>0</v>
      </c>
      <c r="DF78" s="221">
        <f t="shared" si="30"/>
        <v>0</v>
      </c>
      <c r="DG78" s="221">
        <f t="shared" si="30"/>
        <v>0</v>
      </c>
      <c r="DH78" s="221">
        <f t="shared" si="30"/>
        <v>0</v>
      </c>
      <c r="DI78" s="217"/>
      <c r="DJ78" s="217"/>
      <c r="DK78" s="218"/>
      <c r="DL78" s="217" t="str">
        <f t="shared" si="31"/>
        <v>lot10</v>
      </c>
      <c r="DM78" s="221">
        <f t="shared" si="32"/>
        <v>0</v>
      </c>
      <c r="DN78" s="221">
        <f t="shared" si="32"/>
        <v>0</v>
      </c>
      <c r="DO78" s="221">
        <f t="shared" si="32"/>
        <v>0</v>
      </c>
      <c r="DP78" s="221">
        <f t="shared" si="32"/>
        <v>0</v>
      </c>
      <c r="DQ78" s="221">
        <f t="shared" si="32"/>
        <v>0</v>
      </c>
      <c r="DR78" s="221">
        <f t="shared" si="32"/>
        <v>0</v>
      </c>
      <c r="DS78" s="221">
        <f t="shared" si="32"/>
        <v>0</v>
      </c>
      <c r="DT78" s="221">
        <f t="shared" si="32"/>
        <v>0</v>
      </c>
      <c r="DU78" s="221">
        <f t="shared" si="32"/>
        <v>0</v>
      </c>
      <c r="DV78" s="221">
        <f t="shared" si="32"/>
        <v>0</v>
      </c>
      <c r="DW78" s="221">
        <f t="shared" si="32"/>
        <v>0</v>
      </c>
      <c r="DX78" s="221">
        <f t="shared" si="32"/>
        <v>0</v>
      </c>
      <c r="DY78" s="221">
        <f t="shared" si="32"/>
        <v>0</v>
      </c>
      <c r="DZ78" s="221">
        <f t="shared" si="32"/>
        <v>0</v>
      </c>
      <c r="EA78" s="221">
        <f t="shared" si="32"/>
        <v>0</v>
      </c>
      <c r="EB78" s="221">
        <f t="shared" si="32"/>
        <v>0</v>
      </c>
      <c r="EC78" s="221">
        <f t="shared" si="32"/>
        <v>0</v>
      </c>
      <c r="ED78" s="221">
        <f t="shared" si="32"/>
        <v>0</v>
      </c>
      <c r="EE78" s="221">
        <f t="shared" si="32"/>
        <v>0</v>
      </c>
      <c r="EF78" s="221">
        <f t="shared" si="32"/>
        <v>0</v>
      </c>
      <c r="EG78" s="221">
        <f t="shared" si="32"/>
        <v>0</v>
      </c>
      <c r="EH78" s="221">
        <f t="shared" si="32"/>
        <v>0</v>
      </c>
      <c r="EI78" s="221">
        <f t="shared" si="32"/>
        <v>0</v>
      </c>
      <c r="EJ78" s="221">
        <f t="shared" si="32"/>
        <v>0</v>
      </c>
    </row>
    <row r="79" spans="1:143" x14ac:dyDescent="0.25">
      <c r="X79" s="217"/>
      <c r="Y79" s="217"/>
      <c r="Z79" s="217"/>
      <c r="AA79" s="217"/>
      <c r="AB79" s="217"/>
      <c r="AC79" s="217"/>
      <c r="AD79" s="217"/>
      <c r="AE79" s="217"/>
      <c r="AF79" s="217" t="s">
        <v>670</v>
      </c>
      <c r="AG79" s="219" t="e">
        <f ca="1">SUM(AH69:BE78)</f>
        <v>#REF!</v>
      </c>
      <c r="AH79" s="217" t="s">
        <v>1005</v>
      </c>
      <c r="AI79" s="217"/>
      <c r="AJ79" s="217"/>
      <c r="AK79" s="217"/>
      <c r="AL79" s="217"/>
      <c r="AM79" s="217"/>
      <c r="AN79" s="217"/>
      <c r="AO79" s="217"/>
      <c r="AP79" s="217"/>
      <c r="AQ79" s="217"/>
      <c r="AR79" s="217"/>
      <c r="AS79" s="217"/>
      <c r="AT79" s="217"/>
      <c r="AU79" s="217"/>
      <c r="AV79" s="217"/>
      <c r="AW79" s="217"/>
      <c r="AX79" s="217"/>
      <c r="AY79" s="217"/>
      <c r="AZ79" s="217"/>
      <c r="BA79" s="217"/>
      <c r="BB79" s="217"/>
      <c r="BC79" s="217"/>
      <c r="BD79" s="217"/>
      <c r="BE79" s="217"/>
      <c r="BF79" s="217"/>
      <c r="BG79" s="218" t="s">
        <v>670</v>
      </c>
      <c r="BH79" s="217">
        <f>SUM(BI69:CF78)</f>
        <v>0</v>
      </c>
      <c r="BI79" s="217" t="s">
        <v>1005</v>
      </c>
      <c r="BJ79" s="217"/>
      <c r="BK79" s="217"/>
      <c r="BL79" s="217"/>
      <c r="BM79" s="217"/>
      <c r="BN79" s="217"/>
      <c r="BO79" s="217"/>
      <c r="BP79" s="217"/>
      <c r="BQ79" s="217"/>
      <c r="BR79" s="217"/>
      <c r="BS79" s="217"/>
      <c r="BT79" s="217"/>
      <c r="BU79" s="217"/>
      <c r="BV79" s="217"/>
      <c r="BW79" s="217"/>
      <c r="BX79" s="217"/>
      <c r="BY79" s="217"/>
      <c r="BZ79" s="217"/>
      <c r="CA79" s="217"/>
      <c r="CB79" s="217"/>
      <c r="CC79" s="217"/>
      <c r="CD79" s="217"/>
      <c r="CE79" s="217"/>
      <c r="CF79" s="217"/>
      <c r="CG79" s="217"/>
      <c r="CH79" s="217"/>
      <c r="CI79" s="218" t="s">
        <v>670</v>
      </c>
      <c r="CJ79" s="217">
        <f>SUM(CK69:DH78)</f>
        <v>0</v>
      </c>
      <c r="CK79" s="217" t="s">
        <v>1005</v>
      </c>
      <c r="CL79" s="217"/>
      <c r="CM79" s="217"/>
      <c r="CN79" s="217"/>
      <c r="CO79" s="217"/>
      <c r="CP79" s="217"/>
      <c r="CQ79" s="217"/>
      <c r="CR79" s="217"/>
      <c r="CS79" s="217"/>
      <c r="CT79" s="217"/>
      <c r="CU79" s="217"/>
      <c r="CV79" s="217"/>
      <c r="CW79" s="217"/>
      <c r="CX79" s="217"/>
      <c r="CY79" s="217"/>
      <c r="CZ79" s="217"/>
      <c r="DA79" s="217"/>
      <c r="DB79" s="217"/>
      <c r="DC79" s="217"/>
      <c r="DD79" s="217"/>
      <c r="DE79" s="217"/>
      <c r="DF79" s="217"/>
      <c r="DG79" s="217"/>
      <c r="DH79" s="217"/>
      <c r="DI79" s="217"/>
      <c r="DJ79" s="217"/>
      <c r="DK79" s="218" t="s">
        <v>670</v>
      </c>
      <c r="DL79" s="217">
        <f>SUM(DM69:EJ78)</f>
        <v>0</v>
      </c>
      <c r="DM79" s="217" t="s">
        <v>1005</v>
      </c>
      <c r="DN79" s="217"/>
      <c r="DO79" s="217"/>
      <c r="DP79" s="217"/>
      <c r="DQ79" s="217"/>
      <c r="DR79" s="217"/>
      <c r="DS79" s="217"/>
      <c r="DT79" s="217"/>
      <c r="DU79" s="217"/>
      <c r="DV79" s="217"/>
      <c r="DW79" s="217"/>
      <c r="DX79" s="217"/>
      <c r="DY79" s="217"/>
      <c r="DZ79" s="217"/>
      <c r="EA79" s="217"/>
      <c r="EB79" s="217"/>
      <c r="EC79" s="217"/>
      <c r="ED79" s="217"/>
      <c r="EE79" s="217"/>
      <c r="EF79" s="217"/>
      <c r="EG79" s="217"/>
      <c r="EH79" s="217"/>
      <c r="EI79" s="217"/>
      <c r="EJ79" s="217"/>
    </row>
    <row r="80" spans="1:143" x14ac:dyDescent="0.25">
      <c r="A80" s="2" t="s">
        <v>1006</v>
      </c>
      <c r="D80" s="33" t="s">
        <v>1007</v>
      </c>
      <c r="X80" s="217"/>
      <c r="Y80" s="217"/>
      <c r="Z80" s="217"/>
      <c r="AA80" s="217"/>
      <c r="AB80" s="217"/>
      <c r="AC80" s="217"/>
      <c r="AD80" s="217"/>
      <c r="AE80" s="217"/>
      <c r="AF80" s="218"/>
      <c r="AG80" s="217"/>
      <c r="AH80" s="217"/>
      <c r="AI80" s="217"/>
      <c r="AJ80" s="217"/>
      <c r="AK80" s="217"/>
      <c r="AL80" s="217"/>
      <c r="AM80" s="217"/>
      <c r="AN80" s="217"/>
      <c r="AO80" s="217"/>
      <c r="AP80" s="217"/>
      <c r="AQ80" s="217"/>
      <c r="AR80" s="217"/>
      <c r="AS80" s="217"/>
      <c r="AT80" s="217"/>
      <c r="AU80" s="217"/>
      <c r="AV80" s="217"/>
      <c r="AW80" s="217"/>
      <c r="AX80" s="217"/>
      <c r="AY80" s="217"/>
      <c r="AZ80" s="217"/>
      <c r="BA80" s="217"/>
      <c r="BB80" s="217"/>
      <c r="BC80" s="217"/>
      <c r="BD80" s="217"/>
      <c r="BE80" s="217"/>
      <c r="BF80" s="217"/>
      <c r="BG80" s="218"/>
      <c r="BH80" s="217"/>
      <c r="BI80" s="217"/>
      <c r="BJ80" s="217"/>
      <c r="BK80" s="217"/>
      <c r="BL80" s="217"/>
      <c r="BM80" s="217"/>
      <c r="BN80" s="217"/>
      <c r="BO80" s="217"/>
      <c r="BP80" s="217"/>
      <c r="BQ80" s="217"/>
      <c r="BR80" s="217"/>
      <c r="BS80" s="217"/>
      <c r="BT80" s="217"/>
      <c r="BU80" s="217"/>
      <c r="BV80" s="217"/>
      <c r="BW80" s="217"/>
      <c r="BX80" s="217"/>
      <c r="BY80" s="217"/>
      <c r="BZ80" s="217"/>
      <c r="CA80" s="217"/>
      <c r="CB80" s="217"/>
      <c r="CC80" s="217"/>
      <c r="CD80" s="217"/>
      <c r="CE80" s="217"/>
      <c r="CF80" s="217"/>
      <c r="CG80" s="217"/>
      <c r="CH80" s="217"/>
      <c r="CI80" s="217"/>
      <c r="CJ80" s="217"/>
      <c r="CK80" s="217"/>
      <c r="CL80" s="217"/>
      <c r="CM80" s="217"/>
      <c r="CN80" s="217"/>
      <c r="CO80" s="217"/>
      <c r="CP80" s="217"/>
      <c r="CQ80" s="217"/>
      <c r="CR80" s="217"/>
      <c r="CS80" s="217"/>
      <c r="CT80" s="217"/>
      <c r="CU80" s="217"/>
      <c r="CV80" s="217"/>
      <c r="CW80" s="217"/>
      <c r="CX80" s="217"/>
      <c r="CY80" s="217"/>
      <c r="CZ80" s="217"/>
      <c r="DA80" s="217"/>
      <c r="DB80" s="217"/>
      <c r="DC80" s="217"/>
      <c r="DD80" s="217"/>
      <c r="DE80" s="217"/>
      <c r="DF80" s="217"/>
      <c r="DG80" s="217"/>
      <c r="DH80" s="217"/>
      <c r="DI80" s="217"/>
      <c r="DJ80" s="217"/>
      <c r="DK80" s="217"/>
      <c r="DL80" s="217"/>
      <c r="DM80" s="217"/>
      <c r="DN80" s="217"/>
      <c r="DO80" s="217"/>
      <c r="DP80" s="217"/>
      <c r="DQ80" s="217"/>
      <c r="DR80" s="217"/>
      <c r="DS80" s="217"/>
      <c r="DT80" s="217"/>
      <c r="DU80" s="217"/>
      <c r="DV80" s="217"/>
      <c r="DW80" s="217"/>
      <c r="DX80" s="217"/>
      <c r="DY80" s="217"/>
      <c r="DZ80" s="217"/>
      <c r="EA80" s="217"/>
      <c r="EB80" s="217"/>
      <c r="EC80" s="217"/>
      <c r="ED80" s="217"/>
      <c r="EE80" s="217"/>
      <c r="EF80" s="217"/>
      <c r="EG80" s="217"/>
      <c r="EH80" s="217"/>
      <c r="EI80" s="217"/>
      <c r="EJ80" s="217"/>
    </row>
    <row r="81" spans="1:143" x14ac:dyDescent="0.25">
      <c r="A81" s="2" t="s">
        <v>1008</v>
      </c>
      <c r="C81" s="36" t="s">
        <v>1009</v>
      </c>
      <c r="D81" s="171" t="str">
        <f>Troupeau!B3</f>
        <v>OL</v>
      </c>
      <c r="E81" s="171" t="str">
        <f>Troupeau!C3</f>
        <v>BV</v>
      </c>
      <c r="F81" s="171">
        <f>Troupeau!D3</f>
        <v>0</v>
      </c>
      <c r="J81" s="171" t="s">
        <v>13</v>
      </c>
      <c r="K81" s="171" t="str">
        <f>Troupeau!B3</f>
        <v>OL</v>
      </c>
      <c r="L81" s="171" t="str">
        <f>Troupeau!C3</f>
        <v>BV</v>
      </c>
      <c r="M81" s="171">
        <f>Troupeau!D3</f>
        <v>0</v>
      </c>
      <c r="P81" s="223"/>
      <c r="Q81" s="223"/>
      <c r="R81" s="223"/>
      <c r="S81" s="223"/>
      <c r="T81" s="223"/>
      <c r="U81" s="223"/>
      <c r="V81" s="223"/>
      <c r="W81" s="223"/>
      <c r="X81" s="223"/>
      <c r="Y81" s="223"/>
      <c r="Z81" s="223"/>
      <c r="AA81" s="223"/>
      <c r="AB81" s="223"/>
      <c r="AC81" s="223"/>
      <c r="AD81" s="223"/>
      <c r="AE81" s="223"/>
      <c r="AF81" s="223"/>
      <c r="AG81" s="223"/>
      <c r="AH81" s="223"/>
      <c r="AI81" s="223"/>
      <c r="AJ81" s="223"/>
      <c r="AK81" s="223"/>
      <c r="AL81" s="176"/>
      <c r="AM81" s="223"/>
      <c r="AN81" s="223"/>
      <c r="AO81" s="223"/>
      <c r="AP81" s="223"/>
      <c r="AQ81" s="223"/>
      <c r="AR81" s="223"/>
      <c r="AS81" s="223"/>
      <c r="AT81" s="223"/>
      <c r="AU81" s="223"/>
      <c r="AV81" s="223"/>
      <c r="AW81" s="223"/>
      <c r="AX81" s="223"/>
      <c r="AY81" s="223"/>
      <c r="AZ81" s="223"/>
      <c r="BA81" s="223"/>
      <c r="BB81" s="223"/>
      <c r="BC81" s="223"/>
      <c r="BD81" s="223"/>
      <c r="BE81" s="223"/>
      <c r="BF81" s="223"/>
      <c r="BG81" s="19"/>
      <c r="BH81" s="223"/>
      <c r="BI81" s="223"/>
      <c r="BJ81" s="223"/>
      <c r="BK81" s="223"/>
      <c r="BL81" s="223"/>
      <c r="BM81" s="223"/>
      <c r="BN81" s="223"/>
      <c r="BO81" s="223"/>
      <c r="BP81" s="223"/>
      <c r="BQ81" s="223"/>
      <c r="BR81" s="223"/>
      <c r="BS81" s="223"/>
      <c r="BT81" s="223"/>
      <c r="BU81" s="223"/>
      <c r="BV81" s="223"/>
      <c r="BW81" s="223"/>
      <c r="BX81" s="223"/>
      <c r="BY81" s="223"/>
      <c r="BZ81" s="223"/>
      <c r="CA81" s="223"/>
      <c r="CB81" s="223"/>
      <c r="CC81" s="223"/>
      <c r="CD81" s="223"/>
      <c r="CE81" s="223"/>
      <c r="CF81" s="223"/>
      <c r="CG81" s="223"/>
      <c r="CH81" s="223"/>
      <c r="CI81" s="223"/>
      <c r="CJ81" s="223"/>
      <c r="CK81" s="223"/>
      <c r="CL81" s="223"/>
      <c r="CM81" s="223"/>
      <c r="CN81" s="223"/>
      <c r="CO81" s="223"/>
      <c r="CP81" s="223"/>
      <c r="CQ81" s="223"/>
      <c r="CR81" s="223"/>
      <c r="CS81" s="223"/>
      <c r="CT81" s="223"/>
      <c r="CU81" s="223"/>
      <c r="CV81" s="223"/>
      <c r="CW81" s="223"/>
      <c r="CX81" s="223"/>
      <c r="CY81" s="223"/>
      <c r="CZ81" s="223"/>
      <c r="DA81" s="223"/>
      <c r="DB81" s="223"/>
      <c r="DC81" s="223"/>
      <c r="DD81" s="223"/>
      <c r="DE81" s="223"/>
      <c r="DF81" s="223"/>
      <c r="DG81" s="223"/>
      <c r="DH81" s="223"/>
      <c r="DI81" s="223"/>
      <c r="DJ81" s="223"/>
      <c r="DK81" s="223"/>
      <c r="DL81" s="223"/>
      <c r="DM81" s="223"/>
      <c r="DN81" s="223"/>
      <c r="DO81" s="223"/>
      <c r="DP81" s="223"/>
      <c r="DQ81" s="223"/>
      <c r="DR81" s="223"/>
      <c r="DS81" s="223"/>
      <c r="DT81" s="223"/>
      <c r="DU81" s="223"/>
      <c r="DV81" s="223"/>
      <c r="DW81" s="223"/>
      <c r="DX81" s="223"/>
      <c r="DY81" s="223"/>
      <c r="DZ81" s="223"/>
      <c r="EA81" s="223"/>
      <c r="EB81" s="223"/>
      <c r="EC81" s="223"/>
      <c r="ED81" s="223"/>
      <c r="EE81" s="223"/>
      <c r="EF81" s="223"/>
      <c r="EG81" s="223"/>
      <c r="EH81" s="223"/>
      <c r="EI81" s="223"/>
      <c r="EJ81" s="223"/>
      <c r="EK81" s="223"/>
      <c r="EL81" s="223"/>
      <c r="EM81" s="223"/>
    </row>
    <row r="82" spans="1:143" x14ac:dyDescent="0.25">
      <c r="A82" s="223" t="str">
        <f>'Conduite Trp'!B11</f>
        <v>1 -maïs-grain</v>
      </c>
      <c r="C82" s="190">
        <f>[1]Conc!$D5</f>
        <v>200</v>
      </c>
      <c r="D82" s="173">
        <f>BY89+CC89</f>
        <v>21.7</v>
      </c>
      <c r="E82" s="173">
        <f t="shared" ref="E82:F97" si="33">BZ89+CD89</f>
        <v>0</v>
      </c>
      <c r="F82" s="173">
        <f t="shared" si="33"/>
        <v>0</v>
      </c>
      <c r="J82" s="173">
        <f>SUM(K82:M82)</f>
        <v>4340</v>
      </c>
      <c r="K82" s="173">
        <f>$C82*D82</f>
        <v>4340</v>
      </c>
      <c r="L82" s="173">
        <f t="shared" ref="L82:M97" si="34">$C82*E82</f>
        <v>0</v>
      </c>
      <c r="M82" s="173">
        <f t="shared" si="34"/>
        <v>0</v>
      </c>
      <c r="X82" s="14" t="s">
        <v>1010</v>
      </c>
      <c r="Y82" s="173">
        <f>B14</f>
        <v>0</v>
      </c>
    </row>
    <row r="83" spans="1:143" x14ac:dyDescent="0.25">
      <c r="A83" s="223" t="str">
        <f>'Conduite Trp'!B12</f>
        <v>2 -grain céréales à paille</v>
      </c>
      <c r="C83" s="190">
        <f>[1]Conc!$D6</f>
        <v>165</v>
      </c>
      <c r="D83" s="173">
        <f t="shared" ref="D83:F103" si="35">BY90+CC90</f>
        <v>0</v>
      </c>
      <c r="E83" s="173">
        <f t="shared" si="33"/>
        <v>0</v>
      </c>
      <c r="F83" s="173">
        <f t="shared" si="33"/>
        <v>0</v>
      </c>
      <c r="J83" s="173">
        <f t="shared" ref="J83:J106" si="36">SUM(K83:M83)</f>
        <v>0</v>
      </c>
      <c r="K83" s="173">
        <f t="shared" ref="K83:M106" si="37">$C83*D83</f>
        <v>0</v>
      </c>
      <c r="L83" s="173">
        <f t="shared" si="34"/>
        <v>0</v>
      </c>
      <c r="M83" s="173">
        <f t="shared" si="34"/>
        <v>0</v>
      </c>
      <c r="Q83" s="2" t="s">
        <v>1011</v>
      </c>
      <c r="X83" s="14" t="s">
        <v>1012</v>
      </c>
      <c r="Y83" s="173">
        <f>U12</f>
        <v>0</v>
      </c>
    </row>
    <row r="84" spans="1:143" x14ac:dyDescent="0.25">
      <c r="A84" s="223" t="str">
        <f>'Conduite Trp'!B13</f>
        <v>3 -graines protéagineux</v>
      </c>
      <c r="C84" s="190">
        <f>[1]Conc!$D7</f>
        <v>0</v>
      </c>
      <c r="D84" s="173">
        <f t="shared" si="35"/>
        <v>0</v>
      </c>
      <c r="E84" s="173">
        <f t="shared" si="33"/>
        <v>0</v>
      </c>
      <c r="F84" s="173">
        <f t="shared" si="33"/>
        <v>0</v>
      </c>
      <c r="J84" s="173">
        <f t="shared" si="36"/>
        <v>0</v>
      </c>
      <c r="K84" s="173">
        <f t="shared" si="37"/>
        <v>0</v>
      </c>
      <c r="L84" s="173">
        <f t="shared" si="34"/>
        <v>0</v>
      </c>
      <c r="M84" s="173">
        <f t="shared" si="34"/>
        <v>0</v>
      </c>
      <c r="X84" s="14" t="s">
        <v>1013</v>
      </c>
      <c r="Y84" s="173">
        <f>V12</f>
        <v>0</v>
      </c>
    </row>
    <row r="85" spans="1:143" x14ac:dyDescent="0.25">
      <c r="A85" s="223" t="str">
        <f>'Conduite Trp'!B14</f>
        <v>4 -</v>
      </c>
      <c r="C85" s="190">
        <f>[1]Conc!$D8</f>
        <v>0</v>
      </c>
      <c r="D85" s="173">
        <f t="shared" si="35"/>
        <v>0</v>
      </c>
      <c r="E85" s="173">
        <f t="shared" si="33"/>
        <v>0</v>
      </c>
      <c r="F85" s="173">
        <f t="shared" si="33"/>
        <v>0</v>
      </c>
      <c r="J85" s="173">
        <f t="shared" si="36"/>
        <v>0</v>
      </c>
      <c r="K85" s="173">
        <f t="shared" si="37"/>
        <v>0</v>
      </c>
      <c r="L85" s="173">
        <f t="shared" si="34"/>
        <v>0</v>
      </c>
      <c r="M85" s="173">
        <f t="shared" si="34"/>
        <v>0</v>
      </c>
      <c r="X85" s="14" t="s">
        <v>1014</v>
      </c>
      <c r="Y85" s="173">
        <f>W12</f>
        <v>0</v>
      </c>
    </row>
    <row r="86" spans="1:143" x14ac:dyDescent="0.25">
      <c r="A86" s="223" t="str">
        <f>'Conduite Trp'!B15</f>
        <v>5 -</v>
      </c>
      <c r="C86" s="190">
        <f>[1]Conc!$D9</f>
        <v>0</v>
      </c>
      <c r="D86" s="173">
        <f t="shared" si="35"/>
        <v>0</v>
      </c>
      <c r="E86" s="173">
        <f t="shared" si="33"/>
        <v>0</v>
      </c>
      <c r="F86" s="173">
        <f t="shared" si="33"/>
        <v>0</v>
      </c>
      <c r="J86" s="173">
        <f t="shared" si="36"/>
        <v>0</v>
      </c>
      <c r="K86" s="173">
        <f t="shared" si="37"/>
        <v>0</v>
      </c>
      <c r="L86" s="173">
        <f t="shared" si="34"/>
        <v>0</v>
      </c>
      <c r="M86" s="173">
        <f t="shared" si="34"/>
        <v>0</v>
      </c>
    </row>
    <row r="87" spans="1:143" x14ac:dyDescent="0.25">
      <c r="A87" s="223" t="str">
        <f>'Conduite Trp'!B16</f>
        <v>6 -tourteaux soja</v>
      </c>
      <c r="C87" s="190">
        <f>[1]Conc!$D10</f>
        <v>408</v>
      </c>
      <c r="D87" s="173">
        <f t="shared" si="35"/>
        <v>0</v>
      </c>
      <c r="E87" s="173">
        <f t="shared" si="33"/>
        <v>0</v>
      </c>
      <c r="F87" s="173">
        <f t="shared" si="33"/>
        <v>0</v>
      </c>
      <c r="J87" s="173">
        <f t="shared" si="36"/>
        <v>0</v>
      </c>
      <c r="K87" s="173">
        <f t="shared" si="37"/>
        <v>0</v>
      </c>
      <c r="L87" s="173">
        <f t="shared" si="34"/>
        <v>0</v>
      </c>
      <c r="M87" s="173">
        <f t="shared" si="34"/>
        <v>0</v>
      </c>
      <c r="R87" s="2" t="s">
        <v>421</v>
      </c>
      <c r="U87" s="17"/>
      <c r="Y87" t="s">
        <v>1015</v>
      </c>
      <c r="AB87" t="s">
        <v>87</v>
      </c>
      <c r="AL87"/>
      <c r="BG87"/>
      <c r="BY87" t="s">
        <v>912</v>
      </c>
      <c r="CC87" t="s">
        <v>1016</v>
      </c>
    </row>
    <row r="88" spans="1:143" x14ac:dyDescent="0.25">
      <c r="A88" s="223" t="str">
        <f>'Conduite Trp'!B17</f>
        <v>7 -luzerne déshydratée</v>
      </c>
      <c r="C88" s="190">
        <f>[1]Conc!$D11</f>
        <v>0</v>
      </c>
      <c r="D88" s="173">
        <f t="shared" si="35"/>
        <v>0</v>
      </c>
      <c r="E88" s="173">
        <f t="shared" si="33"/>
        <v>0</v>
      </c>
      <c r="F88" s="173">
        <f t="shared" si="33"/>
        <v>0</v>
      </c>
      <c r="J88" s="173">
        <f t="shared" si="36"/>
        <v>0</v>
      </c>
      <c r="K88" s="173">
        <f t="shared" si="37"/>
        <v>0</v>
      </c>
      <c r="L88" s="173">
        <f t="shared" si="34"/>
        <v>0</v>
      </c>
      <c r="M88" s="173">
        <f t="shared" si="34"/>
        <v>0</v>
      </c>
      <c r="U88" s="17"/>
      <c r="W88" t="s">
        <v>285</v>
      </c>
      <c r="X88" t="s">
        <v>286</v>
      </c>
      <c r="Y88" t="s">
        <v>1017</v>
      </c>
      <c r="Z88" t="s">
        <v>712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71" t="s">
        <v>886</v>
      </c>
      <c r="BZ88" s="171" t="s">
        <v>902</v>
      </c>
      <c r="CA88" s="171" t="s">
        <v>903</v>
      </c>
      <c r="CB88" s="171"/>
      <c r="CC88" s="171" t="s">
        <v>886</v>
      </c>
      <c r="CD88" s="171" t="s">
        <v>902</v>
      </c>
      <c r="CE88" s="171" t="s">
        <v>903</v>
      </c>
    </row>
    <row r="89" spans="1:143" x14ac:dyDescent="0.25">
      <c r="A89" s="223" t="str">
        <f>'Conduite Trp'!B18</f>
        <v>8 -CMV bovin allaitant</v>
      </c>
      <c r="C89" s="190">
        <f>[1]Conc!$D12</f>
        <v>0</v>
      </c>
      <c r="D89" s="173">
        <f t="shared" si="35"/>
        <v>0</v>
      </c>
      <c r="E89" s="173">
        <f t="shared" si="33"/>
        <v>0</v>
      </c>
      <c r="F89" s="173">
        <f t="shared" si="33"/>
        <v>0</v>
      </c>
      <c r="J89" s="173">
        <f t="shared" si="36"/>
        <v>0</v>
      </c>
      <c r="K89" s="173">
        <f t="shared" si="37"/>
        <v>0</v>
      </c>
      <c r="L89" s="173">
        <f t="shared" si="34"/>
        <v>0</v>
      </c>
      <c r="M89" s="173">
        <f t="shared" si="34"/>
        <v>0</v>
      </c>
      <c r="Q89" s="2" t="s">
        <v>94</v>
      </c>
      <c r="R89" t="s">
        <v>376</v>
      </c>
      <c r="T89" s="231">
        <v>36</v>
      </c>
      <c r="U89" s="231">
        <v>30</v>
      </c>
      <c r="W89" s="126">
        <f>HLOOKUP(Troupeau!J$17,[1]Anx!$C$170:$CO$215,T89)</f>
        <v>0</v>
      </c>
      <c r="X89" s="61">
        <f t="shared" ref="X89:X93" si="38"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Q93" si="39">IF($X89=AB$88,ROUND($Z89/1000,1),0)</f>
        <v>0</v>
      </c>
      <c r="AC89" s="54">
        <f t="shared" si="39"/>
        <v>0</v>
      </c>
      <c r="AD89" s="54">
        <f t="shared" si="39"/>
        <v>0</v>
      </c>
      <c r="AE89" s="54">
        <f t="shared" si="39"/>
        <v>0</v>
      </c>
      <c r="AF89" s="54">
        <f t="shared" si="39"/>
        <v>0</v>
      </c>
      <c r="AG89" s="54">
        <f t="shared" si="39"/>
        <v>0</v>
      </c>
      <c r="AH89" s="54">
        <f t="shared" si="39"/>
        <v>0</v>
      </c>
      <c r="AI89" s="54">
        <f t="shared" si="39"/>
        <v>0</v>
      </c>
      <c r="AJ89" s="54">
        <f t="shared" si="39"/>
        <v>0</v>
      </c>
      <c r="AK89" s="54">
        <f t="shared" si="39"/>
        <v>0</v>
      </c>
      <c r="AL89" s="54">
        <f t="shared" si="39"/>
        <v>0</v>
      </c>
      <c r="AM89" s="54">
        <f t="shared" si="39"/>
        <v>0</v>
      </c>
      <c r="AN89" s="54">
        <f t="shared" si="39"/>
        <v>0</v>
      </c>
      <c r="AO89" s="54">
        <f t="shared" si="39"/>
        <v>0</v>
      </c>
      <c r="AP89" s="54">
        <f t="shared" si="39"/>
        <v>0</v>
      </c>
      <c r="AQ89" s="54">
        <f t="shared" si="39"/>
        <v>0</v>
      </c>
      <c r="AR89" s="54">
        <f t="shared" ref="AR89:BG93" si="40">IF($X89=AR$88,ROUND($Z89/1000,1),0)</f>
        <v>0</v>
      </c>
      <c r="AS89" s="54">
        <f t="shared" si="40"/>
        <v>0</v>
      </c>
      <c r="AT89" s="54">
        <f t="shared" si="40"/>
        <v>0</v>
      </c>
      <c r="AU89" s="54">
        <f t="shared" si="40"/>
        <v>0</v>
      </c>
      <c r="AV89" s="54">
        <f t="shared" si="40"/>
        <v>0</v>
      </c>
      <c r="AW89" s="54">
        <f t="shared" si="40"/>
        <v>0</v>
      </c>
      <c r="AX89" s="54">
        <f t="shared" si="40"/>
        <v>0</v>
      </c>
      <c r="AY89" s="54">
        <f t="shared" si="40"/>
        <v>0</v>
      </c>
      <c r="AZ89" s="54">
        <f t="shared" si="40"/>
        <v>0</v>
      </c>
      <c r="BA89" s="54">
        <f t="shared" si="40"/>
        <v>0</v>
      </c>
      <c r="BB89" s="54">
        <f t="shared" si="40"/>
        <v>0</v>
      </c>
      <c r="BC89" s="54">
        <f t="shared" si="40"/>
        <v>0</v>
      </c>
      <c r="BD89" s="54">
        <f t="shared" si="40"/>
        <v>0</v>
      </c>
      <c r="BE89" s="54">
        <f t="shared" si="40"/>
        <v>0</v>
      </c>
      <c r="BF89" s="54">
        <f t="shared" si="40"/>
        <v>0</v>
      </c>
      <c r="BG89" s="54">
        <f t="shared" si="40"/>
        <v>0</v>
      </c>
      <c r="BH89" s="54">
        <f t="shared" ref="BH89:BV93" si="41">IF($X89=BH$88,ROUND($Z89/1000,1),0)</f>
        <v>0</v>
      </c>
      <c r="BI89" s="54">
        <f t="shared" si="41"/>
        <v>0</v>
      </c>
      <c r="BJ89" s="54">
        <f t="shared" si="41"/>
        <v>0</v>
      </c>
      <c r="BK89" s="54">
        <f t="shared" si="41"/>
        <v>0</v>
      </c>
      <c r="BL89" s="54">
        <f t="shared" si="41"/>
        <v>0</v>
      </c>
      <c r="BM89" s="54">
        <f t="shared" si="41"/>
        <v>0</v>
      </c>
      <c r="BN89" s="54">
        <f t="shared" si="41"/>
        <v>0</v>
      </c>
      <c r="BO89" s="54">
        <f t="shared" si="41"/>
        <v>0</v>
      </c>
      <c r="BP89" s="54">
        <f t="shared" si="41"/>
        <v>0</v>
      </c>
      <c r="BQ89" s="54">
        <f t="shared" si="41"/>
        <v>0</v>
      </c>
      <c r="BR89" s="54">
        <f t="shared" si="41"/>
        <v>0</v>
      </c>
      <c r="BS89" s="54">
        <f t="shared" si="41"/>
        <v>0</v>
      </c>
      <c r="BT89" s="54">
        <f t="shared" si="41"/>
        <v>0</v>
      </c>
      <c r="BU89" s="54">
        <f t="shared" si="41"/>
        <v>0</v>
      </c>
      <c r="BV89" s="54">
        <f t="shared" si="41"/>
        <v>0</v>
      </c>
      <c r="BX89">
        <v>1</v>
      </c>
      <c r="BY89" s="173">
        <f>+AB$94</f>
        <v>0</v>
      </c>
      <c r="BZ89" s="173">
        <f>+AB$101</f>
        <v>0</v>
      </c>
      <c r="CA89" s="173">
        <f>+AB$108</f>
        <v>0</v>
      </c>
      <c r="CC89" s="173">
        <f>CdTrp1!AK$54</f>
        <v>21.7</v>
      </c>
      <c r="CD89" s="173">
        <f>CdTrp2!AK$54</f>
        <v>0</v>
      </c>
      <c r="CE89" s="173">
        <f>CdTrp3!AK$54</f>
        <v>0</v>
      </c>
    </row>
    <row r="90" spans="1:143" x14ac:dyDescent="0.25">
      <c r="A90" s="223" t="str">
        <f>'Conduite Trp'!B19</f>
        <v>9 -croissance porcs</v>
      </c>
      <c r="C90" s="190">
        <f>[1]Conc!$D13</f>
        <v>0</v>
      </c>
      <c r="D90" s="173">
        <f t="shared" si="35"/>
        <v>0</v>
      </c>
      <c r="E90" s="173">
        <f t="shared" si="33"/>
        <v>0</v>
      </c>
      <c r="F90" s="173">
        <f t="shared" si="33"/>
        <v>0</v>
      </c>
      <c r="J90" s="173">
        <f t="shared" si="36"/>
        <v>0</v>
      </c>
      <c r="K90" s="173">
        <f t="shared" si="37"/>
        <v>0</v>
      </c>
      <c r="L90" s="173">
        <f t="shared" si="34"/>
        <v>0</v>
      </c>
      <c r="M90" s="173">
        <f t="shared" si="34"/>
        <v>0</v>
      </c>
      <c r="R90" t="s">
        <v>377</v>
      </c>
      <c r="T90" s="231">
        <v>37</v>
      </c>
      <c r="U90" s="231">
        <v>31</v>
      </c>
      <c r="W90" s="126">
        <f>HLOOKUP(Troupeau!J$17,[1]Anx!$C$170:$CO$215,T90)</f>
        <v>0</v>
      </c>
      <c r="X90" s="61">
        <f t="shared" si="38"/>
        <v>0</v>
      </c>
      <c r="Y90" s="126">
        <f>HLOOKUP(Troupeau!J$17,[1]Anx!$C$170:$CO$215,U90)</f>
        <v>0</v>
      </c>
      <c r="Z90" s="54">
        <f>Y$82*Y90</f>
        <v>0</v>
      </c>
      <c r="AB90" s="54">
        <f t="shared" si="39"/>
        <v>0</v>
      </c>
      <c r="AC90" s="54">
        <f t="shared" si="39"/>
        <v>0</v>
      </c>
      <c r="AD90" s="54">
        <f t="shared" si="39"/>
        <v>0</v>
      </c>
      <c r="AE90" s="54">
        <f t="shared" si="39"/>
        <v>0</v>
      </c>
      <c r="AF90" s="54">
        <f t="shared" si="39"/>
        <v>0</v>
      </c>
      <c r="AG90" s="54">
        <f t="shared" si="39"/>
        <v>0</v>
      </c>
      <c r="AH90" s="54">
        <f t="shared" si="39"/>
        <v>0</v>
      </c>
      <c r="AI90" s="54">
        <f t="shared" si="39"/>
        <v>0</v>
      </c>
      <c r="AJ90" s="54">
        <f t="shared" si="39"/>
        <v>0</v>
      </c>
      <c r="AK90" s="54">
        <f t="shared" si="39"/>
        <v>0</v>
      </c>
      <c r="AL90" s="54">
        <f t="shared" si="39"/>
        <v>0</v>
      </c>
      <c r="AM90" s="54">
        <f t="shared" si="39"/>
        <v>0</v>
      </c>
      <c r="AN90" s="54">
        <f t="shared" si="39"/>
        <v>0</v>
      </c>
      <c r="AO90" s="54">
        <f t="shared" si="39"/>
        <v>0</v>
      </c>
      <c r="AP90" s="54">
        <f t="shared" si="39"/>
        <v>0</v>
      </c>
      <c r="AQ90" s="54">
        <f t="shared" si="39"/>
        <v>0</v>
      </c>
      <c r="AR90" s="54">
        <f t="shared" si="40"/>
        <v>0</v>
      </c>
      <c r="AS90" s="54">
        <f t="shared" si="40"/>
        <v>0</v>
      </c>
      <c r="AT90" s="54">
        <f t="shared" si="40"/>
        <v>0</v>
      </c>
      <c r="AU90" s="54">
        <f t="shared" si="40"/>
        <v>0</v>
      </c>
      <c r="AV90" s="54">
        <f t="shared" si="40"/>
        <v>0</v>
      </c>
      <c r="AW90" s="54">
        <f t="shared" si="40"/>
        <v>0</v>
      </c>
      <c r="AX90" s="54">
        <f t="shared" si="40"/>
        <v>0</v>
      </c>
      <c r="AY90" s="54">
        <f t="shared" si="40"/>
        <v>0</v>
      </c>
      <c r="AZ90" s="54">
        <f t="shared" si="40"/>
        <v>0</v>
      </c>
      <c r="BA90" s="54">
        <f t="shared" si="40"/>
        <v>0</v>
      </c>
      <c r="BB90" s="54">
        <f t="shared" si="40"/>
        <v>0</v>
      </c>
      <c r="BC90" s="54">
        <f t="shared" si="40"/>
        <v>0</v>
      </c>
      <c r="BD90" s="54">
        <f t="shared" si="40"/>
        <v>0</v>
      </c>
      <c r="BE90" s="54">
        <f t="shared" si="40"/>
        <v>0</v>
      </c>
      <c r="BF90" s="54">
        <f t="shared" si="40"/>
        <v>0</v>
      </c>
      <c r="BG90" s="54">
        <f t="shared" si="40"/>
        <v>0</v>
      </c>
      <c r="BH90" s="54">
        <f t="shared" si="41"/>
        <v>0</v>
      </c>
      <c r="BI90" s="54">
        <f t="shared" si="41"/>
        <v>0</v>
      </c>
      <c r="BJ90" s="54">
        <f t="shared" si="41"/>
        <v>0</v>
      </c>
      <c r="BK90" s="54">
        <f t="shared" si="41"/>
        <v>0</v>
      </c>
      <c r="BL90" s="54">
        <f t="shared" si="41"/>
        <v>0</v>
      </c>
      <c r="BM90" s="54">
        <f t="shared" si="41"/>
        <v>0</v>
      </c>
      <c r="BN90" s="54">
        <f t="shared" si="41"/>
        <v>0</v>
      </c>
      <c r="BO90" s="54">
        <f t="shared" si="41"/>
        <v>0</v>
      </c>
      <c r="BP90" s="54">
        <f t="shared" si="41"/>
        <v>0</v>
      </c>
      <c r="BQ90" s="54">
        <f t="shared" si="41"/>
        <v>0</v>
      </c>
      <c r="BR90" s="54">
        <f t="shared" si="41"/>
        <v>0</v>
      </c>
      <c r="BS90" s="54">
        <f t="shared" si="41"/>
        <v>0</v>
      </c>
      <c r="BT90" s="54">
        <f t="shared" si="41"/>
        <v>0</v>
      </c>
      <c r="BU90" s="54">
        <f t="shared" si="41"/>
        <v>0</v>
      </c>
      <c r="BV90" s="54">
        <f t="shared" si="41"/>
        <v>0</v>
      </c>
      <c r="BX90">
        <v>2</v>
      </c>
      <c r="BY90" s="173">
        <f>+AC$94</f>
        <v>0</v>
      </c>
      <c r="BZ90" s="173">
        <f>+AC$101</f>
        <v>0</v>
      </c>
      <c r="CA90" s="173">
        <f>+AC$108</f>
        <v>0</v>
      </c>
      <c r="CC90" s="173">
        <f>CdTrp1!AL$54</f>
        <v>0</v>
      </c>
      <c r="CD90" s="173">
        <f>CdTrp2!AL$54</f>
        <v>0</v>
      </c>
      <c r="CE90" s="173">
        <f>CdTrp3!AL$54</f>
        <v>0</v>
      </c>
    </row>
    <row r="91" spans="1:143" x14ac:dyDescent="0.25">
      <c r="A91" s="223" t="str">
        <f>'Conduite Trp'!B20</f>
        <v xml:space="preserve">10 -finition porcs </v>
      </c>
      <c r="C91" s="190">
        <f>[1]Conc!$D14</f>
        <v>0</v>
      </c>
      <c r="D91" s="173">
        <f t="shared" si="35"/>
        <v>0</v>
      </c>
      <c r="E91" s="173">
        <f t="shared" si="33"/>
        <v>0</v>
      </c>
      <c r="F91" s="173">
        <f t="shared" si="33"/>
        <v>0</v>
      </c>
      <c r="J91" s="173">
        <f t="shared" si="36"/>
        <v>0</v>
      </c>
      <c r="K91" s="173">
        <f t="shared" si="37"/>
        <v>0</v>
      </c>
      <c r="L91" s="173">
        <f t="shared" si="34"/>
        <v>0</v>
      </c>
      <c r="M91" s="173">
        <f t="shared" si="34"/>
        <v>0</v>
      </c>
      <c r="R91" t="s">
        <v>378</v>
      </c>
      <c r="T91" s="231">
        <v>38</v>
      </c>
      <c r="U91" s="231">
        <v>32</v>
      </c>
      <c r="W91" s="126">
        <f>HLOOKUP(Troupeau!J$17,[1]Anx!$C$170:$CO$215,T91)</f>
        <v>0</v>
      </c>
      <c r="X91" s="61">
        <f t="shared" si="38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9"/>
        <v>0</v>
      </c>
      <c r="AC91" s="54">
        <f t="shared" si="39"/>
        <v>0</v>
      </c>
      <c r="AD91" s="54">
        <f t="shared" si="39"/>
        <v>0</v>
      </c>
      <c r="AE91" s="54">
        <f t="shared" si="39"/>
        <v>0</v>
      </c>
      <c r="AF91" s="54">
        <f t="shared" si="39"/>
        <v>0</v>
      </c>
      <c r="AG91" s="54">
        <f t="shared" si="39"/>
        <v>0</v>
      </c>
      <c r="AH91" s="54">
        <f t="shared" si="39"/>
        <v>0</v>
      </c>
      <c r="AI91" s="54">
        <f t="shared" si="39"/>
        <v>0</v>
      </c>
      <c r="AJ91" s="54">
        <f t="shared" si="39"/>
        <v>0</v>
      </c>
      <c r="AK91" s="54">
        <f t="shared" si="39"/>
        <v>0</v>
      </c>
      <c r="AL91" s="54">
        <f t="shared" si="39"/>
        <v>0</v>
      </c>
      <c r="AM91" s="54">
        <f t="shared" si="39"/>
        <v>0</v>
      </c>
      <c r="AN91" s="54">
        <f t="shared" si="39"/>
        <v>0</v>
      </c>
      <c r="AO91" s="54">
        <f t="shared" si="39"/>
        <v>0</v>
      </c>
      <c r="AP91" s="54">
        <f t="shared" si="39"/>
        <v>0</v>
      </c>
      <c r="AQ91" s="54">
        <f t="shared" si="39"/>
        <v>0</v>
      </c>
      <c r="AR91" s="54">
        <f t="shared" si="40"/>
        <v>0</v>
      </c>
      <c r="AS91" s="54">
        <f t="shared" si="40"/>
        <v>0</v>
      </c>
      <c r="AT91" s="54">
        <f t="shared" si="40"/>
        <v>0</v>
      </c>
      <c r="AU91" s="54">
        <f t="shared" si="40"/>
        <v>0</v>
      </c>
      <c r="AV91" s="54">
        <f t="shared" si="40"/>
        <v>0</v>
      </c>
      <c r="AW91" s="54">
        <f t="shared" si="40"/>
        <v>0</v>
      </c>
      <c r="AX91" s="54">
        <f t="shared" si="40"/>
        <v>0</v>
      </c>
      <c r="AY91" s="54">
        <f t="shared" si="40"/>
        <v>0</v>
      </c>
      <c r="AZ91" s="54">
        <f t="shared" si="40"/>
        <v>0</v>
      </c>
      <c r="BA91" s="54">
        <f t="shared" si="40"/>
        <v>0</v>
      </c>
      <c r="BB91" s="54">
        <f t="shared" si="40"/>
        <v>0</v>
      </c>
      <c r="BC91" s="54">
        <f t="shared" si="40"/>
        <v>0</v>
      </c>
      <c r="BD91" s="54">
        <f t="shared" si="40"/>
        <v>0</v>
      </c>
      <c r="BE91" s="54">
        <f t="shared" si="40"/>
        <v>0</v>
      </c>
      <c r="BF91" s="54">
        <f t="shared" si="40"/>
        <v>0</v>
      </c>
      <c r="BG91" s="54">
        <f t="shared" si="40"/>
        <v>0</v>
      </c>
      <c r="BH91" s="54">
        <f t="shared" si="41"/>
        <v>0</v>
      </c>
      <c r="BI91" s="54">
        <f t="shared" si="41"/>
        <v>0</v>
      </c>
      <c r="BJ91" s="54">
        <f t="shared" si="41"/>
        <v>0</v>
      </c>
      <c r="BK91" s="54">
        <f t="shared" si="41"/>
        <v>0</v>
      </c>
      <c r="BL91" s="54">
        <f t="shared" si="41"/>
        <v>0</v>
      </c>
      <c r="BM91" s="54">
        <f t="shared" si="41"/>
        <v>0</v>
      </c>
      <c r="BN91" s="54">
        <f t="shared" si="41"/>
        <v>0</v>
      </c>
      <c r="BO91" s="54">
        <f t="shared" si="41"/>
        <v>0</v>
      </c>
      <c r="BP91" s="54">
        <f t="shared" si="41"/>
        <v>0</v>
      </c>
      <c r="BQ91" s="54">
        <f t="shared" si="41"/>
        <v>0</v>
      </c>
      <c r="BR91" s="54">
        <f t="shared" si="41"/>
        <v>0</v>
      </c>
      <c r="BS91" s="54">
        <f t="shared" si="41"/>
        <v>0</v>
      </c>
      <c r="BT91" s="54">
        <f t="shared" si="41"/>
        <v>0</v>
      </c>
      <c r="BU91" s="54">
        <f t="shared" si="41"/>
        <v>0</v>
      </c>
      <c r="BV91" s="54">
        <f t="shared" si="41"/>
        <v>0</v>
      </c>
      <c r="BX91">
        <v>3</v>
      </c>
      <c r="BY91" s="173">
        <f>+AD$94</f>
        <v>0</v>
      </c>
      <c r="BZ91" s="173">
        <f>+AD$101</f>
        <v>0</v>
      </c>
      <c r="CA91" s="173">
        <f>+AD$108</f>
        <v>0</v>
      </c>
      <c r="CC91" s="173">
        <f>CdTrp1!AM$54</f>
        <v>0</v>
      </c>
      <c r="CD91" s="173">
        <f>CdTrp2!AM$54</f>
        <v>0</v>
      </c>
      <c r="CE91" s="173">
        <f>CdTrp3!AM$54</f>
        <v>0</v>
      </c>
    </row>
    <row r="92" spans="1:143" x14ac:dyDescent="0.25">
      <c r="A92" s="223" t="str">
        <f>'Conduite Trp'!B21</f>
        <v xml:space="preserve">11 -correcteur N brebis lait </v>
      </c>
      <c r="C92" s="190">
        <f>[1]Conc!$D15</f>
        <v>416</v>
      </c>
      <c r="D92" s="173">
        <f t="shared" si="35"/>
        <v>9.6999999999999993</v>
      </c>
      <c r="E92" s="173">
        <f t="shared" si="33"/>
        <v>0</v>
      </c>
      <c r="F92" s="173">
        <f t="shared" si="33"/>
        <v>0</v>
      </c>
      <c r="J92" s="173">
        <f t="shared" si="36"/>
        <v>4035.2</v>
      </c>
      <c r="K92" s="173">
        <f t="shared" si="37"/>
        <v>4035.2</v>
      </c>
      <c r="L92" s="173">
        <f t="shared" si="34"/>
        <v>0</v>
      </c>
      <c r="M92" s="173">
        <f t="shared" si="34"/>
        <v>0</v>
      </c>
      <c r="R92" t="s">
        <v>379</v>
      </c>
      <c r="T92" s="231">
        <v>39</v>
      </c>
      <c r="U92" s="231">
        <v>33</v>
      </c>
      <c r="W92" s="126">
        <f>HLOOKUP(Troupeau!J$17,[1]Anx!$C$170:$CO$215,T92)</f>
        <v>0</v>
      </c>
      <c r="X92" s="61">
        <f t="shared" si="38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9"/>
        <v>0</v>
      </c>
      <c r="AC92" s="54">
        <f t="shared" si="39"/>
        <v>0</v>
      </c>
      <c r="AD92" s="54">
        <f t="shared" si="39"/>
        <v>0</v>
      </c>
      <c r="AE92" s="54">
        <f t="shared" si="39"/>
        <v>0</v>
      </c>
      <c r="AF92" s="54">
        <f t="shared" si="39"/>
        <v>0</v>
      </c>
      <c r="AG92" s="54">
        <f t="shared" si="39"/>
        <v>0</v>
      </c>
      <c r="AH92" s="54">
        <f t="shared" si="39"/>
        <v>0</v>
      </c>
      <c r="AI92" s="54">
        <f t="shared" si="39"/>
        <v>0</v>
      </c>
      <c r="AJ92" s="54">
        <f t="shared" si="39"/>
        <v>0</v>
      </c>
      <c r="AK92" s="54">
        <f t="shared" si="39"/>
        <v>0</v>
      </c>
      <c r="AL92" s="54">
        <f t="shared" si="39"/>
        <v>0</v>
      </c>
      <c r="AM92" s="54">
        <f t="shared" si="39"/>
        <v>0</v>
      </c>
      <c r="AN92" s="54">
        <f t="shared" si="39"/>
        <v>0</v>
      </c>
      <c r="AO92" s="54">
        <f t="shared" si="39"/>
        <v>0</v>
      </c>
      <c r="AP92" s="54">
        <f t="shared" si="39"/>
        <v>0</v>
      </c>
      <c r="AQ92" s="54">
        <f t="shared" si="39"/>
        <v>0</v>
      </c>
      <c r="AR92" s="54">
        <f t="shared" si="40"/>
        <v>0</v>
      </c>
      <c r="AS92" s="54">
        <f t="shared" si="40"/>
        <v>0</v>
      </c>
      <c r="AT92" s="54">
        <f t="shared" si="40"/>
        <v>0</v>
      </c>
      <c r="AU92" s="54">
        <f t="shared" si="40"/>
        <v>0</v>
      </c>
      <c r="AV92" s="54">
        <f t="shared" si="40"/>
        <v>0</v>
      </c>
      <c r="AW92" s="54">
        <f t="shared" si="40"/>
        <v>0</v>
      </c>
      <c r="AX92" s="54">
        <f t="shared" si="40"/>
        <v>0</v>
      </c>
      <c r="AY92" s="54">
        <f t="shared" si="40"/>
        <v>0</v>
      </c>
      <c r="AZ92" s="54">
        <f t="shared" si="40"/>
        <v>0</v>
      </c>
      <c r="BA92" s="54">
        <f t="shared" si="40"/>
        <v>0</v>
      </c>
      <c r="BB92" s="54">
        <f t="shared" si="40"/>
        <v>0</v>
      </c>
      <c r="BC92" s="54">
        <f t="shared" si="40"/>
        <v>0</v>
      </c>
      <c r="BD92" s="54">
        <f t="shared" si="40"/>
        <v>0</v>
      </c>
      <c r="BE92" s="54">
        <f t="shared" si="40"/>
        <v>0</v>
      </c>
      <c r="BF92" s="54">
        <f t="shared" si="40"/>
        <v>0</v>
      </c>
      <c r="BG92" s="54">
        <f t="shared" si="40"/>
        <v>0</v>
      </c>
      <c r="BH92" s="54">
        <f t="shared" si="41"/>
        <v>0</v>
      </c>
      <c r="BI92" s="54">
        <f t="shared" si="41"/>
        <v>0</v>
      </c>
      <c r="BJ92" s="54">
        <f t="shared" si="41"/>
        <v>0</v>
      </c>
      <c r="BK92" s="54">
        <f t="shared" si="41"/>
        <v>0</v>
      </c>
      <c r="BL92" s="54">
        <f t="shared" si="41"/>
        <v>0</v>
      </c>
      <c r="BM92" s="54">
        <f t="shared" si="41"/>
        <v>0</v>
      </c>
      <c r="BN92" s="54">
        <f t="shared" si="41"/>
        <v>0</v>
      </c>
      <c r="BO92" s="54">
        <f t="shared" si="41"/>
        <v>0</v>
      </c>
      <c r="BP92" s="54">
        <f t="shared" si="41"/>
        <v>0</v>
      </c>
      <c r="BQ92" s="54">
        <f t="shared" si="41"/>
        <v>0</v>
      </c>
      <c r="BR92" s="54">
        <f t="shared" si="41"/>
        <v>0</v>
      </c>
      <c r="BS92" s="54">
        <f t="shared" si="41"/>
        <v>0</v>
      </c>
      <c r="BT92" s="54">
        <f t="shared" si="41"/>
        <v>0</v>
      </c>
      <c r="BU92" s="54">
        <f t="shared" si="41"/>
        <v>0</v>
      </c>
      <c r="BV92" s="54">
        <f t="shared" si="41"/>
        <v>0</v>
      </c>
      <c r="BX92">
        <v>4</v>
      </c>
      <c r="BY92" s="173">
        <f>+AE$94</f>
        <v>0</v>
      </c>
      <c r="BZ92" s="173">
        <f>+AE$101</f>
        <v>0</v>
      </c>
      <c r="CA92" s="173">
        <f>+AE$108</f>
        <v>0</v>
      </c>
      <c r="CC92" s="173">
        <f>CdTrp1!AN$54</f>
        <v>0</v>
      </c>
      <c r="CD92" s="173">
        <f>CdTrp2!AN$54</f>
        <v>0</v>
      </c>
      <c r="CE92" s="173">
        <f>CdTrp3!AN$54</f>
        <v>0</v>
      </c>
    </row>
    <row r="93" spans="1:143" x14ac:dyDescent="0.25">
      <c r="A93" s="223" t="str">
        <f>'Conduite Trp'!B22</f>
        <v>12 -méteil (tritical pois feverol maïs)</v>
      </c>
      <c r="C93" s="190">
        <f>[1]Conc!$D16</f>
        <v>165</v>
      </c>
      <c r="D93" s="173">
        <f t="shared" si="35"/>
        <v>0</v>
      </c>
      <c r="E93" s="173">
        <f t="shared" si="33"/>
        <v>0</v>
      </c>
      <c r="F93" s="173">
        <f t="shared" si="33"/>
        <v>0</v>
      </c>
      <c r="J93" s="173">
        <f t="shared" si="36"/>
        <v>0</v>
      </c>
      <c r="K93" s="173">
        <f t="shared" si="37"/>
        <v>0</v>
      </c>
      <c r="L93" s="173">
        <f t="shared" si="34"/>
        <v>0</v>
      </c>
      <c r="M93" s="173">
        <f t="shared" si="34"/>
        <v>0</v>
      </c>
      <c r="R93" t="s">
        <v>380</v>
      </c>
      <c r="S93" s="5"/>
      <c r="T93" s="231">
        <v>40</v>
      </c>
      <c r="U93" s="231">
        <v>34</v>
      </c>
      <c r="W93" s="126">
        <f>HLOOKUP(Troupeau!J$17,[1]Anx!$C$170:$CO$215,T93)</f>
        <v>0</v>
      </c>
      <c r="X93" s="61">
        <f t="shared" si="38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9"/>
        <v>0</v>
      </c>
      <c r="AC93" s="54">
        <f t="shared" si="39"/>
        <v>0</v>
      </c>
      <c r="AD93" s="54">
        <f t="shared" si="39"/>
        <v>0</v>
      </c>
      <c r="AE93" s="54">
        <f t="shared" si="39"/>
        <v>0</v>
      </c>
      <c r="AF93" s="54">
        <f t="shared" si="39"/>
        <v>0</v>
      </c>
      <c r="AG93" s="54">
        <f t="shared" si="39"/>
        <v>0</v>
      </c>
      <c r="AH93" s="54">
        <f t="shared" si="39"/>
        <v>0</v>
      </c>
      <c r="AI93" s="54">
        <f t="shared" si="39"/>
        <v>0</v>
      </c>
      <c r="AJ93" s="54">
        <f t="shared" si="39"/>
        <v>0</v>
      </c>
      <c r="AK93" s="54">
        <f t="shared" si="39"/>
        <v>0</v>
      </c>
      <c r="AL93" s="54">
        <f t="shared" si="39"/>
        <v>0</v>
      </c>
      <c r="AM93" s="54">
        <f t="shared" si="39"/>
        <v>0</v>
      </c>
      <c r="AN93" s="54">
        <f t="shared" si="39"/>
        <v>0</v>
      </c>
      <c r="AO93" s="54">
        <f t="shared" si="39"/>
        <v>0</v>
      </c>
      <c r="AP93" s="54">
        <f t="shared" si="39"/>
        <v>0</v>
      </c>
      <c r="AQ93" s="54">
        <f t="shared" si="39"/>
        <v>0</v>
      </c>
      <c r="AR93" s="54">
        <f t="shared" si="40"/>
        <v>0</v>
      </c>
      <c r="AS93" s="54">
        <f t="shared" si="40"/>
        <v>0</v>
      </c>
      <c r="AT93" s="54">
        <f t="shared" si="40"/>
        <v>0</v>
      </c>
      <c r="AU93" s="54">
        <f t="shared" si="40"/>
        <v>0</v>
      </c>
      <c r="AV93" s="54">
        <f t="shared" si="40"/>
        <v>0</v>
      </c>
      <c r="AW93" s="54">
        <f t="shared" si="40"/>
        <v>0</v>
      </c>
      <c r="AX93" s="54">
        <f t="shared" si="40"/>
        <v>0</v>
      </c>
      <c r="AY93" s="54">
        <f t="shared" si="40"/>
        <v>0</v>
      </c>
      <c r="AZ93" s="54">
        <f t="shared" si="40"/>
        <v>0</v>
      </c>
      <c r="BA93" s="54">
        <f t="shared" si="40"/>
        <v>0</v>
      </c>
      <c r="BB93" s="54">
        <f t="shared" si="40"/>
        <v>0</v>
      </c>
      <c r="BC93" s="54">
        <f t="shared" si="40"/>
        <v>0</v>
      </c>
      <c r="BD93" s="54">
        <f t="shared" si="40"/>
        <v>0</v>
      </c>
      <c r="BE93" s="54">
        <f t="shared" si="40"/>
        <v>0</v>
      </c>
      <c r="BF93" s="54">
        <f t="shared" si="40"/>
        <v>0</v>
      </c>
      <c r="BG93" s="54">
        <f t="shared" si="40"/>
        <v>0</v>
      </c>
      <c r="BH93" s="54">
        <f t="shared" si="41"/>
        <v>0</v>
      </c>
      <c r="BI93" s="54">
        <f t="shared" si="41"/>
        <v>0</v>
      </c>
      <c r="BJ93" s="54">
        <f t="shared" si="41"/>
        <v>0</v>
      </c>
      <c r="BK93" s="54">
        <f t="shared" si="41"/>
        <v>0</v>
      </c>
      <c r="BL93" s="54">
        <f t="shared" si="41"/>
        <v>0</v>
      </c>
      <c r="BM93" s="54">
        <f t="shared" si="41"/>
        <v>0</v>
      </c>
      <c r="BN93" s="54">
        <f t="shared" si="41"/>
        <v>0</v>
      </c>
      <c r="BO93" s="54">
        <f t="shared" si="41"/>
        <v>0</v>
      </c>
      <c r="BP93" s="54">
        <f t="shared" si="41"/>
        <v>0</v>
      </c>
      <c r="BQ93" s="54">
        <f t="shared" si="41"/>
        <v>0</v>
      </c>
      <c r="BR93" s="54">
        <f t="shared" si="41"/>
        <v>0</v>
      </c>
      <c r="BS93" s="54">
        <f t="shared" si="41"/>
        <v>0</v>
      </c>
      <c r="BT93" s="54">
        <f t="shared" si="41"/>
        <v>0</v>
      </c>
      <c r="BU93" s="54">
        <f t="shared" si="41"/>
        <v>0</v>
      </c>
      <c r="BV93" s="54">
        <f t="shared" si="41"/>
        <v>0</v>
      </c>
      <c r="BX93">
        <v>5</v>
      </c>
      <c r="BY93" s="173">
        <f>+AF$94</f>
        <v>0</v>
      </c>
      <c r="BZ93" s="173">
        <f>+AF$101</f>
        <v>0</v>
      </c>
      <c r="CA93" s="173">
        <f>+AF$108</f>
        <v>0</v>
      </c>
      <c r="CC93" s="173">
        <f>CdTrp1!AO$54</f>
        <v>0</v>
      </c>
      <c r="CD93" s="173">
        <f>CdTrp2!AO$54</f>
        <v>0</v>
      </c>
      <c r="CE93" s="173">
        <f>CdTrp3!AO$54</f>
        <v>0</v>
      </c>
    </row>
    <row r="94" spans="1:143" x14ac:dyDescent="0.25">
      <c r="A94" s="223" t="str">
        <f>'Conduite Trp'!B23</f>
        <v>13 -aliment complet brebis lait</v>
      </c>
      <c r="C94" s="190">
        <f>[1]Conc!$D17</f>
        <v>308</v>
      </c>
      <c r="D94" s="173">
        <f t="shared" si="35"/>
        <v>3.4</v>
      </c>
      <c r="E94" s="173">
        <f t="shared" si="33"/>
        <v>0</v>
      </c>
      <c r="F94" s="173">
        <f t="shared" si="33"/>
        <v>0</v>
      </c>
      <c r="J94" s="173">
        <f t="shared" si="36"/>
        <v>1047.2</v>
      </c>
      <c r="K94" s="173">
        <f t="shared" si="37"/>
        <v>1047.2</v>
      </c>
      <c r="L94" s="173">
        <f t="shared" si="34"/>
        <v>0</v>
      </c>
      <c r="M94" s="173">
        <f t="shared" si="34"/>
        <v>0</v>
      </c>
      <c r="AB94" s="232">
        <f>SUM(AB89:AB93)</f>
        <v>0</v>
      </c>
      <c r="AC94" s="232">
        <f t="shared" ref="AC94:BV94" si="42">SUM(AC89:AC93)</f>
        <v>0</v>
      </c>
      <c r="AD94" s="232">
        <f t="shared" si="42"/>
        <v>0</v>
      </c>
      <c r="AE94" s="232">
        <f t="shared" si="42"/>
        <v>0</v>
      </c>
      <c r="AF94" s="232">
        <f t="shared" si="42"/>
        <v>0</v>
      </c>
      <c r="AG94" s="232">
        <f t="shared" si="42"/>
        <v>0</v>
      </c>
      <c r="AH94" s="232">
        <f t="shared" si="42"/>
        <v>0</v>
      </c>
      <c r="AI94" s="232">
        <f t="shared" si="42"/>
        <v>0</v>
      </c>
      <c r="AJ94" s="232">
        <f t="shared" si="42"/>
        <v>0</v>
      </c>
      <c r="AK94" s="232">
        <f t="shared" si="42"/>
        <v>0</v>
      </c>
      <c r="AL94" s="232">
        <f t="shared" si="42"/>
        <v>0</v>
      </c>
      <c r="AM94" s="232">
        <f t="shared" si="42"/>
        <v>0</v>
      </c>
      <c r="AN94" s="232">
        <f t="shared" si="42"/>
        <v>0</v>
      </c>
      <c r="AO94" s="232">
        <f t="shared" si="42"/>
        <v>0</v>
      </c>
      <c r="AP94" s="232">
        <f t="shared" si="42"/>
        <v>0</v>
      </c>
      <c r="AQ94" s="232">
        <f t="shared" si="42"/>
        <v>0</v>
      </c>
      <c r="AR94" s="232">
        <f t="shared" si="42"/>
        <v>0</v>
      </c>
      <c r="AS94" s="232">
        <f t="shared" si="42"/>
        <v>0</v>
      </c>
      <c r="AT94" s="232">
        <f t="shared" si="42"/>
        <v>0</v>
      </c>
      <c r="AU94" s="232">
        <f t="shared" si="42"/>
        <v>0</v>
      </c>
      <c r="AV94" s="232">
        <f t="shared" si="42"/>
        <v>0</v>
      </c>
      <c r="AW94" s="232">
        <f t="shared" si="42"/>
        <v>0</v>
      </c>
      <c r="AX94" s="232">
        <f t="shared" si="42"/>
        <v>0</v>
      </c>
      <c r="AY94" s="232">
        <f t="shared" si="42"/>
        <v>0</v>
      </c>
      <c r="AZ94" s="232">
        <f t="shared" si="42"/>
        <v>0</v>
      </c>
      <c r="BA94" s="232">
        <f t="shared" si="42"/>
        <v>0</v>
      </c>
      <c r="BB94" s="232">
        <f t="shared" si="42"/>
        <v>0</v>
      </c>
      <c r="BC94" s="232">
        <f t="shared" si="42"/>
        <v>0</v>
      </c>
      <c r="BD94" s="232">
        <f t="shared" si="42"/>
        <v>0</v>
      </c>
      <c r="BE94" s="232">
        <f t="shared" si="42"/>
        <v>0</v>
      </c>
      <c r="BF94" s="232">
        <f t="shared" si="42"/>
        <v>0</v>
      </c>
      <c r="BG94" s="232">
        <f t="shared" si="42"/>
        <v>0</v>
      </c>
      <c r="BH94" s="232">
        <f t="shared" si="42"/>
        <v>0</v>
      </c>
      <c r="BI94" s="232">
        <f t="shared" si="42"/>
        <v>0</v>
      </c>
      <c r="BJ94" s="232">
        <f t="shared" si="42"/>
        <v>0</v>
      </c>
      <c r="BK94" s="232">
        <f t="shared" si="42"/>
        <v>0</v>
      </c>
      <c r="BL94" s="232">
        <f t="shared" si="42"/>
        <v>0</v>
      </c>
      <c r="BM94" s="232">
        <f t="shared" si="42"/>
        <v>0</v>
      </c>
      <c r="BN94" s="232">
        <f t="shared" si="42"/>
        <v>0</v>
      </c>
      <c r="BO94" s="232">
        <f t="shared" si="42"/>
        <v>0</v>
      </c>
      <c r="BP94" s="232">
        <f t="shared" si="42"/>
        <v>0</v>
      </c>
      <c r="BQ94" s="232">
        <f t="shared" si="42"/>
        <v>0</v>
      </c>
      <c r="BR94" s="232">
        <f t="shared" si="42"/>
        <v>0</v>
      </c>
      <c r="BS94" s="232">
        <f t="shared" si="42"/>
        <v>0</v>
      </c>
      <c r="BT94" s="232">
        <f t="shared" si="42"/>
        <v>0</v>
      </c>
      <c r="BU94" s="232">
        <f t="shared" si="42"/>
        <v>0</v>
      </c>
      <c r="BV94" s="232">
        <f t="shared" si="42"/>
        <v>0</v>
      </c>
      <c r="BX94">
        <v>6</v>
      </c>
      <c r="BY94" s="173">
        <f>+AG$94</f>
        <v>0</v>
      </c>
      <c r="BZ94" s="173">
        <f>+AG$101</f>
        <v>0</v>
      </c>
      <c r="CA94" s="173">
        <f>+AG$108</f>
        <v>0</v>
      </c>
      <c r="CC94" s="173">
        <f>CdTrp1!AP$54</f>
        <v>0</v>
      </c>
      <c r="CD94" s="173">
        <f>CdTrp2!AP$54</f>
        <v>0</v>
      </c>
      <c r="CE94" s="173">
        <f>CdTrp3!AP$54</f>
        <v>0</v>
      </c>
    </row>
    <row r="95" spans="1:143" x14ac:dyDescent="0.25">
      <c r="A95" s="223" t="str">
        <f>'Conduite Trp'!B24</f>
        <v xml:space="preserve">14 -concentré agnelle lait </v>
      </c>
      <c r="C95" s="190">
        <f>[1]Conc!$D18</f>
        <v>270</v>
      </c>
      <c r="D95" s="173">
        <f t="shared" si="35"/>
        <v>6.7</v>
      </c>
      <c r="E95" s="173">
        <f t="shared" si="33"/>
        <v>0</v>
      </c>
      <c r="F95" s="173">
        <f t="shared" si="33"/>
        <v>0</v>
      </c>
      <c r="J95" s="173">
        <f t="shared" si="36"/>
        <v>1809</v>
      </c>
      <c r="K95" s="173">
        <f t="shared" si="37"/>
        <v>1809</v>
      </c>
      <c r="L95" s="173">
        <f t="shared" si="34"/>
        <v>0</v>
      </c>
      <c r="M95" s="173">
        <f t="shared" si="34"/>
        <v>0</v>
      </c>
      <c r="BX95">
        <v>7</v>
      </c>
      <c r="BY95" s="173">
        <f>+AH$94</f>
        <v>0</v>
      </c>
      <c r="BZ95" s="173">
        <f>+AH$101</f>
        <v>0</v>
      </c>
      <c r="CA95" s="173">
        <f>+AH$108</f>
        <v>0</v>
      </c>
      <c r="CC95" s="173">
        <f>CdTrp1!AQ$54</f>
        <v>0</v>
      </c>
      <c r="CD95" s="173">
        <f>CdTrp2!AQ$54</f>
        <v>0</v>
      </c>
      <c r="CE95" s="173">
        <f>CdTrp3!AQ$54</f>
        <v>0</v>
      </c>
    </row>
    <row r="96" spans="1:143" x14ac:dyDescent="0.25">
      <c r="A96" s="223" t="str">
        <f>'Conduite Trp'!B25</f>
        <v>15 -concentré bovin allaitant</v>
      </c>
      <c r="C96" s="190">
        <f>[1]Conc!$D19</f>
        <v>285</v>
      </c>
      <c r="D96" s="173">
        <f t="shared" si="35"/>
        <v>0</v>
      </c>
      <c r="E96" s="173">
        <f t="shared" si="33"/>
        <v>5.3</v>
      </c>
      <c r="F96" s="173">
        <f t="shared" si="33"/>
        <v>0</v>
      </c>
      <c r="J96" s="173">
        <f t="shared" si="36"/>
        <v>1510.5</v>
      </c>
      <c r="K96" s="173">
        <f t="shared" si="37"/>
        <v>0</v>
      </c>
      <c r="L96" s="173">
        <f t="shared" si="34"/>
        <v>1510.5</v>
      </c>
      <c r="M96" s="173">
        <f t="shared" si="34"/>
        <v>0</v>
      </c>
      <c r="Q96" s="2" t="s">
        <v>95</v>
      </c>
      <c r="R96" t="s">
        <v>376</v>
      </c>
      <c r="T96" s="231">
        <v>36</v>
      </c>
      <c r="U96" s="231">
        <v>30</v>
      </c>
      <c r="W96" s="126">
        <f>HLOOKUP(Troupeau!K$17,[1]Anx!$C$170:$CO$215,T96)</f>
        <v>0</v>
      </c>
      <c r="X96" s="61">
        <f t="shared" ref="X96:X100" si="43">VALUE(LEFT(W96,2))</f>
        <v>0</v>
      </c>
      <c r="Y96" s="126">
        <f>HLOOKUP(Troupeau!K$17,[1]Anx!$C$170:$CO$215,U96)</f>
        <v>0</v>
      </c>
      <c r="Z96" s="54">
        <f>Y$82*Y96</f>
        <v>0</v>
      </c>
      <c r="AB96" s="54">
        <f t="shared" ref="AB96:AQ100" si="44">IF($X96=AB$88,ROUND($Z96/1000,1),0)</f>
        <v>0</v>
      </c>
      <c r="AC96" s="54">
        <f t="shared" si="44"/>
        <v>0</v>
      </c>
      <c r="AD96" s="54">
        <f t="shared" si="44"/>
        <v>0</v>
      </c>
      <c r="AE96" s="54">
        <f t="shared" si="44"/>
        <v>0</v>
      </c>
      <c r="AF96" s="54">
        <f t="shared" si="44"/>
        <v>0</v>
      </c>
      <c r="AG96" s="54">
        <f t="shared" si="44"/>
        <v>0</v>
      </c>
      <c r="AH96" s="54">
        <f t="shared" si="44"/>
        <v>0</v>
      </c>
      <c r="AI96" s="54">
        <f t="shared" si="44"/>
        <v>0</v>
      </c>
      <c r="AJ96" s="54">
        <f t="shared" si="44"/>
        <v>0</v>
      </c>
      <c r="AK96" s="54">
        <f t="shared" si="44"/>
        <v>0</v>
      </c>
      <c r="AL96" s="54">
        <f t="shared" si="44"/>
        <v>0</v>
      </c>
      <c r="AM96" s="54">
        <f t="shared" si="44"/>
        <v>0</v>
      </c>
      <c r="AN96" s="54">
        <f t="shared" si="44"/>
        <v>0</v>
      </c>
      <c r="AO96" s="54">
        <f t="shared" si="44"/>
        <v>0</v>
      </c>
      <c r="AP96" s="54">
        <f t="shared" si="44"/>
        <v>0</v>
      </c>
      <c r="AQ96" s="54">
        <f t="shared" si="44"/>
        <v>0</v>
      </c>
      <c r="AR96" s="54">
        <f t="shared" ref="AR96:BG100" si="45">IF($X96=AR$88,ROUND($Z96/1000,1),0)</f>
        <v>0</v>
      </c>
      <c r="AS96" s="54">
        <f t="shared" si="45"/>
        <v>0</v>
      </c>
      <c r="AT96" s="54">
        <f t="shared" si="45"/>
        <v>0</v>
      </c>
      <c r="AU96" s="54">
        <f t="shared" si="45"/>
        <v>0</v>
      </c>
      <c r="AV96" s="54">
        <f t="shared" si="45"/>
        <v>0</v>
      </c>
      <c r="AW96" s="54">
        <f t="shared" si="45"/>
        <v>0</v>
      </c>
      <c r="AX96" s="54">
        <f t="shared" si="45"/>
        <v>0</v>
      </c>
      <c r="AY96" s="54">
        <f t="shared" si="45"/>
        <v>0</v>
      </c>
      <c r="AZ96" s="54">
        <f t="shared" si="45"/>
        <v>0</v>
      </c>
      <c r="BA96" s="54">
        <f t="shared" si="45"/>
        <v>0</v>
      </c>
      <c r="BB96" s="54">
        <f t="shared" si="45"/>
        <v>0</v>
      </c>
      <c r="BC96" s="54">
        <f t="shared" si="45"/>
        <v>0</v>
      </c>
      <c r="BD96" s="54">
        <f t="shared" si="45"/>
        <v>0</v>
      </c>
      <c r="BE96" s="54">
        <f t="shared" si="45"/>
        <v>0</v>
      </c>
      <c r="BF96" s="54">
        <f t="shared" si="45"/>
        <v>0</v>
      </c>
      <c r="BG96" s="54">
        <f t="shared" si="45"/>
        <v>0</v>
      </c>
      <c r="BH96" s="54">
        <f t="shared" ref="BH96:BV100" si="46">IF($X96=BH$88,ROUND($Z96/1000,1),0)</f>
        <v>0</v>
      </c>
      <c r="BI96" s="54">
        <f t="shared" si="46"/>
        <v>0</v>
      </c>
      <c r="BJ96" s="54">
        <f t="shared" si="46"/>
        <v>0</v>
      </c>
      <c r="BK96" s="54">
        <f t="shared" si="46"/>
        <v>0</v>
      </c>
      <c r="BL96" s="54">
        <f t="shared" si="46"/>
        <v>0</v>
      </c>
      <c r="BM96" s="54">
        <f t="shared" si="46"/>
        <v>0</v>
      </c>
      <c r="BN96" s="54">
        <f t="shared" si="46"/>
        <v>0</v>
      </c>
      <c r="BO96" s="54">
        <f t="shared" si="46"/>
        <v>0</v>
      </c>
      <c r="BP96" s="54">
        <f t="shared" si="46"/>
        <v>0</v>
      </c>
      <c r="BQ96" s="54">
        <f t="shared" si="46"/>
        <v>0</v>
      </c>
      <c r="BR96" s="54">
        <f t="shared" si="46"/>
        <v>0</v>
      </c>
      <c r="BS96" s="54">
        <f t="shared" si="46"/>
        <v>0</v>
      </c>
      <c r="BT96" s="54">
        <f t="shared" si="46"/>
        <v>0</v>
      </c>
      <c r="BU96" s="54">
        <f t="shared" si="46"/>
        <v>0</v>
      </c>
      <c r="BV96" s="54">
        <f t="shared" si="46"/>
        <v>0</v>
      </c>
      <c r="BX96">
        <v>8</v>
      </c>
      <c r="BY96" s="173">
        <f>+AI$94</f>
        <v>0</v>
      </c>
      <c r="BZ96" s="173">
        <f>+AI$101</f>
        <v>0</v>
      </c>
      <c r="CA96" s="173">
        <f>+AI$108</f>
        <v>0</v>
      </c>
      <c r="CC96" s="173">
        <f>CdTrp1!AR$54</f>
        <v>0</v>
      </c>
      <c r="CD96" s="173">
        <f>CdTrp2!AR$54</f>
        <v>0</v>
      </c>
      <c r="CE96" s="173">
        <f>CdTrp3!AR$54</f>
        <v>0</v>
      </c>
    </row>
    <row r="97" spans="1:83" x14ac:dyDescent="0.25">
      <c r="A97" s="223" t="str">
        <f>'Conduite Trp'!B26</f>
        <v>16 -correcteur N bovin allaitant</v>
      </c>
      <c r="C97" s="190">
        <f>[1]Conc!$D20</f>
        <v>423</v>
      </c>
      <c r="D97" s="173">
        <f t="shared" si="35"/>
        <v>0</v>
      </c>
      <c r="E97" s="173">
        <f t="shared" si="33"/>
        <v>2.2000000000000002</v>
      </c>
      <c r="F97" s="173">
        <f t="shared" si="33"/>
        <v>0</v>
      </c>
      <c r="J97" s="173">
        <f t="shared" si="36"/>
        <v>930.6</v>
      </c>
      <c r="K97" s="173">
        <f t="shared" si="37"/>
        <v>0</v>
      </c>
      <c r="L97" s="173">
        <f t="shared" si="34"/>
        <v>930.6</v>
      </c>
      <c r="M97" s="173">
        <f t="shared" si="34"/>
        <v>0</v>
      </c>
      <c r="R97" t="s">
        <v>377</v>
      </c>
      <c r="T97" s="231">
        <v>37</v>
      </c>
      <c r="U97" s="231">
        <v>31</v>
      </c>
      <c r="W97" s="126">
        <f>HLOOKUP(Troupeau!K$17,[1]Anx!$C$170:$CO$215,T97)</f>
        <v>0</v>
      </c>
      <c r="X97" s="61">
        <f t="shared" si="43"/>
        <v>0</v>
      </c>
      <c r="Y97" s="126">
        <f>HLOOKUP(Troupeau!K$17,[1]Anx!$C$170:$CO$215,U97)</f>
        <v>0</v>
      </c>
      <c r="Z97" s="54">
        <f>Y$82*Y97</f>
        <v>0</v>
      </c>
      <c r="AB97" s="54">
        <f t="shared" si="44"/>
        <v>0</v>
      </c>
      <c r="AC97" s="54">
        <f t="shared" si="44"/>
        <v>0</v>
      </c>
      <c r="AD97" s="54">
        <f t="shared" si="44"/>
        <v>0</v>
      </c>
      <c r="AE97" s="54">
        <f t="shared" si="44"/>
        <v>0</v>
      </c>
      <c r="AF97" s="54">
        <f t="shared" si="44"/>
        <v>0</v>
      </c>
      <c r="AG97" s="54">
        <f t="shared" si="44"/>
        <v>0</v>
      </c>
      <c r="AH97" s="54">
        <f t="shared" si="44"/>
        <v>0</v>
      </c>
      <c r="AI97" s="54">
        <f t="shared" si="44"/>
        <v>0</v>
      </c>
      <c r="AJ97" s="54">
        <f t="shared" si="44"/>
        <v>0</v>
      </c>
      <c r="AK97" s="54">
        <f t="shared" si="44"/>
        <v>0</v>
      </c>
      <c r="AL97" s="54">
        <f t="shared" si="44"/>
        <v>0</v>
      </c>
      <c r="AM97" s="54">
        <f t="shared" si="44"/>
        <v>0</v>
      </c>
      <c r="AN97" s="54">
        <f t="shared" si="44"/>
        <v>0</v>
      </c>
      <c r="AO97" s="54">
        <f t="shared" si="44"/>
        <v>0</v>
      </c>
      <c r="AP97" s="54">
        <f t="shared" si="44"/>
        <v>0</v>
      </c>
      <c r="AQ97" s="54">
        <f t="shared" si="44"/>
        <v>0</v>
      </c>
      <c r="AR97" s="54">
        <f t="shared" si="45"/>
        <v>0</v>
      </c>
      <c r="AS97" s="54">
        <f t="shared" si="45"/>
        <v>0</v>
      </c>
      <c r="AT97" s="54">
        <f t="shared" si="45"/>
        <v>0</v>
      </c>
      <c r="AU97" s="54">
        <f t="shared" si="45"/>
        <v>0</v>
      </c>
      <c r="AV97" s="54">
        <f t="shared" si="45"/>
        <v>0</v>
      </c>
      <c r="AW97" s="54">
        <f t="shared" si="45"/>
        <v>0</v>
      </c>
      <c r="AX97" s="54">
        <f t="shared" si="45"/>
        <v>0</v>
      </c>
      <c r="AY97" s="54">
        <f t="shared" si="45"/>
        <v>0</v>
      </c>
      <c r="AZ97" s="54">
        <f t="shared" si="45"/>
        <v>0</v>
      </c>
      <c r="BA97" s="54">
        <f t="shared" si="45"/>
        <v>0</v>
      </c>
      <c r="BB97" s="54">
        <f t="shared" si="45"/>
        <v>0</v>
      </c>
      <c r="BC97" s="54">
        <f t="shared" si="45"/>
        <v>0</v>
      </c>
      <c r="BD97" s="54">
        <f t="shared" si="45"/>
        <v>0</v>
      </c>
      <c r="BE97" s="54">
        <f t="shared" si="45"/>
        <v>0</v>
      </c>
      <c r="BF97" s="54">
        <f t="shared" si="45"/>
        <v>0</v>
      </c>
      <c r="BG97" s="54">
        <f t="shared" si="45"/>
        <v>0</v>
      </c>
      <c r="BH97" s="54">
        <f t="shared" si="46"/>
        <v>0</v>
      </c>
      <c r="BI97" s="54">
        <f t="shared" si="46"/>
        <v>0</v>
      </c>
      <c r="BJ97" s="54">
        <f t="shared" si="46"/>
        <v>0</v>
      </c>
      <c r="BK97" s="54">
        <f t="shared" si="46"/>
        <v>0</v>
      </c>
      <c r="BL97" s="54">
        <f t="shared" si="46"/>
        <v>0</v>
      </c>
      <c r="BM97" s="54">
        <f t="shared" si="46"/>
        <v>0</v>
      </c>
      <c r="BN97" s="54">
        <f t="shared" si="46"/>
        <v>0</v>
      </c>
      <c r="BO97" s="54">
        <f t="shared" si="46"/>
        <v>0</v>
      </c>
      <c r="BP97" s="54">
        <f t="shared" si="46"/>
        <v>0</v>
      </c>
      <c r="BQ97" s="54">
        <f t="shared" si="46"/>
        <v>0</v>
      </c>
      <c r="BR97" s="54">
        <f t="shared" si="46"/>
        <v>0</v>
      </c>
      <c r="BS97" s="54">
        <f t="shared" si="46"/>
        <v>0</v>
      </c>
      <c r="BT97" s="54">
        <f t="shared" si="46"/>
        <v>0</v>
      </c>
      <c r="BU97" s="54">
        <f t="shared" si="46"/>
        <v>0</v>
      </c>
      <c r="BV97" s="54">
        <f t="shared" si="46"/>
        <v>0</v>
      </c>
      <c r="BX97">
        <v>9</v>
      </c>
      <c r="BY97" s="173">
        <f>+AJ$94</f>
        <v>0</v>
      </c>
      <c r="BZ97" s="173">
        <f>+AJ$101</f>
        <v>0</v>
      </c>
      <c r="CA97" s="173">
        <f>+AJ$108</f>
        <v>0</v>
      </c>
      <c r="CC97" s="173">
        <f>CdTrp1!AS$54</f>
        <v>0</v>
      </c>
      <c r="CD97" s="173">
        <f>CdTrp2!AS$54</f>
        <v>0</v>
      </c>
      <c r="CE97" s="173">
        <f>CdTrp3!AS$54</f>
        <v>0</v>
      </c>
    </row>
    <row r="98" spans="1:83" x14ac:dyDescent="0.25">
      <c r="A98" s="223" t="str">
        <f>'Conduite Trp'!B27</f>
        <v xml:space="preserve">17 -alim veau </v>
      </c>
      <c r="C98" s="190">
        <f>[1]Conc!$D21</f>
        <v>300</v>
      </c>
      <c r="D98" s="173">
        <f t="shared" si="35"/>
        <v>0</v>
      </c>
      <c r="E98" s="173">
        <f t="shared" si="35"/>
        <v>0</v>
      </c>
      <c r="F98" s="173">
        <f t="shared" si="35"/>
        <v>0</v>
      </c>
      <c r="J98" s="173">
        <f t="shared" si="36"/>
        <v>0</v>
      </c>
      <c r="K98" s="173">
        <f t="shared" si="37"/>
        <v>0</v>
      </c>
      <c r="L98" s="173">
        <f t="shared" si="37"/>
        <v>0</v>
      </c>
      <c r="M98" s="173">
        <f t="shared" si="37"/>
        <v>0</v>
      </c>
      <c r="R98" t="s">
        <v>378</v>
      </c>
      <c r="T98" s="231">
        <v>38</v>
      </c>
      <c r="U98" s="231">
        <v>32</v>
      </c>
      <c r="W98" s="126">
        <f>HLOOKUP(Troupeau!K$17,[1]Anx!$C$170:$CO$215,T98)</f>
        <v>0</v>
      </c>
      <c r="X98" s="61">
        <f t="shared" si="43"/>
        <v>0</v>
      </c>
      <c r="Y98" s="126">
        <f>HLOOKUP(Troupeau!K$17,[1]Anx!$C$170:$CO$215,U98)</f>
        <v>0</v>
      </c>
      <c r="Z98" s="54">
        <f>Y$82*Y98</f>
        <v>0</v>
      </c>
      <c r="AB98" s="54">
        <f t="shared" si="44"/>
        <v>0</v>
      </c>
      <c r="AC98" s="54">
        <f t="shared" si="44"/>
        <v>0</v>
      </c>
      <c r="AD98" s="54">
        <f t="shared" si="44"/>
        <v>0</v>
      </c>
      <c r="AE98" s="54">
        <f t="shared" si="44"/>
        <v>0</v>
      </c>
      <c r="AF98" s="54">
        <f t="shared" si="44"/>
        <v>0</v>
      </c>
      <c r="AG98" s="54">
        <f t="shared" si="44"/>
        <v>0</v>
      </c>
      <c r="AH98" s="54">
        <f t="shared" si="44"/>
        <v>0</v>
      </c>
      <c r="AI98" s="54">
        <f t="shared" si="44"/>
        <v>0</v>
      </c>
      <c r="AJ98" s="54">
        <f t="shared" si="44"/>
        <v>0</v>
      </c>
      <c r="AK98" s="54">
        <f t="shared" si="44"/>
        <v>0</v>
      </c>
      <c r="AL98" s="54">
        <f t="shared" si="44"/>
        <v>0</v>
      </c>
      <c r="AM98" s="54">
        <f t="shared" si="44"/>
        <v>0</v>
      </c>
      <c r="AN98" s="54">
        <f t="shared" si="44"/>
        <v>0</v>
      </c>
      <c r="AO98" s="54">
        <f t="shared" si="44"/>
        <v>0</v>
      </c>
      <c r="AP98" s="54">
        <f t="shared" si="44"/>
        <v>0</v>
      </c>
      <c r="AQ98" s="54">
        <f t="shared" si="44"/>
        <v>0</v>
      </c>
      <c r="AR98" s="54">
        <f t="shared" si="45"/>
        <v>0</v>
      </c>
      <c r="AS98" s="54">
        <f t="shared" si="45"/>
        <v>0</v>
      </c>
      <c r="AT98" s="54">
        <f t="shared" si="45"/>
        <v>0</v>
      </c>
      <c r="AU98" s="54">
        <f t="shared" si="45"/>
        <v>0</v>
      </c>
      <c r="AV98" s="54">
        <f t="shared" si="45"/>
        <v>0</v>
      </c>
      <c r="AW98" s="54">
        <f t="shared" si="45"/>
        <v>0</v>
      </c>
      <c r="AX98" s="54">
        <f t="shared" si="45"/>
        <v>0</v>
      </c>
      <c r="AY98" s="54">
        <f t="shared" si="45"/>
        <v>0</v>
      </c>
      <c r="AZ98" s="54">
        <f t="shared" si="45"/>
        <v>0</v>
      </c>
      <c r="BA98" s="54">
        <f t="shared" si="45"/>
        <v>0</v>
      </c>
      <c r="BB98" s="54">
        <f t="shared" si="45"/>
        <v>0</v>
      </c>
      <c r="BC98" s="54">
        <f t="shared" si="45"/>
        <v>0</v>
      </c>
      <c r="BD98" s="54">
        <f t="shared" si="45"/>
        <v>0</v>
      </c>
      <c r="BE98" s="54">
        <f t="shared" si="45"/>
        <v>0</v>
      </c>
      <c r="BF98" s="54">
        <f t="shared" si="45"/>
        <v>0</v>
      </c>
      <c r="BG98" s="54">
        <f t="shared" si="45"/>
        <v>0</v>
      </c>
      <c r="BH98" s="54">
        <f t="shared" si="46"/>
        <v>0</v>
      </c>
      <c r="BI98" s="54">
        <f t="shared" si="46"/>
        <v>0</v>
      </c>
      <c r="BJ98" s="54">
        <f t="shared" si="46"/>
        <v>0</v>
      </c>
      <c r="BK98" s="54">
        <f t="shared" si="46"/>
        <v>0</v>
      </c>
      <c r="BL98" s="54">
        <f t="shared" si="46"/>
        <v>0</v>
      </c>
      <c r="BM98" s="54">
        <f t="shared" si="46"/>
        <v>0</v>
      </c>
      <c r="BN98" s="54">
        <f t="shared" si="46"/>
        <v>0</v>
      </c>
      <c r="BO98" s="54">
        <f t="shared" si="46"/>
        <v>0</v>
      </c>
      <c r="BP98" s="54">
        <f t="shared" si="46"/>
        <v>0</v>
      </c>
      <c r="BQ98" s="54">
        <f t="shared" si="46"/>
        <v>0</v>
      </c>
      <c r="BR98" s="54">
        <f t="shared" si="46"/>
        <v>0</v>
      </c>
      <c r="BS98" s="54">
        <f t="shared" si="46"/>
        <v>0</v>
      </c>
      <c r="BT98" s="54">
        <f t="shared" si="46"/>
        <v>0</v>
      </c>
      <c r="BU98" s="54">
        <f t="shared" si="46"/>
        <v>0</v>
      </c>
      <c r="BV98" s="54">
        <f t="shared" si="46"/>
        <v>0</v>
      </c>
      <c r="BX98">
        <v>10</v>
      </c>
      <c r="BY98" s="173">
        <f>+AK$94</f>
        <v>0</v>
      </c>
      <c r="BZ98" s="173">
        <f>+AK$101</f>
        <v>0</v>
      </c>
      <c r="CA98" s="173">
        <f>+AK$108</f>
        <v>0</v>
      </c>
      <c r="CC98" s="173">
        <f>CdTrp1!AT$54</f>
        <v>0</v>
      </c>
      <c r="CD98" s="173">
        <f>CdTrp2!AT$54</f>
        <v>0</v>
      </c>
      <c r="CE98" s="173">
        <f>CdTrp3!AT$54</f>
        <v>0</v>
      </c>
    </row>
    <row r="99" spans="1:83" x14ac:dyDescent="0.25">
      <c r="A99" s="223" t="str">
        <f>'Conduite Trp'!B28</f>
        <v xml:space="preserve">18 -cmv engraissement bovin </v>
      </c>
      <c r="C99" s="190">
        <f>[1]Conc!$D22</f>
        <v>0</v>
      </c>
      <c r="D99" s="173">
        <f t="shared" si="35"/>
        <v>0</v>
      </c>
      <c r="E99" s="173">
        <f t="shared" si="35"/>
        <v>0</v>
      </c>
      <c r="F99" s="173">
        <f t="shared" si="35"/>
        <v>0</v>
      </c>
      <c r="J99" s="173">
        <f t="shared" si="36"/>
        <v>0</v>
      </c>
      <c r="K99" s="173">
        <f t="shared" si="37"/>
        <v>0</v>
      </c>
      <c r="L99" s="173">
        <f t="shared" si="37"/>
        <v>0</v>
      </c>
      <c r="M99" s="173">
        <f t="shared" si="37"/>
        <v>0</v>
      </c>
      <c r="R99" t="s">
        <v>379</v>
      </c>
      <c r="T99" s="231">
        <v>39</v>
      </c>
      <c r="U99" s="231">
        <v>33</v>
      </c>
      <c r="W99" s="126">
        <f>HLOOKUP(Troupeau!K$17,[1]Anx!$C$170:$CO$215,T99)</f>
        <v>0</v>
      </c>
      <c r="X99" s="61">
        <f t="shared" si="43"/>
        <v>0</v>
      </c>
      <c r="Y99" s="126">
        <f>HLOOKUP(Troupeau!K$17,[1]Anx!$C$170:$CO$215,U99)</f>
        <v>0</v>
      </c>
      <c r="Z99" s="54">
        <f>Y$82*Y99</f>
        <v>0</v>
      </c>
      <c r="AB99" s="54">
        <f t="shared" si="44"/>
        <v>0</v>
      </c>
      <c r="AC99" s="54">
        <f t="shared" si="44"/>
        <v>0</v>
      </c>
      <c r="AD99" s="54">
        <f t="shared" si="44"/>
        <v>0</v>
      </c>
      <c r="AE99" s="54">
        <f t="shared" si="44"/>
        <v>0</v>
      </c>
      <c r="AF99" s="54">
        <f t="shared" si="44"/>
        <v>0</v>
      </c>
      <c r="AG99" s="54">
        <f t="shared" si="44"/>
        <v>0</v>
      </c>
      <c r="AH99" s="54">
        <f t="shared" si="44"/>
        <v>0</v>
      </c>
      <c r="AI99" s="54">
        <f t="shared" si="44"/>
        <v>0</v>
      </c>
      <c r="AJ99" s="54">
        <f t="shared" si="44"/>
        <v>0</v>
      </c>
      <c r="AK99" s="54">
        <f t="shared" si="44"/>
        <v>0</v>
      </c>
      <c r="AL99" s="54">
        <f t="shared" si="44"/>
        <v>0</v>
      </c>
      <c r="AM99" s="54">
        <f t="shared" si="44"/>
        <v>0</v>
      </c>
      <c r="AN99" s="54">
        <f t="shared" si="44"/>
        <v>0</v>
      </c>
      <c r="AO99" s="54">
        <f t="shared" si="44"/>
        <v>0</v>
      </c>
      <c r="AP99" s="54">
        <f t="shared" si="44"/>
        <v>0</v>
      </c>
      <c r="AQ99" s="54">
        <f t="shared" si="44"/>
        <v>0</v>
      </c>
      <c r="AR99" s="54">
        <f t="shared" si="45"/>
        <v>0</v>
      </c>
      <c r="AS99" s="54">
        <f t="shared" si="45"/>
        <v>0</v>
      </c>
      <c r="AT99" s="54">
        <f t="shared" si="45"/>
        <v>0</v>
      </c>
      <c r="AU99" s="54">
        <f t="shared" si="45"/>
        <v>0</v>
      </c>
      <c r="AV99" s="54">
        <f t="shared" si="45"/>
        <v>0</v>
      </c>
      <c r="AW99" s="54">
        <f t="shared" si="45"/>
        <v>0</v>
      </c>
      <c r="AX99" s="54">
        <f t="shared" si="45"/>
        <v>0</v>
      </c>
      <c r="AY99" s="54">
        <f t="shared" si="45"/>
        <v>0</v>
      </c>
      <c r="AZ99" s="54">
        <f t="shared" si="45"/>
        <v>0</v>
      </c>
      <c r="BA99" s="54">
        <f t="shared" si="45"/>
        <v>0</v>
      </c>
      <c r="BB99" s="54">
        <f t="shared" si="45"/>
        <v>0</v>
      </c>
      <c r="BC99" s="54">
        <f t="shared" si="45"/>
        <v>0</v>
      </c>
      <c r="BD99" s="54">
        <f t="shared" si="45"/>
        <v>0</v>
      </c>
      <c r="BE99" s="54">
        <f t="shared" si="45"/>
        <v>0</v>
      </c>
      <c r="BF99" s="54">
        <f t="shared" si="45"/>
        <v>0</v>
      </c>
      <c r="BG99" s="54">
        <f t="shared" si="45"/>
        <v>0</v>
      </c>
      <c r="BH99" s="54">
        <f t="shared" si="46"/>
        <v>0</v>
      </c>
      <c r="BI99" s="54">
        <f t="shared" si="46"/>
        <v>0</v>
      </c>
      <c r="BJ99" s="54">
        <f t="shared" si="46"/>
        <v>0</v>
      </c>
      <c r="BK99" s="54">
        <f t="shared" si="46"/>
        <v>0</v>
      </c>
      <c r="BL99" s="54">
        <f t="shared" si="46"/>
        <v>0</v>
      </c>
      <c r="BM99" s="54">
        <f t="shared" si="46"/>
        <v>0</v>
      </c>
      <c r="BN99" s="54">
        <f t="shared" si="46"/>
        <v>0</v>
      </c>
      <c r="BO99" s="54">
        <f t="shared" si="46"/>
        <v>0</v>
      </c>
      <c r="BP99" s="54">
        <f t="shared" si="46"/>
        <v>0</v>
      </c>
      <c r="BQ99" s="54">
        <f t="shared" si="46"/>
        <v>0</v>
      </c>
      <c r="BR99" s="54">
        <f t="shared" si="46"/>
        <v>0</v>
      </c>
      <c r="BS99" s="54">
        <f t="shared" si="46"/>
        <v>0</v>
      </c>
      <c r="BT99" s="54">
        <f t="shared" si="46"/>
        <v>0</v>
      </c>
      <c r="BU99" s="54">
        <f t="shared" si="46"/>
        <v>0</v>
      </c>
      <c r="BV99" s="54">
        <f t="shared" si="46"/>
        <v>0</v>
      </c>
      <c r="BX99">
        <v>11</v>
      </c>
      <c r="BY99" s="173">
        <f>+AL$94</f>
        <v>0</v>
      </c>
      <c r="BZ99" s="173">
        <f>+AL$101</f>
        <v>0</v>
      </c>
      <c r="CA99" s="173">
        <f>+AL$108</f>
        <v>0</v>
      </c>
      <c r="CC99" s="173">
        <f>CdTrp1!AU$54</f>
        <v>9.6999999999999993</v>
      </c>
      <c r="CD99" s="173">
        <f>CdTrp2!AU$54</f>
        <v>0</v>
      </c>
      <c r="CE99" s="173">
        <f>CdTrp3!AU$54</f>
        <v>0</v>
      </c>
    </row>
    <row r="100" spans="1:83" x14ac:dyDescent="0.25">
      <c r="A100" s="223" t="str">
        <f>'Conduite Trp'!B29</f>
        <v>19 -concentré VL</v>
      </c>
      <c r="C100" s="190">
        <f>[1]Conc!$D23</f>
        <v>390</v>
      </c>
      <c r="D100" s="173">
        <f t="shared" si="35"/>
        <v>0</v>
      </c>
      <c r="E100" s="173">
        <f t="shared" si="35"/>
        <v>0</v>
      </c>
      <c r="F100" s="173">
        <f t="shared" si="35"/>
        <v>0</v>
      </c>
      <c r="J100" s="173">
        <f t="shared" si="36"/>
        <v>0</v>
      </c>
      <c r="K100" s="173">
        <f t="shared" si="37"/>
        <v>0</v>
      </c>
      <c r="L100" s="173">
        <f t="shared" si="37"/>
        <v>0</v>
      </c>
      <c r="M100" s="173">
        <f t="shared" si="37"/>
        <v>0</v>
      </c>
      <c r="R100" t="s">
        <v>380</v>
      </c>
      <c r="S100" s="5"/>
      <c r="T100" s="231">
        <v>40</v>
      </c>
      <c r="U100" s="231">
        <v>34</v>
      </c>
      <c r="W100" s="126">
        <f>HLOOKUP(Troupeau!K$17,[1]Anx!$C$170:$CO$215,T100)</f>
        <v>0</v>
      </c>
      <c r="X100" s="61">
        <f t="shared" si="43"/>
        <v>0</v>
      </c>
      <c r="Y100" s="126">
        <f>HLOOKUP(Troupeau!K$17,[1]Anx!$C$170:$CO$215,U100)</f>
        <v>0</v>
      </c>
      <c r="Z100" s="54">
        <f>Y$82*Y100</f>
        <v>0</v>
      </c>
      <c r="AB100" s="54">
        <f t="shared" si="44"/>
        <v>0</v>
      </c>
      <c r="AC100" s="54">
        <f t="shared" si="44"/>
        <v>0</v>
      </c>
      <c r="AD100" s="54">
        <f t="shared" si="44"/>
        <v>0</v>
      </c>
      <c r="AE100" s="54">
        <f t="shared" si="44"/>
        <v>0</v>
      </c>
      <c r="AF100" s="54">
        <f t="shared" si="44"/>
        <v>0</v>
      </c>
      <c r="AG100" s="54">
        <f t="shared" si="44"/>
        <v>0</v>
      </c>
      <c r="AH100" s="54">
        <f t="shared" si="44"/>
        <v>0</v>
      </c>
      <c r="AI100" s="54">
        <f t="shared" si="44"/>
        <v>0</v>
      </c>
      <c r="AJ100" s="54">
        <f t="shared" si="44"/>
        <v>0</v>
      </c>
      <c r="AK100" s="54">
        <f t="shared" si="44"/>
        <v>0</v>
      </c>
      <c r="AL100" s="54">
        <f t="shared" si="44"/>
        <v>0</v>
      </c>
      <c r="AM100" s="54">
        <f t="shared" si="44"/>
        <v>0</v>
      </c>
      <c r="AN100" s="54">
        <f t="shared" si="44"/>
        <v>0</v>
      </c>
      <c r="AO100" s="54">
        <f t="shared" si="44"/>
        <v>0</v>
      </c>
      <c r="AP100" s="54">
        <f t="shared" si="44"/>
        <v>0</v>
      </c>
      <c r="AQ100" s="54">
        <f t="shared" si="44"/>
        <v>0</v>
      </c>
      <c r="AR100" s="54">
        <f t="shared" si="45"/>
        <v>0</v>
      </c>
      <c r="AS100" s="54">
        <f t="shared" si="45"/>
        <v>0</v>
      </c>
      <c r="AT100" s="54">
        <f t="shared" si="45"/>
        <v>0</v>
      </c>
      <c r="AU100" s="54">
        <f t="shared" si="45"/>
        <v>0</v>
      </c>
      <c r="AV100" s="54">
        <f t="shared" si="45"/>
        <v>0</v>
      </c>
      <c r="AW100" s="54">
        <f t="shared" si="45"/>
        <v>0</v>
      </c>
      <c r="AX100" s="54">
        <f t="shared" si="45"/>
        <v>0</v>
      </c>
      <c r="AY100" s="54">
        <f t="shared" si="45"/>
        <v>0</v>
      </c>
      <c r="AZ100" s="54">
        <f t="shared" si="45"/>
        <v>0</v>
      </c>
      <c r="BA100" s="54">
        <f t="shared" si="45"/>
        <v>0</v>
      </c>
      <c r="BB100" s="54">
        <f t="shared" si="45"/>
        <v>0</v>
      </c>
      <c r="BC100" s="54">
        <f t="shared" si="45"/>
        <v>0</v>
      </c>
      <c r="BD100" s="54">
        <f t="shared" si="45"/>
        <v>0</v>
      </c>
      <c r="BE100" s="54">
        <f t="shared" si="45"/>
        <v>0</v>
      </c>
      <c r="BF100" s="54">
        <f t="shared" si="45"/>
        <v>0</v>
      </c>
      <c r="BG100" s="54">
        <f t="shared" si="45"/>
        <v>0</v>
      </c>
      <c r="BH100" s="54">
        <f t="shared" si="46"/>
        <v>0</v>
      </c>
      <c r="BI100" s="54">
        <f t="shared" si="46"/>
        <v>0</v>
      </c>
      <c r="BJ100" s="54">
        <f t="shared" si="46"/>
        <v>0</v>
      </c>
      <c r="BK100" s="54">
        <f t="shared" si="46"/>
        <v>0</v>
      </c>
      <c r="BL100" s="54">
        <f t="shared" si="46"/>
        <v>0</v>
      </c>
      <c r="BM100" s="54">
        <f t="shared" si="46"/>
        <v>0</v>
      </c>
      <c r="BN100" s="54">
        <f t="shared" si="46"/>
        <v>0</v>
      </c>
      <c r="BO100" s="54">
        <f t="shared" si="46"/>
        <v>0</v>
      </c>
      <c r="BP100" s="54">
        <f t="shared" si="46"/>
        <v>0</v>
      </c>
      <c r="BQ100" s="54">
        <f t="shared" si="46"/>
        <v>0</v>
      </c>
      <c r="BR100" s="54">
        <f t="shared" si="46"/>
        <v>0</v>
      </c>
      <c r="BS100" s="54">
        <f t="shared" si="46"/>
        <v>0</v>
      </c>
      <c r="BT100" s="54">
        <f t="shared" si="46"/>
        <v>0</v>
      </c>
      <c r="BU100" s="54">
        <f t="shared" si="46"/>
        <v>0</v>
      </c>
      <c r="BV100" s="54">
        <f t="shared" si="46"/>
        <v>0</v>
      </c>
      <c r="BX100">
        <v>12</v>
      </c>
      <c r="BY100" s="173">
        <f>+AM$94</f>
        <v>0</v>
      </c>
      <c r="BZ100" s="173">
        <f>+AM$101</f>
        <v>0</v>
      </c>
      <c r="CA100" s="173">
        <f>+AM$108</f>
        <v>0</v>
      </c>
      <c r="CC100" s="173">
        <f>CdTrp1!AV$54</f>
        <v>0</v>
      </c>
      <c r="CD100" s="173">
        <f>CdTrp2!AV$54</f>
        <v>0</v>
      </c>
      <c r="CE100" s="173">
        <f>CdTrp3!AV$54</f>
        <v>0</v>
      </c>
    </row>
    <row r="101" spans="1:83" x14ac:dyDescent="0.25">
      <c r="A101" s="223" t="str">
        <f>'Conduite Trp'!B30</f>
        <v>20 -</v>
      </c>
      <c r="C101" s="190">
        <f>[1]Conc!$D24</f>
        <v>0</v>
      </c>
      <c r="D101" s="173">
        <f t="shared" si="35"/>
        <v>0</v>
      </c>
      <c r="E101" s="173">
        <f t="shared" si="35"/>
        <v>0</v>
      </c>
      <c r="F101" s="173">
        <f t="shared" si="35"/>
        <v>0</v>
      </c>
      <c r="J101" s="173">
        <f t="shared" si="36"/>
        <v>0</v>
      </c>
      <c r="K101" s="173">
        <f t="shared" si="37"/>
        <v>0</v>
      </c>
      <c r="L101" s="173">
        <f t="shared" si="37"/>
        <v>0</v>
      </c>
      <c r="M101" s="173">
        <f t="shared" si="37"/>
        <v>0</v>
      </c>
      <c r="AB101" s="56">
        <f>SUM(AB96:AB100)</f>
        <v>0</v>
      </c>
      <c r="AC101" s="56">
        <f t="shared" ref="AC101:BV101" si="47">SUM(AC96:AC100)</f>
        <v>0</v>
      </c>
      <c r="AD101" s="56">
        <f t="shared" si="47"/>
        <v>0</v>
      </c>
      <c r="AE101" s="56">
        <f t="shared" si="47"/>
        <v>0</v>
      </c>
      <c r="AF101" s="56">
        <f t="shared" si="47"/>
        <v>0</v>
      </c>
      <c r="AG101" s="56">
        <f t="shared" si="47"/>
        <v>0</v>
      </c>
      <c r="AH101" s="56">
        <f t="shared" si="47"/>
        <v>0</v>
      </c>
      <c r="AI101" s="56">
        <f t="shared" si="47"/>
        <v>0</v>
      </c>
      <c r="AJ101" s="56">
        <f t="shared" si="47"/>
        <v>0</v>
      </c>
      <c r="AK101" s="56">
        <f t="shared" si="47"/>
        <v>0</v>
      </c>
      <c r="AL101" s="56">
        <f t="shared" si="47"/>
        <v>0</v>
      </c>
      <c r="AM101" s="56">
        <f t="shared" si="47"/>
        <v>0</v>
      </c>
      <c r="AN101" s="56">
        <f t="shared" si="47"/>
        <v>0</v>
      </c>
      <c r="AO101" s="56">
        <f t="shared" si="47"/>
        <v>0</v>
      </c>
      <c r="AP101" s="56">
        <f t="shared" si="47"/>
        <v>0</v>
      </c>
      <c r="AQ101" s="56">
        <f t="shared" si="47"/>
        <v>0</v>
      </c>
      <c r="AR101" s="56">
        <f t="shared" si="47"/>
        <v>0</v>
      </c>
      <c r="AS101" s="56">
        <f t="shared" si="47"/>
        <v>0</v>
      </c>
      <c r="AT101" s="56">
        <f t="shared" si="47"/>
        <v>0</v>
      </c>
      <c r="AU101" s="56">
        <f t="shared" si="47"/>
        <v>0</v>
      </c>
      <c r="AV101" s="56">
        <f t="shared" si="47"/>
        <v>0</v>
      </c>
      <c r="AW101" s="56">
        <f t="shared" si="47"/>
        <v>0</v>
      </c>
      <c r="AX101" s="56">
        <f t="shared" si="47"/>
        <v>0</v>
      </c>
      <c r="AY101" s="56">
        <f t="shared" si="47"/>
        <v>0</v>
      </c>
      <c r="AZ101" s="56">
        <f t="shared" si="47"/>
        <v>0</v>
      </c>
      <c r="BA101" s="56">
        <f t="shared" si="47"/>
        <v>0</v>
      </c>
      <c r="BB101" s="56">
        <f t="shared" si="47"/>
        <v>0</v>
      </c>
      <c r="BC101" s="56">
        <f t="shared" si="47"/>
        <v>0</v>
      </c>
      <c r="BD101" s="56">
        <f t="shared" si="47"/>
        <v>0</v>
      </c>
      <c r="BE101" s="56">
        <f t="shared" si="47"/>
        <v>0</v>
      </c>
      <c r="BF101" s="56">
        <f t="shared" si="47"/>
        <v>0</v>
      </c>
      <c r="BG101" s="56">
        <f t="shared" si="47"/>
        <v>0</v>
      </c>
      <c r="BH101" s="56">
        <f t="shared" si="47"/>
        <v>0</v>
      </c>
      <c r="BI101" s="56">
        <f t="shared" si="47"/>
        <v>0</v>
      </c>
      <c r="BJ101" s="56">
        <f t="shared" si="47"/>
        <v>0</v>
      </c>
      <c r="BK101" s="56">
        <f t="shared" si="47"/>
        <v>0</v>
      </c>
      <c r="BL101" s="56">
        <f t="shared" si="47"/>
        <v>0</v>
      </c>
      <c r="BM101" s="56">
        <f t="shared" si="47"/>
        <v>0</v>
      </c>
      <c r="BN101" s="56">
        <f t="shared" si="47"/>
        <v>0</v>
      </c>
      <c r="BO101" s="56">
        <f t="shared" si="47"/>
        <v>0</v>
      </c>
      <c r="BP101" s="56">
        <f t="shared" si="47"/>
        <v>0</v>
      </c>
      <c r="BQ101" s="56">
        <f t="shared" si="47"/>
        <v>0</v>
      </c>
      <c r="BR101" s="56">
        <f t="shared" si="47"/>
        <v>0</v>
      </c>
      <c r="BS101" s="56">
        <f t="shared" si="47"/>
        <v>0</v>
      </c>
      <c r="BT101" s="56">
        <f t="shared" si="47"/>
        <v>0</v>
      </c>
      <c r="BU101" s="56">
        <f t="shared" si="47"/>
        <v>0</v>
      </c>
      <c r="BV101" s="56">
        <f t="shared" si="47"/>
        <v>0</v>
      </c>
      <c r="BX101">
        <v>13</v>
      </c>
      <c r="BY101" s="173">
        <f>+AN$94</f>
        <v>0</v>
      </c>
      <c r="BZ101" s="173">
        <f>+AN$101</f>
        <v>0</v>
      </c>
      <c r="CA101" s="173">
        <f>+AN$108</f>
        <v>0</v>
      </c>
      <c r="CC101" s="173">
        <f>CdTrp1!AW$54</f>
        <v>3.4</v>
      </c>
      <c r="CD101" s="173">
        <f>CdTrp2!AW$54</f>
        <v>0</v>
      </c>
      <c r="CE101" s="173">
        <f>CdTrp3!AW$54</f>
        <v>0</v>
      </c>
    </row>
    <row r="102" spans="1:83" x14ac:dyDescent="0.25">
      <c r="A102" s="223" t="str">
        <f>'Conduite Trp'!B31</f>
        <v>21 -</v>
      </c>
      <c r="C102" s="190">
        <f>[1]Conc!$D25</f>
        <v>0</v>
      </c>
      <c r="D102" s="173">
        <f t="shared" si="35"/>
        <v>0</v>
      </c>
      <c r="E102" s="173">
        <f t="shared" si="35"/>
        <v>0</v>
      </c>
      <c r="F102" s="173">
        <f t="shared" si="35"/>
        <v>0</v>
      </c>
      <c r="J102" s="173">
        <f t="shared" si="36"/>
        <v>0</v>
      </c>
      <c r="K102" s="173">
        <f t="shared" si="37"/>
        <v>0</v>
      </c>
      <c r="L102" s="173">
        <f t="shared" si="37"/>
        <v>0</v>
      </c>
      <c r="M102" s="173">
        <f t="shared" si="37"/>
        <v>0</v>
      </c>
      <c r="BX102">
        <v>14</v>
      </c>
      <c r="BY102" s="173">
        <f>+AO$94</f>
        <v>0</v>
      </c>
      <c r="BZ102" s="173">
        <f>+AO$101</f>
        <v>0</v>
      </c>
      <c r="CA102" s="173">
        <f>+AO$108</f>
        <v>0</v>
      </c>
      <c r="CC102" s="173">
        <f>CdTrp1!AX$54</f>
        <v>6.7</v>
      </c>
      <c r="CD102" s="173">
        <f>CdTrp2!AX$54</f>
        <v>0</v>
      </c>
      <c r="CE102" s="173">
        <f>CdTrp3!AX$54</f>
        <v>0</v>
      </c>
    </row>
    <row r="103" spans="1:83" x14ac:dyDescent="0.25">
      <c r="A103" s="223" t="str">
        <f>'Conduite Trp'!B32</f>
        <v>22 -</v>
      </c>
      <c r="C103" s="190">
        <f>[1]Conc!$D26</f>
        <v>0</v>
      </c>
      <c r="D103" s="173">
        <f t="shared" si="35"/>
        <v>0</v>
      </c>
      <c r="E103" s="173">
        <f t="shared" si="35"/>
        <v>0</v>
      </c>
      <c r="F103" s="173">
        <f t="shared" si="35"/>
        <v>0</v>
      </c>
      <c r="J103" s="173">
        <f t="shared" si="36"/>
        <v>0</v>
      </c>
      <c r="K103" s="173">
        <f t="shared" si="37"/>
        <v>0</v>
      </c>
      <c r="L103" s="173">
        <f t="shared" si="37"/>
        <v>0</v>
      </c>
      <c r="M103" s="173">
        <f t="shared" si="37"/>
        <v>0</v>
      </c>
      <c r="Q103" s="2" t="s">
        <v>96</v>
      </c>
      <c r="R103" t="s">
        <v>376</v>
      </c>
      <c r="T103" s="231">
        <v>36</v>
      </c>
      <c r="U103" s="231">
        <v>30</v>
      </c>
      <c r="W103" s="126">
        <f>HLOOKUP(Troupeau!L$17,[1]Anx!$C$170:$CO$215,T103)</f>
        <v>36</v>
      </c>
      <c r="X103" s="61">
        <f t="shared" ref="X103:X107" si="48">VALUE(LEFT(W103,2))</f>
        <v>36</v>
      </c>
      <c r="Y103" s="126">
        <f>HLOOKUP(Troupeau!L$17,[1]Anx!$C$170:$CO$215,U103)</f>
        <v>30</v>
      </c>
      <c r="Z103" s="54">
        <f>Y$82*Y103</f>
        <v>0</v>
      </c>
      <c r="AB103" s="54">
        <f t="shared" ref="AB103:AQ107" si="49">IF($X103=AB$88,ROUND($Z103/1000,1),0)</f>
        <v>0</v>
      </c>
      <c r="AC103" s="54">
        <f t="shared" si="49"/>
        <v>0</v>
      </c>
      <c r="AD103" s="54">
        <f t="shared" si="49"/>
        <v>0</v>
      </c>
      <c r="AE103" s="54">
        <f t="shared" si="49"/>
        <v>0</v>
      </c>
      <c r="AF103" s="54">
        <f t="shared" si="49"/>
        <v>0</v>
      </c>
      <c r="AG103" s="54">
        <f t="shared" si="49"/>
        <v>0</v>
      </c>
      <c r="AH103" s="54">
        <f t="shared" si="49"/>
        <v>0</v>
      </c>
      <c r="AI103" s="54">
        <f t="shared" si="49"/>
        <v>0</v>
      </c>
      <c r="AJ103" s="54">
        <f t="shared" si="49"/>
        <v>0</v>
      </c>
      <c r="AK103" s="54">
        <f t="shared" si="49"/>
        <v>0</v>
      </c>
      <c r="AL103" s="54">
        <f t="shared" si="49"/>
        <v>0</v>
      </c>
      <c r="AM103" s="54">
        <f t="shared" si="49"/>
        <v>0</v>
      </c>
      <c r="AN103" s="54">
        <f t="shared" si="49"/>
        <v>0</v>
      </c>
      <c r="AO103" s="54">
        <f t="shared" si="49"/>
        <v>0</v>
      </c>
      <c r="AP103" s="54">
        <f t="shared" si="49"/>
        <v>0</v>
      </c>
      <c r="AQ103" s="54">
        <f t="shared" si="49"/>
        <v>0</v>
      </c>
      <c r="AR103" s="54">
        <f t="shared" ref="AR103:BG107" si="50">IF($X103=AR$88,ROUND($Z103/1000,1),0)</f>
        <v>0</v>
      </c>
      <c r="AS103" s="54">
        <f t="shared" si="50"/>
        <v>0</v>
      </c>
      <c r="AT103" s="54">
        <f t="shared" si="50"/>
        <v>0</v>
      </c>
      <c r="AU103" s="54">
        <f t="shared" si="50"/>
        <v>0</v>
      </c>
      <c r="AV103" s="54">
        <f t="shared" si="50"/>
        <v>0</v>
      </c>
      <c r="AW103" s="54">
        <f t="shared" si="50"/>
        <v>0</v>
      </c>
      <c r="AX103" s="54">
        <f t="shared" si="50"/>
        <v>0</v>
      </c>
      <c r="AY103" s="54">
        <f t="shared" si="50"/>
        <v>0</v>
      </c>
      <c r="AZ103" s="54">
        <f t="shared" si="50"/>
        <v>0</v>
      </c>
      <c r="BA103" s="54">
        <f t="shared" si="50"/>
        <v>0</v>
      </c>
      <c r="BB103" s="54">
        <f t="shared" si="50"/>
        <v>0</v>
      </c>
      <c r="BC103" s="54">
        <f t="shared" si="50"/>
        <v>0</v>
      </c>
      <c r="BD103" s="54">
        <f t="shared" si="50"/>
        <v>0</v>
      </c>
      <c r="BE103" s="54">
        <f t="shared" si="50"/>
        <v>0</v>
      </c>
      <c r="BF103" s="54">
        <f t="shared" si="50"/>
        <v>0</v>
      </c>
      <c r="BG103" s="54">
        <f t="shared" si="50"/>
        <v>0</v>
      </c>
      <c r="BH103" s="54">
        <f t="shared" ref="BH103:BV107" si="51">IF($X103=BH$88,ROUND($Z103/1000,1),0)</f>
        <v>0</v>
      </c>
      <c r="BI103" s="54">
        <f t="shared" si="51"/>
        <v>0</v>
      </c>
      <c r="BJ103" s="54">
        <f t="shared" si="51"/>
        <v>0</v>
      </c>
      <c r="BK103" s="54">
        <f t="shared" si="51"/>
        <v>0</v>
      </c>
      <c r="BL103" s="54">
        <f t="shared" si="51"/>
        <v>0</v>
      </c>
      <c r="BM103" s="54">
        <f t="shared" si="51"/>
        <v>0</v>
      </c>
      <c r="BN103" s="54">
        <f t="shared" si="51"/>
        <v>0</v>
      </c>
      <c r="BO103" s="54">
        <f t="shared" si="51"/>
        <v>0</v>
      </c>
      <c r="BP103" s="54">
        <f t="shared" si="51"/>
        <v>0</v>
      </c>
      <c r="BQ103" s="54">
        <f t="shared" si="51"/>
        <v>0</v>
      </c>
      <c r="BR103" s="54">
        <f t="shared" si="51"/>
        <v>0</v>
      </c>
      <c r="BS103" s="54">
        <f t="shared" si="51"/>
        <v>0</v>
      </c>
      <c r="BT103" s="54">
        <f t="shared" si="51"/>
        <v>0</v>
      </c>
      <c r="BU103" s="54">
        <f t="shared" si="51"/>
        <v>0</v>
      </c>
      <c r="BV103" s="54">
        <f t="shared" si="51"/>
        <v>0</v>
      </c>
      <c r="BX103">
        <v>15</v>
      </c>
      <c r="BY103" s="173">
        <f>+AP$94</f>
        <v>0</v>
      </c>
      <c r="BZ103" s="173">
        <f>+AP$101</f>
        <v>0</v>
      </c>
      <c r="CA103" s="173">
        <f>+AP$108</f>
        <v>0</v>
      </c>
      <c r="CC103" s="173">
        <f>CdTrp1!AY$54</f>
        <v>0</v>
      </c>
      <c r="CD103" s="173">
        <f>CdTrp2!AY$54</f>
        <v>5.3</v>
      </c>
      <c r="CE103" s="173">
        <f>CdTrp3!AY$54</f>
        <v>0</v>
      </c>
    </row>
    <row r="104" spans="1:83" x14ac:dyDescent="0.25">
      <c r="A104" s="223" t="str">
        <f>'Conduite Trp'!B33</f>
        <v>23 -</v>
      </c>
      <c r="C104" s="190">
        <f>[1]Conc!$D27</f>
        <v>0</v>
      </c>
      <c r="D104" s="173">
        <f t="shared" ref="D104:F106" si="52">BY111+CC111</f>
        <v>0</v>
      </c>
      <c r="E104" s="173">
        <f t="shared" si="52"/>
        <v>0</v>
      </c>
      <c r="F104" s="173">
        <f t="shared" si="52"/>
        <v>0</v>
      </c>
      <c r="J104" s="173">
        <f t="shared" si="36"/>
        <v>0</v>
      </c>
      <c r="K104" s="173">
        <f t="shared" si="37"/>
        <v>0</v>
      </c>
      <c r="L104" s="173">
        <f t="shared" si="37"/>
        <v>0</v>
      </c>
      <c r="M104" s="173">
        <f t="shared" si="37"/>
        <v>0</v>
      </c>
      <c r="R104" t="s">
        <v>377</v>
      </c>
      <c r="T104" s="231">
        <v>37</v>
      </c>
      <c r="U104" s="231">
        <v>31</v>
      </c>
      <c r="W104" s="126">
        <f>HLOOKUP(Troupeau!L$17,[1]Anx!$C$170:$CO$215,T104)</f>
        <v>37</v>
      </c>
      <c r="X104" s="61">
        <f t="shared" si="48"/>
        <v>37</v>
      </c>
      <c r="Y104" s="126">
        <f>HLOOKUP(Troupeau!L$17,[1]Anx!$C$170:$CO$215,U104)</f>
        <v>31</v>
      </c>
      <c r="Z104" s="54">
        <f>Y$82*Y104</f>
        <v>0</v>
      </c>
      <c r="AB104" s="54">
        <f t="shared" si="49"/>
        <v>0</v>
      </c>
      <c r="AC104" s="54">
        <f t="shared" si="49"/>
        <v>0</v>
      </c>
      <c r="AD104" s="54">
        <f t="shared" si="49"/>
        <v>0</v>
      </c>
      <c r="AE104" s="54">
        <f t="shared" si="49"/>
        <v>0</v>
      </c>
      <c r="AF104" s="54">
        <f t="shared" si="49"/>
        <v>0</v>
      </c>
      <c r="AG104" s="54">
        <f t="shared" si="49"/>
        <v>0</v>
      </c>
      <c r="AH104" s="54">
        <f t="shared" si="49"/>
        <v>0</v>
      </c>
      <c r="AI104" s="54">
        <f t="shared" si="49"/>
        <v>0</v>
      </c>
      <c r="AJ104" s="54">
        <f t="shared" si="49"/>
        <v>0</v>
      </c>
      <c r="AK104" s="54">
        <f t="shared" si="49"/>
        <v>0</v>
      </c>
      <c r="AL104" s="54">
        <f t="shared" si="49"/>
        <v>0</v>
      </c>
      <c r="AM104" s="54">
        <f t="shared" si="49"/>
        <v>0</v>
      </c>
      <c r="AN104" s="54">
        <f t="shared" si="49"/>
        <v>0</v>
      </c>
      <c r="AO104" s="54">
        <f t="shared" si="49"/>
        <v>0</v>
      </c>
      <c r="AP104" s="54">
        <f t="shared" si="49"/>
        <v>0</v>
      </c>
      <c r="AQ104" s="54">
        <f t="shared" si="49"/>
        <v>0</v>
      </c>
      <c r="AR104" s="54">
        <f t="shared" si="50"/>
        <v>0</v>
      </c>
      <c r="AS104" s="54">
        <f t="shared" si="50"/>
        <v>0</v>
      </c>
      <c r="AT104" s="54">
        <f t="shared" si="50"/>
        <v>0</v>
      </c>
      <c r="AU104" s="54">
        <f t="shared" si="50"/>
        <v>0</v>
      </c>
      <c r="AV104" s="54">
        <f t="shared" si="50"/>
        <v>0</v>
      </c>
      <c r="AW104" s="54">
        <f t="shared" si="50"/>
        <v>0</v>
      </c>
      <c r="AX104" s="54">
        <f t="shared" si="50"/>
        <v>0</v>
      </c>
      <c r="AY104" s="54">
        <f t="shared" si="50"/>
        <v>0</v>
      </c>
      <c r="AZ104" s="54">
        <f t="shared" si="50"/>
        <v>0</v>
      </c>
      <c r="BA104" s="54">
        <f t="shared" si="50"/>
        <v>0</v>
      </c>
      <c r="BB104" s="54">
        <f t="shared" si="50"/>
        <v>0</v>
      </c>
      <c r="BC104" s="54">
        <f t="shared" si="50"/>
        <v>0</v>
      </c>
      <c r="BD104" s="54">
        <f t="shared" si="50"/>
        <v>0</v>
      </c>
      <c r="BE104" s="54">
        <f t="shared" si="50"/>
        <v>0</v>
      </c>
      <c r="BF104" s="54">
        <f t="shared" si="50"/>
        <v>0</v>
      </c>
      <c r="BG104" s="54">
        <f t="shared" si="50"/>
        <v>0</v>
      </c>
      <c r="BH104" s="54">
        <f t="shared" si="51"/>
        <v>0</v>
      </c>
      <c r="BI104" s="54">
        <f t="shared" si="51"/>
        <v>0</v>
      </c>
      <c r="BJ104" s="54">
        <f t="shared" si="51"/>
        <v>0</v>
      </c>
      <c r="BK104" s="54">
        <f t="shared" si="51"/>
        <v>0</v>
      </c>
      <c r="BL104" s="54">
        <f t="shared" si="51"/>
        <v>0</v>
      </c>
      <c r="BM104" s="54">
        <f t="shared" si="51"/>
        <v>0</v>
      </c>
      <c r="BN104" s="54">
        <f t="shared" si="51"/>
        <v>0</v>
      </c>
      <c r="BO104" s="54">
        <f t="shared" si="51"/>
        <v>0</v>
      </c>
      <c r="BP104" s="54">
        <f t="shared" si="51"/>
        <v>0</v>
      </c>
      <c r="BQ104" s="54">
        <f t="shared" si="51"/>
        <v>0</v>
      </c>
      <c r="BR104" s="54">
        <f t="shared" si="51"/>
        <v>0</v>
      </c>
      <c r="BS104" s="54">
        <f t="shared" si="51"/>
        <v>0</v>
      </c>
      <c r="BT104" s="54">
        <f t="shared" si="51"/>
        <v>0</v>
      </c>
      <c r="BU104" s="54">
        <f t="shared" si="51"/>
        <v>0</v>
      </c>
      <c r="BV104" s="54">
        <f t="shared" si="51"/>
        <v>0</v>
      </c>
      <c r="BX104">
        <v>16</v>
      </c>
      <c r="BY104" s="173">
        <f>+AQ$94</f>
        <v>0</v>
      </c>
      <c r="BZ104" s="173">
        <f>+AQ$101</f>
        <v>0</v>
      </c>
      <c r="CA104" s="173">
        <f>+AQ$108</f>
        <v>0</v>
      </c>
      <c r="CC104" s="173">
        <f>CdTrp1!AZ$54</f>
        <v>0</v>
      </c>
      <c r="CD104" s="173">
        <f>CdTrp2!AZ$54</f>
        <v>2.2000000000000002</v>
      </c>
      <c r="CE104" s="173">
        <f>CdTrp3!AZ$54</f>
        <v>0</v>
      </c>
    </row>
    <row r="105" spans="1:83" x14ac:dyDescent="0.25">
      <c r="A105" s="223" t="str">
        <f>'Conduite Trp'!B34</f>
        <v>24 -</v>
      </c>
      <c r="C105" s="190">
        <f>[1]Conc!$D28</f>
        <v>0</v>
      </c>
      <c r="D105" s="173">
        <f t="shared" si="52"/>
        <v>0</v>
      </c>
      <c r="E105" s="173">
        <f t="shared" si="52"/>
        <v>0</v>
      </c>
      <c r="F105" s="173">
        <f t="shared" si="52"/>
        <v>0</v>
      </c>
      <c r="J105" s="173">
        <f t="shared" si="36"/>
        <v>0</v>
      </c>
      <c r="K105" s="173">
        <f t="shared" si="37"/>
        <v>0</v>
      </c>
      <c r="L105" s="173">
        <f t="shared" si="37"/>
        <v>0</v>
      </c>
      <c r="M105" s="173">
        <f t="shared" si="37"/>
        <v>0</v>
      </c>
      <c r="R105" t="s">
        <v>378</v>
      </c>
      <c r="T105" s="231">
        <v>38</v>
      </c>
      <c r="U105" s="231">
        <v>32</v>
      </c>
      <c r="W105" s="126">
        <f>HLOOKUP(Troupeau!L$17,[1]Anx!$C$170:$CO$215,T105)</f>
        <v>38</v>
      </c>
      <c r="X105" s="61">
        <f t="shared" si="48"/>
        <v>38</v>
      </c>
      <c r="Y105" s="126">
        <f>HLOOKUP(Troupeau!L$17,[1]Anx!$C$170:$CO$215,U105)</f>
        <v>32</v>
      </c>
      <c r="Z105" s="54">
        <f>Y$82*Y105</f>
        <v>0</v>
      </c>
      <c r="AB105" s="54">
        <f t="shared" si="49"/>
        <v>0</v>
      </c>
      <c r="AC105" s="54">
        <f t="shared" si="49"/>
        <v>0</v>
      </c>
      <c r="AD105" s="54">
        <f t="shared" si="49"/>
        <v>0</v>
      </c>
      <c r="AE105" s="54">
        <f t="shared" si="49"/>
        <v>0</v>
      </c>
      <c r="AF105" s="54">
        <f t="shared" si="49"/>
        <v>0</v>
      </c>
      <c r="AG105" s="54">
        <f t="shared" si="49"/>
        <v>0</v>
      </c>
      <c r="AH105" s="54">
        <f t="shared" si="49"/>
        <v>0</v>
      </c>
      <c r="AI105" s="54">
        <f t="shared" si="49"/>
        <v>0</v>
      </c>
      <c r="AJ105" s="54">
        <f t="shared" si="49"/>
        <v>0</v>
      </c>
      <c r="AK105" s="54">
        <f t="shared" si="49"/>
        <v>0</v>
      </c>
      <c r="AL105" s="54">
        <f t="shared" si="49"/>
        <v>0</v>
      </c>
      <c r="AM105" s="54">
        <f t="shared" si="49"/>
        <v>0</v>
      </c>
      <c r="AN105" s="54">
        <f t="shared" si="49"/>
        <v>0</v>
      </c>
      <c r="AO105" s="54">
        <f t="shared" si="49"/>
        <v>0</v>
      </c>
      <c r="AP105" s="54">
        <f t="shared" si="49"/>
        <v>0</v>
      </c>
      <c r="AQ105" s="54">
        <f t="shared" si="49"/>
        <v>0</v>
      </c>
      <c r="AR105" s="54">
        <f t="shared" si="50"/>
        <v>0</v>
      </c>
      <c r="AS105" s="54">
        <f t="shared" si="50"/>
        <v>0</v>
      </c>
      <c r="AT105" s="54">
        <f t="shared" si="50"/>
        <v>0</v>
      </c>
      <c r="AU105" s="54">
        <f t="shared" si="50"/>
        <v>0</v>
      </c>
      <c r="AV105" s="54">
        <f t="shared" si="50"/>
        <v>0</v>
      </c>
      <c r="AW105" s="54">
        <f t="shared" si="50"/>
        <v>0</v>
      </c>
      <c r="AX105" s="54">
        <f t="shared" si="50"/>
        <v>0</v>
      </c>
      <c r="AY105" s="54">
        <f t="shared" si="50"/>
        <v>0</v>
      </c>
      <c r="AZ105" s="54">
        <f t="shared" si="50"/>
        <v>0</v>
      </c>
      <c r="BA105" s="54">
        <f t="shared" si="50"/>
        <v>0</v>
      </c>
      <c r="BB105" s="54">
        <f t="shared" si="50"/>
        <v>0</v>
      </c>
      <c r="BC105" s="54">
        <f t="shared" si="50"/>
        <v>0</v>
      </c>
      <c r="BD105" s="54">
        <f t="shared" si="50"/>
        <v>0</v>
      </c>
      <c r="BE105" s="54">
        <f t="shared" si="50"/>
        <v>0</v>
      </c>
      <c r="BF105" s="54">
        <f t="shared" si="50"/>
        <v>0</v>
      </c>
      <c r="BG105" s="54">
        <f t="shared" si="50"/>
        <v>0</v>
      </c>
      <c r="BH105" s="54">
        <f t="shared" si="51"/>
        <v>0</v>
      </c>
      <c r="BI105" s="54">
        <f t="shared" si="51"/>
        <v>0</v>
      </c>
      <c r="BJ105" s="54">
        <f t="shared" si="51"/>
        <v>0</v>
      </c>
      <c r="BK105" s="54">
        <f t="shared" si="51"/>
        <v>0</v>
      </c>
      <c r="BL105" s="54">
        <f t="shared" si="51"/>
        <v>0</v>
      </c>
      <c r="BM105" s="54">
        <f t="shared" si="51"/>
        <v>0</v>
      </c>
      <c r="BN105" s="54">
        <f t="shared" si="51"/>
        <v>0</v>
      </c>
      <c r="BO105" s="54">
        <f t="shared" si="51"/>
        <v>0</v>
      </c>
      <c r="BP105" s="54">
        <f t="shared" si="51"/>
        <v>0</v>
      </c>
      <c r="BQ105" s="54">
        <f t="shared" si="51"/>
        <v>0</v>
      </c>
      <c r="BR105" s="54">
        <f t="shared" si="51"/>
        <v>0</v>
      </c>
      <c r="BS105" s="54">
        <f t="shared" si="51"/>
        <v>0</v>
      </c>
      <c r="BT105" s="54">
        <f t="shared" si="51"/>
        <v>0</v>
      </c>
      <c r="BU105" s="54">
        <f t="shared" si="51"/>
        <v>0</v>
      </c>
      <c r="BV105" s="54">
        <f t="shared" si="51"/>
        <v>0</v>
      </c>
      <c r="BX105">
        <v>17</v>
      </c>
      <c r="BY105" s="173">
        <f>+AR$94</f>
        <v>0</v>
      </c>
      <c r="BZ105" s="173">
        <f>+AR$101</f>
        <v>0</v>
      </c>
      <c r="CA105" s="173">
        <f>+AR$108</f>
        <v>0</v>
      </c>
      <c r="CC105" s="173">
        <f>CdTrp1!BA$54</f>
        <v>0</v>
      </c>
      <c r="CD105" s="173">
        <f>CdTrp2!BA$54</f>
        <v>0</v>
      </c>
      <c r="CE105" s="173">
        <f>CdTrp3!BA$54</f>
        <v>0</v>
      </c>
    </row>
    <row r="106" spans="1:83" x14ac:dyDescent="0.25">
      <c r="A106" s="223" t="str">
        <f>'Conduite Trp'!B35</f>
        <v>25 -</v>
      </c>
      <c r="C106" s="190">
        <f>[1]Conc!$D29</f>
        <v>0</v>
      </c>
      <c r="D106" s="173">
        <f t="shared" si="52"/>
        <v>0</v>
      </c>
      <c r="E106" s="173">
        <f t="shared" si="52"/>
        <v>0</v>
      </c>
      <c r="F106" s="173">
        <f t="shared" si="52"/>
        <v>0</v>
      </c>
      <c r="J106" s="173">
        <f t="shared" si="36"/>
        <v>0</v>
      </c>
      <c r="K106" s="173">
        <f t="shared" si="37"/>
        <v>0</v>
      </c>
      <c r="L106" s="173">
        <f t="shared" si="37"/>
        <v>0</v>
      </c>
      <c r="M106" s="173">
        <f t="shared" si="37"/>
        <v>0</v>
      </c>
      <c r="R106" t="s">
        <v>379</v>
      </c>
      <c r="T106" s="231">
        <v>39</v>
      </c>
      <c r="U106" s="231">
        <v>33</v>
      </c>
      <c r="W106" s="126">
        <f>HLOOKUP(Troupeau!L$17,[1]Anx!$C$170:$CO$215,T106)</f>
        <v>39</v>
      </c>
      <c r="X106" s="61">
        <f t="shared" si="48"/>
        <v>39</v>
      </c>
      <c r="Y106" s="126">
        <f>HLOOKUP(Troupeau!L$17,[1]Anx!$C$170:$CO$215,U106)</f>
        <v>33</v>
      </c>
      <c r="Z106" s="54">
        <f>Y$82*Y106</f>
        <v>0</v>
      </c>
      <c r="AB106" s="54">
        <f t="shared" si="49"/>
        <v>0</v>
      </c>
      <c r="AC106" s="54">
        <f t="shared" si="49"/>
        <v>0</v>
      </c>
      <c r="AD106" s="54">
        <f t="shared" si="49"/>
        <v>0</v>
      </c>
      <c r="AE106" s="54">
        <f t="shared" si="49"/>
        <v>0</v>
      </c>
      <c r="AF106" s="54">
        <f t="shared" si="49"/>
        <v>0</v>
      </c>
      <c r="AG106" s="54">
        <f t="shared" si="49"/>
        <v>0</v>
      </c>
      <c r="AH106" s="54">
        <f t="shared" si="49"/>
        <v>0</v>
      </c>
      <c r="AI106" s="54">
        <f t="shared" si="49"/>
        <v>0</v>
      </c>
      <c r="AJ106" s="54">
        <f t="shared" si="49"/>
        <v>0</v>
      </c>
      <c r="AK106" s="54">
        <f t="shared" si="49"/>
        <v>0</v>
      </c>
      <c r="AL106" s="54">
        <f t="shared" si="49"/>
        <v>0</v>
      </c>
      <c r="AM106" s="54">
        <f t="shared" si="49"/>
        <v>0</v>
      </c>
      <c r="AN106" s="54">
        <f t="shared" si="49"/>
        <v>0</v>
      </c>
      <c r="AO106" s="54">
        <f t="shared" si="49"/>
        <v>0</v>
      </c>
      <c r="AP106" s="54">
        <f t="shared" si="49"/>
        <v>0</v>
      </c>
      <c r="AQ106" s="54">
        <f t="shared" si="49"/>
        <v>0</v>
      </c>
      <c r="AR106" s="54">
        <f t="shared" si="50"/>
        <v>0</v>
      </c>
      <c r="AS106" s="54">
        <f t="shared" si="50"/>
        <v>0</v>
      </c>
      <c r="AT106" s="54">
        <f t="shared" si="50"/>
        <v>0</v>
      </c>
      <c r="AU106" s="54">
        <f t="shared" si="50"/>
        <v>0</v>
      </c>
      <c r="AV106" s="54">
        <f t="shared" si="50"/>
        <v>0</v>
      </c>
      <c r="AW106" s="54">
        <f t="shared" si="50"/>
        <v>0</v>
      </c>
      <c r="AX106" s="54">
        <f t="shared" si="50"/>
        <v>0</v>
      </c>
      <c r="AY106" s="54">
        <f t="shared" si="50"/>
        <v>0</v>
      </c>
      <c r="AZ106" s="54">
        <f t="shared" si="50"/>
        <v>0</v>
      </c>
      <c r="BA106" s="54">
        <f t="shared" si="50"/>
        <v>0</v>
      </c>
      <c r="BB106" s="54">
        <f t="shared" si="50"/>
        <v>0</v>
      </c>
      <c r="BC106" s="54">
        <f t="shared" si="50"/>
        <v>0</v>
      </c>
      <c r="BD106" s="54">
        <f t="shared" si="50"/>
        <v>0</v>
      </c>
      <c r="BE106" s="54">
        <f t="shared" si="50"/>
        <v>0</v>
      </c>
      <c r="BF106" s="54">
        <f t="shared" si="50"/>
        <v>0</v>
      </c>
      <c r="BG106" s="54">
        <f t="shared" si="50"/>
        <v>0</v>
      </c>
      <c r="BH106" s="54">
        <f t="shared" si="51"/>
        <v>0</v>
      </c>
      <c r="BI106" s="54">
        <f t="shared" si="51"/>
        <v>0</v>
      </c>
      <c r="BJ106" s="54">
        <f t="shared" si="51"/>
        <v>0</v>
      </c>
      <c r="BK106" s="54">
        <f t="shared" si="51"/>
        <v>0</v>
      </c>
      <c r="BL106" s="54">
        <f t="shared" si="51"/>
        <v>0</v>
      </c>
      <c r="BM106" s="54">
        <f t="shared" si="51"/>
        <v>0</v>
      </c>
      <c r="BN106" s="54">
        <f t="shared" si="51"/>
        <v>0</v>
      </c>
      <c r="BO106" s="54">
        <f t="shared" si="51"/>
        <v>0</v>
      </c>
      <c r="BP106" s="54">
        <f t="shared" si="51"/>
        <v>0</v>
      </c>
      <c r="BQ106" s="54">
        <f t="shared" si="51"/>
        <v>0</v>
      </c>
      <c r="BR106" s="54">
        <f t="shared" si="51"/>
        <v>0</v>
      </c>
      <c r="BS106" s="54">
        <f t="shared" si="51"/>
        <v>0</v>
      </c>
      <c r="BT106" s="54">
        <f t="shared" si="51"/>
        <v>0</v>
      </c>
      <c r="BU106" s="54">
        <f t="shared" si="51"/>
        <v>0</v>
      </c>
      <c r="BV106" s="54">
        <f t="shared" si="51"/>
        <v>0</v>
      </c>
      <c r="BX106">
        <v>18</v>
      </c>
      <c r="BY106" s="173">
        <f>+AS$94</f>
        <v>0</v>
      </c>
      <c r="BZ106" s="173">
        <f>+AS$101</f>
        <v>0</v>
      </c>
      <c r="CA106" s="173">
        <f>+AS$108</f>
        <v>0</v>
      </c>
      <c r="CC106" s="173">
        <f>CdTrp1!BB$54</f>
        <v>0</v>
      </c>
      <c r="CD106" s="173">
        <f>CdTrp2!BB$54</f>
        <v>0</v>
      </c>
      <c r="CE106" s="173">
        <f>CdTrp3!BB$54</f>
        <v>0</v>
      </c>
    </row>
    <row r="107" spans="1:83" x14ac:dyDescent="0.25">
      <c r="A107" s="223"/>
      <c r="B107" s="233"/>
      <c r="C107" s="172"/>
      <c r="R107" t="s">
        <v>380</v>
      </c>
      <c r="S107" s="5"/>
      <c r="T107" s="231">
        <v>40</v>
      </c>
      <c r="U107" s="231">
        <v>34</v>
      </c>
      <c r="W107" s="126">
        <f>HLOOKUP(Troupeau!L$17,[1]Anx!$C$170:$CO$215,T107)</f>
        <v>40</v>
      </c>
      <c r="X107" s="61">
        <f t="shared" si="48"/>
        <v>40</v>
      </c>
      <c r="Y107" s="126">
        <f>HLOOKUP(Troupeau!L$17,[1]Anx!$C$170:$CO$215,U107)</f>
        <v>34</v>
      </c>
      <c r="Z107" s="54">
        <f>Y$82*Y107</f>
        <v>0</v>
      </c>
      <c r="AB107" s="54">
        <f t="shared" si="49"/>
        <v>0</v>
      </c>
      <c r="AC107" s="54">
        <f t="shared" si="49"/>
        <v>0</v>
      </c>
      <c r="AD107" s="54">
        <f t="shared" si="49"/>
        <v>0</v>
      </c>
      <c r="AE107" s="54">
        <f t="shared" si="49"/>
        <v>0</v>
      </c>
      <c r="AF107" s="54">
        <f t="shared" si="49"/>
        <v>0</v>
      </c>
      <c r="AG107" s="54">
        <f t="shared" si="49"/>
        <v>0</v>
      </c>
      <c r="AH107" s="54">
        <f t="shared" si="49"/>
        <v>0</v>
      </c>
      <c r="AI107" s="54">
        <f t="shared" si="49"/>
        <v>0</v>
      </c>
      <c r="AJ107" s="54">
        <f t="shared" si="49"/>
        <v>0</v>
      </c>
      <c r="AK107" s="54">
        <f t="shared" si="49"/>
        <v>0</v>
      </c>
      <c r="AL107" s="54">
        <f t="shared" si="49"/>
        <v>0</v>
      </c>
      <c r="AM107" s="54">
        <f t="shared" si="49"/>
        <v>0</v>
      </c>
      <c r="AN107" s="54">
        <f t="shared" si="49"/>
        <v>0</v>
      </c>
      <c r="AO107" s="54">
        <f t="shared" si="49"/>
        <v>0</v>
      </c>
      <c r="AP107" s="54">
        <f t="shared" si="49"/>
        <v>0</v>
      </c>
      <c r="AQ107" s="54">
        <f t="shared" si="49"/>
        <v>0</v>
      </c>
      <c r="AR107" s="54">
        <f t="shared" si="50"/>
        <v>0</v>
      </c>
      <c r="AS107" s="54">
        <f t="shared" si="50"/>
        <v>0</v>
      </c>
      <c r="AT107" s="54">
        <f t="shared" si="50"/>
        <v>0</v>
      </c>
      <c r="AU107" s="54">
        <f t="shared" si="50"/>
        <v>0</v>
      </c>
      <c r="AV107" s="54">
        <f t="shared" si="50"/>
        <v>0</v>
      </c>
      <c r="AW107" s="54">
        <f t="shared" si="50"/>
        <v>0</v>
      </c>
      <c r="AX107" s="54">
        <f t="shared" si="50"/>
        <v>0</v>
      </c>
      <c r="AY107" s="54">
        <f t="shared" si="50"/>
        <v>0</v>
      </c>
      <c r="AZ107" s="54">
        <f t="shared" si="50"/>
        <v>0</v>
      </c>
      <c r="BA107" s="54">
        <f t="shared" si="50"/>
        <v>0</v>
      </c>
      <c r="BB107" s="54">
        <f t="shared" si="50"/>
        <v>0</v>
      </c>
      <c r="BC107" s="54">
        <f t="shared" si="50"/>
        <v>0</v>
      </c>
      <c r="BD107" s="54">
        <f t="shared" si="50"/>
        <v>0</v>
      </c>
      <c r="BE107" s="54">
        <f t="shared" si="50"/>
        <v>0</v>
      </c>
      <c r="BF107" s="54">
        <f t="shared" si="50"/>
        <v>0</v>
      </c>
      <c r="BG107" s="54">
        <f t="shared" si="50"/>
        <v>0</v>
      </c>
      <c r="BH107" s="54">
        <f t="shared" si="51"/>
        <v>0</v>
      </c>
      <c r="BI107" s="54">
        <f t="shared" si="51"/>
        <v>0</v>
      </c>
      <c r="BJ107" s="54">
        <f t="shared" si="51"/>
        <v>0</v>
      </c>
      <c r="BK107" s="54">
        <f t="shared" si="51"/>
        <v>0</v>
      </c>
      <c r="BL107" s="54">
        <f t="shared" si="51"/>
        <v>0</v>
      </c>
      <c r="BM107" s="54">
        <f t="shared" si="51"/>
        <v>0</v>
      </c>
      <c r="BN107" s="54">
        <f t="shared" si="51"/>
        <v>0</v>
      </c>
      <c r="BO107" s="54">
        <f t="shared" si="51"/>
        <v>0</v>
      </c>
      <c r="BP107" s="54">
        <f t="shared" si="51"/>
        <v>0</v>
      </c>
      <c r="BQ107" s="54">
        <f t="shared" si="51"/>
        <v>0</v>
      </c>
      <c r="BR107" s="54">
        <f t="shared" si="51"/>
        <v>0</v>
      </c>
      <c r="BS107" s="54">
        <f t="shared" si="51"/>
        <v>0</v>
      </c>
      <c r="BT107" s="54">
        <f t="shared" si="51"/>
        <v>0</v>
      </c>
      <c r="BU107" s="54">
        <f t="shared" si="51"/>
        <v>0</v>
      </c>
      <c r="BV107" s="54">
        <f t="shared" si="51"/>
        <v>0</v>
      </c>
      <c r="BX107">
        <v>19</v>
      </c>
      <c r="BY107" s="173">
        <f>+AT$94</f>
        <v>0</v>
      </c>
      <c r="BZ107" s="173">
        <f>+AT$101</f>
        <v>0</v>
      </c>
      <c r="CA107" s="173">
        <f>+AT$108</f>
        <v>0</v>
      </c>
      <c r="CC107" s="173">
        <f>CdTrp1!BC$54</f>
        <v>0</v>
      </c>
      <c r="CD107" s="173">
        <f>CdTrp2!BC$54</f>
        <v>0</v>
      </c>
      <c r="CE107" s="173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3">SUM(AC103:AC107)</f>
        <v>0</v>
      </c>
      <c r="AD108" s="56">
        <f t="shared" si="53"/>
        <v>0</v>
      </c>
      <c r="AE108" s="56">
        <f t="shared" si="53"/>
        <v>0</v>
      </c>
      <c r="AF108" s="56">
        <f t="shared" si="53"/>
        <v>0</v>
      </c>
      <c r="AG108" s="56">
        <f t="shared" si="53"/>
        <v>0</v>
      </c>
      <c r="AH108" s="56">
        <f t="shared" si="53"/>
        <v>0</v>
      </c>
      <c r="AI108" s="56">
        <f t="shared" si="53"/>
        <v>0</v>
      </c>
      <c r="AJ108" s="56">
        <f t="shared" si="53"/>
        <v>0</v>
      </c>
      <c r="AK108" s="56">
        <f t="shared" si="53"/>
        <v>0</v>
      </c>
      <c r="AL108" s="56">
        <f t="shared" si="53"/>
        <v>0</v>
      </c>
      <c r="AM108" s="56">
        <f t="shared" si="53"/>
        <v>0</v>
      </c>
      <c r="AN108" s="56">
        <f t="shared" si="53"/>
        <v>0</v>
      </c>
      <c r="AO108" s="56">
        <f t="shared" si="53"/>
        <v>0</v>
      </c>
      <c r="AP108" s="56">
        <f t="shared" si="53"/>
        <v>0</v>
      </c>
      <c r="AQ108" s="56">
        <f t="shared" si="53"/>
        <v>0</v>
      </c>
      <c r="AR108" s="56">
        <f t="shared" si="53"/>
        <v>0</v>
      </c>
      <c r="AS108" s="56">
        <f t="shared" si="53"/>
        <v>0</v>
      </c>
      <c r="AT108" s="56">
        <f t="shared" si="53"/>
        <v>0</v>
      </c>
      <c r="AU108" s="56">
        <f t="shared" si="53"/>
        <v>0</v>
      </c>
      <c r="AV108" s="56">
        <f t="shared" si="53"/>
        <v>0</v>
      </c>
      <c r="AW108" s="56">
        <f t="shared" si="53"/>
        <v>0</v>
      </c>
      <c r="AX108" s="56">
        <f t="shared" si="53"/>
        <v>0</v>
      </c>
      <c r="AY108" s="56">
        <f t="shared" si="53"/>
        <v>0</v>
      </c>
      <c r="AZ108" s="56">
        <f t="shared" si="53"/>
        <v>0</v>
      </c>
      <c r="BA108" s="56">
        <f t="shared" si="53"/>
        <v>0</v>
      </c>
      <c r="BB108" s="56">
        <f t="shared" si="53"/>
        <v>0</v>
      </c>
      <c r="BC108" s="56">
        <f t="shared" si="53"/>
        <v>0</v>
      </c>
      <c r="BD108" s="56">
        <f t="shared" si="53"/>
        <v>0</v>
      </c>
      <c r="BE108" s="56">
        <f t="shared" si="53"/>
        <v>0</v>
      </c>
      <c r="BF108" s="56">
        <f t="shared" si="53"/>
        <v>0</v>
      </c>
      <c r="BG108" s="56">
        <f t="shared" si="53"/>
        <v>0</v>
      </c>
      <c r="BH108" s="56">
        <f t="shared" si="53"/>
        <v>0</v>
      </c>
      <c r="BI108" s="56">
        <f t="shared" si="53"/>
        <v>0</v>
      </c>
      <c r="BJ108" s="56">
        <f t="shared" si="53"/>
        <v>0</v>
      </c>
      <c r="BK108" s="56">
        <f t="shared" si="53"/>
        <v>0</v>
      </c>
      <c r="BL108" s="56">
        <f t="shared" si="53"/>
        <v>0</v>
      </c>
      <c r="BM108" s="56">
        <f t="shared" si="53"/>
        <v>0</v>
      </c>
      <c r="BN108" s="56">
        <f t="shared" si="53"/>
        <v>0</v>
      </c>
      <c r="BO108" s="56">
        <f t="shared" si="53"/>
        <v>0</v>
      </c>
      <c r="BP108" s="56">
        <f t="shared" si="53"/>
        <v>0</v>
      </c>
      <c r="BQ108" s="56">
        <f t="shared" si="53"/>
        <v>0</v>
      </c>
      <c r="BR108" s="56">
        <f t="shared" si="53"/>
        <v>0</v>
      </c>
      <c r="BS108" s="56">
        <f t="shared" si="53"/>
        <v>0</v>
      </c>
      <c r="BT108" s="56">
        <f t="shared" si="53"/>
        <v>0</v>
      </c>
      <c r="BU108" s="56">
        <f t="shared" si="53"/>
        <v>0</v>
      </c>
      <c r="BV108" s="56">
        <f t="shared" si="53"/>
        <v>0</v>
      </c>
      <c r="BX108">
        <v>20</v>
      </c>
      <c r="BY108" s="173">
        <f>+AU$94</f>
        <v>0</v>
      </c>
      <c r="BZ108" s="173">
        <f>+AU$101</f>
        <v>0</v>
      </c>
      <c r="CA108" s="173">
        <f>+AU$108</f>
        <v>0</v>
      </c>
      <c r="CC108" s="173">
        <f>CdTrp1!BD$54</f>
        <v>0</v>
      </c>
      <c r="CD108" s="173">
        <f>CdTrp2!BD$54</f>
        <v>0</v>
      </c>
      <c r="CE108" s="173">
        <f>CdTrp3!BD$54</f>
        <v>0</v>
      </c>
    </row>
    <row r="109" spans="1:83" x14ac:dyDescent="0.25">
      <c r="A109" s="2"/>
      <c r="B109" s="171"/>
      <c r="C109" s="171"/>
      <c r="D109" s="171"/>
      <c r="E109" s="171"/>
      <c r="J109" s="172" t="s">
        <v>13</v>
      </c>
      <c r="K109" s="172" t="str">
        <f>Troupeau!B3</f>
        <v>OL</v>
      </c>
      <c r="L109" s="172" t="str">
        <f>Troupeau!C3</f>
        <v>BV</v>
      </c>
      <c r="M109" s="172">
        <f>Troupeau!D3</f>
        <v>0</v>
      </c>
      <c r="BG109"/>
      <c r="BH109" s="14"/>
      <c r="BX109">
        <v>21</v>
      </c>
      <c r="BY109" s="173">
        <f>+AV$94</f>
        <v>0</v>
      </c>
      <c r="BZ109" s="173">
        <f>+AV$101</f>
        <v>0</v>
      </c>
      <c r="CA109" s="173">
        <f>+AV$108</f>
        <v>0</v>
      </c>
      <c r="CC109" s="173">
        <f>CdTrp1!BE$54</f>
        <v>0</v>
      </c>
      <c r="CD109" s="173">
        <f>CdTrp2!BE$54</f>
        <v>0</v>
      </c>
      <c r="CE109" s="173">
        <f>CdTrp3!BE$54</f>
        <v>0</v>
      </c>
    </row>
    <row r="110" spans="1:83" x14ac:dyDescent="0.25">
      <c r="A110" t="s">
        <v>1018</v>
      </c>
      <c r="J110" s="173">
        <f t="shared" ref="J110:J115" si="54">SUM(K110:N110)</f>
        <v>4286</v>
      </c>
      <c r="K110" s="177">
        <f t="shared" ref="K110:K115" si="55">ROUND(T132*U132,0)</f>
        <v>2432</v>
      </c>
      <c r="L110" s="177">
        <f>ROUND(V132*W132,0)</f>
        <v>1854</v>
      </c>
      <c r="M110" s="177">
        <f t="shared" ref="M110:M115" si="56">ROUND(X132*Y132,0)</f>
        <v>0</v>
      </c>
      <c r="R110" s="40" t="s">
        <v>1019</v>
      </c>
      <c r="S110" s="171" t="str">
        <f>Troupeau!B3</f>
        <v>OL</v>
      </c>
      <c r="T110" s="61">
        <f>SUM(K82:K106)</f>
        <v>11231.400000000001</v>
      </c>
      <c r="BG110"/>
      <c r="BH110" s="14"/>
      <c r="BX110">
        <v>22</v>
      </c>
      <c r="BY110" s="173">
        <f>+AW$94</f>
        <v>0</v>
      </c>
      <c r="BZ110" s="173">
        <f>+AW$101</f>
        <v>0</v>
      </c>
      <c r="CA110" s="173">
        <f>+AW$108</f>
        <v>0</v>
      </c>
      <c r="CC110" s="173">
        <f>CdTrp1!BF$54</f>
        <v>0</v>
      </c>
      <c r="CD110" s="173">
        <f>CdTrp2!BF$54</f>
        <v>0</v>
      </c>
      <c r="CE110" s="173">
        <f>CdTrp3!BF$54</f>
        <v>0</v>
      </c>
    </row>
    <row r="111" spans="1:83" x14ac:dyDescent="0.25">
      <c r="A111" t="s">
        <v>1020</v>
      </c>
      <c r="J111" s="173">
        <f t="shared" si="54"/>
        <v>8688</v>
      </c>
      <c r="K111" s="177">
        <f t="shared" si="55"/>
        <v>6028</v>
      </c>
      <c r="L111" s="177">
        <f>ROUND(V133*W133,0)</f>
        <v>2660</v>
      </c>
      <c r="M111" s="177">
        <f t="shared" si="56"/>
        <v>0</v>
      </c>
      <c r="R111" s="14"/>
      <c r="S111" s="171" t="str">
        <f>Troupeau!C3</f>
        <v>BV</v>
      </c>
      <c r="T111" s="61">
        <f>SUM(L82:L106)</f>
        <v>2441.1</v>
      </c>
      <c r="BG111"/>
      <c r="BH111" s="14"/>
      <c r="BX111">
        <v>23</v>
      </c>
      <c r="BY111" s="173">
        <f>+AX$94</f>
        <v>0</v>
      </c>
      <c r="BZ111" s="173">
        <f>+AX$101</f>
        <v>0</v>
      </c>
      <c r="CA111" s="173">
        <f>+AX$108</f>
        <v>0</v>
      </c>
      <c r="CC111" s="173">
        <f>CdTrp1!BG$54</f>
        <v>0</v>
      </c>
      <c r="CD111" s="173">
        <f>CdTrp2!BG$54</f>
        <v>0</v>
      </c>
      <c r="CE111" s="173">
        <f>CdTrp3!BG$54</f>
        <v>0</v>
      </c>
    </row>
    <row r="112" spans="1:83" x14ac:dyDescent="0.25">
      <c r="A112" t="s">
        <v>1021</v>
      </c>
      <c r="J112" s="173">
        <f t="shared" si="54"/>
        <v>3225</v>
      </c>
      <c r="K112" s="177">
        <f t="shared" si="55"/>
        <v>3225</v>
      </c>
      <c r="L112" s="177">
        <f>ROUND(V134*W134,0)</f>
        <v>0</v>
      </c>
      <c r="M112" s="177">
        <f t="shared" si="56"/>
        <v>0</v>
      </c>
      <c r="O112" s="234"/>
      <c r="R112" s="14"/>
      <c r="S112" s="171">
        <f>Troupeau!D3</f>
        <v>0</v>
      </c>
      <c r="T112" s="61">
        <f>SUM(M82:M106)</f>
        <v>0</v>
      </c>
      <c r="BG112"/>
      <c r="BH112" s="14"/>
      <c r="BX112">
        <v>24</v>
      </c>
      <c r="BY112" s="173">
        <f>+AY$94</f>
        <v>0</v>
      </c>
      <c r="BZ112" s="173">
        <f>+AY$101</f>
        <v>0</v>
      </c>
      <c r="CA112" s="173">
        <f>+AY$108</f>
        <v>0</v>
      </c>
      <c r="CC112" s="173">
        <f>CdTrp1!BH$54</f>
        <v>0</v>
      </c>
      <c r="CD112" s="173">
        <f>CdTrp2!BH$54</f>
        <v>0</v>
      </c>
      <c r="CE112" s="173">
        <f>CdTrp3!BH$54</f>
        <v>0</v>
      </c>
    </row>
    <row r="113" spans="1:83" x14ac:dyDescent="0.25">
      <c r="A113" t="s">
        <v>1022</v>
      </c>
      <c r="J113" s="173">
        <f t="shared" si="54"/>
        <v>1243</v>
      </c>
      <c r="K113" s="177">
        <f t="shared" si="55"/>
        <v>912</v>
      </c>
      <c r="L113" s="177">
        <f>ROUND(V135*W135,0)</f>
        <v>331</v>
      </c>
      <c r="M113" s="177">
        <f t="shared" si="56"/>
        <v>0</v>
      </c>
      <c r="O113" s="234"/>
      <c r="BG113"/>
      <c r="BH113" s="14"/>
      <c r="BX113">
        <v>25</v>
      </c>
      <c r="BY113" s="173">
        <f>+AZ$94</f>
        <v>0</v>
      </c>
      <c r="BZ113" s="173">
        <f>+AZ$101</f>
        <v>0</v>
      </c>
      <c r="CA113" s="173">
        <f>+AZ$108</f>
        <v>0</v>
      </c>
      <c r="CC113" s="173">
        <f>CdTrp1!BI$54</f>
        <v>0</v>
      </c>
      <c r="CD113" s="173">
        <f>CdTrp2!BI$54</f>
        <v>0</v>
      </c>
      <c r="CE113" s="173">
        <f>CdTrp3!BI$54</f>
        <v>0</v>
      </c>
    </row>
    <row r="114" spans="1:83" x14ac:dyDescent="0.25">
      <c r="A114" t="s">
        <v>1023</v>
      </c>
      <c r="J114" s="173">
        <f t="shared" si="54"/>
        <v>1131</v>
      </c>
      <c r="K114" s="177">
        <f t="shared" si="55"/>
        <v>1064</v>
      </c>
      <c r="L114" s="177">
        <f>ROUND(U136*V136,0)</f>
        <v>67</v>
      </c>
      <c r="M114" s="177">
        <f t="shared" si="56"/>
        <v>0</v>
      </c>
      <c r="O114" s="234"/>
      <c r="BG114"/>
      <c r="BH114" s="14"/>
      <c r="BZ114" s="171"/>
      <c r="CA114" s="171"/>
    </row>
    <row r="115" spans="1:83" x14ac:dyDescent="0.25">
      <c r="A115" t="s">
        <v>1024</v>
      </c>
      <c r="J115" s="173">
        <f t="shared" si="54"/>
        <v>0</v>
      </c>
      <c r="K115" s="177">
        <f t="shared" si="55"/>
        <v>0</v>
      </c>
      <c r="L115" s="177">
        <f>ROUND(U137*V137,0)</f>
        <v>0</v>
      </c>
      <c r="M115" s="177">
        <f t="shared" si="56"/>
        <v>0</v>
      </c>
      <c r="O115" s="234"/>
      <c r="BG115"/>
      <c r="BH115" s="14"/>
    </row>
    <row r="116" spans="1:83" x14ac:dyDescent="0.25">
      <c r="A116" s="2" t="s">
        <v>1025</v>
      </c>
      <c r="K116" s="62">
        <f>SUM(K110:K115)+SUM(K82:K106)</f>
        <v>24892.400000000001</v>
      </c>
      <c r="L116" s="62">
        <f t="shared" ref="L116:M116" si="57">SUM(L110:L115)+SUM(L82:L106)</f>
        <v>7353.1</v>
      </c>
      <c r="M116" s="62">
        <f t="shared" si="57"/>
        <v>0</v>
      </c>
      <c r="O116" s="234"/>
      <c r="BG116"/>
      <c r="BH116" s="14"/>
    </row>
    <row r="117" spans="1:83" x14ac:dyDescent="0.25">
      <c r="O117" s="234"/>
      <c r="BG117"/>
      <c r="BH117" s="14"/>
    </row>
    <row r="118" spans="1:83" x14ac:dyDescent="0.25">
      <c r="A118" t="s">
        <v>1026</v>
      </c>
      <c r="B118" s="177">
        <f>IF(Alim_Surf!K27&lt;0,-Alim_Surf!K27,0)</f>
        <v>45.359000000000009</v>
      </c>
      <c r="C118" s="190">
        <f>IF(Scénario!$K$12="BV",[1]Eco!$B$78,IF(Scénario!$K$12="BL",[1]Eco!$B$77,[1]Eco!$B$76))</f>
        <v>223</v>
      </c>
      <c r="J118" s="173">
        <f>B118*C118</f>
        <v>10115.057000000003</v>
      </c>
      <c r="K118" s="173"/>
      <c r="L118" s="173"/>
      <c r="M118" s="173"/>
      <c r="N118" s="173"/>
      <c r="BG118"/>
      <c r="BH118" s="14"/>
    </row>
    <row r="119" spans="1:83" x14ac:dyDescent="0.25">
      <c r="A119" t="s">
        <v>1027</v>
      </c>
      <c r="B119" s="177">
        <f>IF(Alim_Surf!K9&lt;0,-Alim_Surf!K9,0)</f>
        <v>50.268599999999992</v>
      </c>
      <c r="C119" s="190">
        <f>[1]Eco!$B$79</f>
        <v>80</v>
      </c>
      <c r="J119" s="173">
        <f>B119*C119</f>
        <v>4021.4879999999994</v>
      </c>
      <c r="K119" s="173"/>
      <c r="L119" s="173"/>
      <c r="M119" s="173"/>
      <c r="N119" s="173"/>
      <c r="BG119"/>
      <c r="BH119" s="14"/>
    </row>
    <row r="120" spans="1:83" x14ac:dyDescent="0.25">
      <c r="BG120"/>
      <c r="BH120" s="14"/>
    </row>
    <row r="121" spans="1:83" x14ac:dyDescent="0.25">
      <c r="A121" s="2" t="s">
        <v>1028</v>
      </c>
      <c r="B121" t="s">
        <v>1029</v>
      </c>
      <c r="C121" t="s">
        <v>37</v>
      </c>
      <c r="D121" t="s">
        <v>1030</v>
      </c>
      <c r="BG121"/>
      <c r="BH121" s="14"/>
    </row>
    <row r="122" spans="1:83" x14ac:dyDescent="0.25">
      <c r="A122" s="189" t="str">
        <f>LEFT(Alim_Surf!B34,10)</f>
        <v>maïs ensil</v>
      </c>
      <c r="B122" s="173">
        <f>Alim_Surf!D34</f>
        <v>6</v>
      </c>
      <c r="C122" s="173">
        <f>Alim_Surf!E34</f>
        <v>1</v>
      </c>
      <c r="D122" s="190">
        <f>IF(B122=0,0,VLOOKUP(A122,[1]Anx!$A$212:$CO$218,3+Troupeau!$J$17))</f>
        <v>464</v>
      </c>
      <c r="J122" s="173">
        <f>C122*D122</f>
        <v>464</v>
      </c>
      <c r="K122" s="172"/>
      <c r="L122" s="172"/>
      <c r="M122" s="172"/>
      <c r="N122" s="172"/>
      <c r="T122" s="2" t="s">
        <v>568</v>
      </c>
      <c r="U122" s="2" t="s">
        <v>601</v>
      </c>
      <c r="V122" s="2" t="s">
        <v>738</v>
      </c>
      <c r="W122" s="2" t="s">
        <v>993</v>
      </c>
      <c r="BG122"/>
      <c r="BH122" s="14"/>
    </row>
    <row r="123" spans="1:83" x14ac:dyDescent="0.25">
      <c r="A123" s="189" t="str">
        <f>LEFT(Alim_Surf!B35,10)</f>
        <v>0</v>
      </c>
      <c r="B123" s="173">
        <f>Alim_Surf!D35</f>
        <v>0</v>
      </c>
      <c r="C123" s="173">
        <f>Alim_Surf!E35</f>
        <v>0</v>
      </c>
      <c r="D123" s="190">
        <f>IF(B123=0,0,VLOOKUP(A123,[1]Anx!$A$212:$CO$218,3+Troupeau!$J$17))</f>
        <v>0</v>
      </c>
      <c r="J123" s="173">
        <f t="shared" ref="J123:J131" si="58">C123*D123</f>
        <v>0</v>
      </c>
      <c r="K123" s="172"/>
      <c r="L123" s="172"/>
      <c r="M123" s="172"/>
      <c r="N123" s="172"/>
      <c r="S123" s="14" t="s">
        <v>1031</v>
      </c>
      <c r="T123" s="171">
        <f>Troupeau!J17</f>
        <v>8</v>
      </c>
      <c r="U123" s="171">
        <f>Troupeau!K17</f>
        <v>9</v>
      </c>
      <c r="V123" s="171">
        <f>Troupeau!L17</f>
        <v>0</v>
      </c>
      <c r="W123" s="171">
        <f>Troupeau!M17</f>
        <v>0</v>
      </c>
      <c r="AF123" s="2" t="s">
        <v>1032</v>
      </c>
      <c r="AL123"/>
      <c r="AM123" s="5"/>
      <c r="BG123"/>
      <c r="BH123" s="14"/>
    </row>
    <row r="124" spans="1:83" x14ac:dyDescent="0.25">
      <c r="A124" s="189" t="str">
        <f>LEFT(Alim_Surf!B36,10)</f>
        <v>0</v>
      </c>
      <c r="B124" s="173">
        <f>Alim_Surf!D36</f>
        <v>0</v>
      </c>
      <c r="C124" s="173">
        <f>Alim_Surf!E36</f>
        <v>0</v>
      </c>
      <c r="D124" s="190">
        <f>IF(B124=0,0,VLOOKUP(A124,[1]Anx!$A$212:$CO$218,3+Troupeau!$J$17))</f>
        <v>0</v>
      </c>
      <c r="J124" s="173">
        <f t="shared" si="58"/>
        <v>0</v>
      </c>
      <c r="K124" s="172"/>
      <c r="L124" s="172"/>
      <c r="M124" s="172"/>
      <c r="N124" s="172"/>
      <c r="S124" s="14" t="s">
        <v>1033</v>
      </c>
      <c r="T124" s="171" t="str">
        <f>Troupeau!B3</f>
        <v>OL</v>
      </c>
      <c r="U124" s="171" t="str">
        <f>Troupeau!C3</f>
        <v>BV</v>
      </c>
      <c r="V124" s="171">
        <f>Troupeau!D3</f>
        <v>0</v>
      </c>
      <c r="W124" s="171">
        <f>Troupeau!E3</f>
        <v>0</v>
      </c>
      <c r="AF124" s="2" t="s">
        <v>568</v>
      </c>
      <c r="AG124" s="2" t="s">
        <v>601</v>
      </c>
      <c r="AH124" s="2" t="s">
        <v>738</v>
      </c>
      <c r="AI124" s="2" t="s">
        <v>993</v>
      </c>
      <c r="AJ124" s="235" t="s">
        <v>1034</v>
      </c>
      <c r="AL124"/>
      <c r="AM124" s="5"/>
      <c r="BG124"/>
      <c r="BH124" s="14"/>
    </row>
    <row r="125" spans="1:83" x14ac:dyDescent="0.25">
      <c r="A125" s="189" t="str">
        <f>LEFT(Alim_Surf!B37,10)</f>
        <v>0</v>
      </c>
      <c r="B125" s="173">
        <f>Alim_Surf!D37</f>
        <v>0</v>
      </c>
      <c r="C125" s="173">
        <f>Alim_Surf!E37</f>
        <v>0</v>
      </c>
      <c r="D125" s="190">
        <f>IF(B125=0,0,VLOOKUP(A125,[1]Anx!$A$212:$CO$218,3+Troupeau!$J$17))</f>
        <v>0</v>
      </c>
      <c r="J125" s="173">
        <f t="shared" si="58"/>
        <v>0</v>
      </c>
      <c r="K125" s="172"/>
      <c r="L125" s="172"/>
      <c r="M125" s="172"/>
      <c r="N125" s="172"/>
      <c r="S125" s="14" t="s">
        <v>1035</v>
      </c>
      <c r="T125">
        <f>ROUND(Troupeau!B35/1000,2)</f>
        <v>37.950000000000003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1036</v>
      </c>
      <c r="AF125" s="30">
        <f>Troupeau!J17</f>
        <v>8</v>
      </c>
      <c r="AG125" s="30">
        <f>Troupeau!K17</f>
        <v>9</v>
      </c>
      <c r="AH125" s="30">
        <f>Troupeau!L17</f>
        <v>0</v>
      </c>
      <c r="AI125" s="30">
        <f>Troupeau!M17</f>
        <v>0</v>
      </c>
      <c r="AJ125" s="212"/>
      <c r="AL125"/>
      <c r="AM125" s="5"/>
      <c r="BG125"/>
      <c r="BH125" s="14"/>
    </row>
    <row r="126" spans="1:83" x14ac:dyDescent="0.25">
      <c r="A126" s="189" t="str">
        <f>LEFT(Alim_Surf!B38,10)</f>
        <v>0</v>
      </c>
      <c r="B126" s="173">
        <f>Alim_Surf!D38</f>
        <v>0</v>
      </c>
      <c r="C126" s="173">
        <f>Alim_Surf!E38</f>
        <v>0</v>
      </c>
      <c r="D126" s="190">
        <f>IF(B126=0,0,VLOOKUP(A126,[1]Anx!$A$212:$CO$218,3+Troupeau!$J$17))</f>
        <v>0</v>
      </c>
      <c r="J126" s="173">
        <f t="shared" si="58"/>
        <v>0</v>
      </c>
      <c r="K126" s="172"/>
      <c r="L126" s="172"/>
      <c r="M126" s="172"/>
      <c r="N126" s="172"/>
      <c r="S126" s="14" t="s">
        <v>1037</v>
      </c>
      <c r="T126">
        <f>ROUND(AF147/100,2)</f>
        <v>0</v>
      </c>
      <c r="U126">
        <f>ROUND(AG147/100,2)</f>
        <v>41.45</v>
      </c>
      <c r="V126">
        <f>ROUND(AH147/100,2)</f>
        <v>0</v>
      </c>
      <c r="W126">
        <f>ROUND(AI147/100,2)</f>
        <v>0</v>
      </c>
      <c r="AD126" s="14" t="s">
        <v>1038</v>
      </c>
      <c r="AE126" t="s">
        <v>1039</v>
      </c>
      <c r="AF126" s="30">
        <f>B9</f>
        <v>177.5</v>
      </c>
      <c r="AG126" s="30">
        <f>C9</f>
        <v>6.5</v>
      </c>
      <c r="AH126" s="30">
        <f>D9</f>
        <v>0</v>
      </c>
      <c r="AI126" s="30">
        <f>E9</f>
        <v>0</v>
      </c>
      <c r="AJ126" s="212"/>
      <c r="AL126"/>
      <c r="AM126" s="5"/>
      <c r="BG126"/>
      <c r="BH126" s="14"/>
    </row>
    <row r="127" spans="1:83" x14ac:dyDescent="0.25">
      <c r="A127" s="189" t="str">
        <f>LEFT(Alim_Surf!B39,10)</f>
        <v>0</v>
      </c>
      <c r="B127" s="173">
        <f>Alim_Surf!D39</f>
        <v>0</v>
      </c>
      <c r="C127" s="173">
        <f>Alim_Surf!E39</f>
        <v>0</v>
      </c>
      <c r="D127" s="190">
        <f>IF(B127=0,0,VLOOKUP(A127,[1]Anx!$A$212:$CO$218,3+Troupeau!$J$17))</f>
        <v>0</v>
      </c>
      <c r="J127" s="173">
        <f t="shared" si="58"/>
        <v>0</v>
      </c>
      <c r="K127" s="172"/>
      <c r="L127" s="172"/>
      <c r="M127" s="172"/>
      <c r="N127" s="172"/>
      <c r="S127" s="14" t="s">
        <v>1040</v>
      </c>
      <c r="T127">
        <f>Troupeau!B17</f>
        <v>304</v>
      </c>
      <c r="U127">
        <f>Troupeau!C17</f>
        <v>19</v>
      </c>
      <c r="V127">
        <f>Troupeau!D17</f>
        <v>0</v>
      </c>
      <c r="W127">
        <f>Troupeau!E17</f>
        <v>0</v>
      </c>
      <c r="AE127" t="s">
        <v>1041</v>
      </c>
      <c r="AF127" s="30">
        <f>HLOOKUP(AF$125,[1]Anx!$A$122:$CO$162,$AJ127)</f>
        <v>0</v>
      </c>
      <c r="AG127" s="30">
        <f>HLOOKUP(AG$125,[1]Anx!$A$122:$CO$162,$AJ127)</f>
        <v>230</v>
      </c>
      <c r="AH127" s="30">
        <f>HLOOKUP(AH$125,[1]Anx!$A$122:$CO$162,$AJ127)</f>
        <v>4</v>
      </c>
      <c r="AI127" s="30">
        <f>HLOOKUP(AI$125,[1]Anx!$A$122:$CO$162,$AJ127)</f>
        <v>4</v>
      </c>
      <c r="AJ127" s="212">
        <v>4</v>
      </c>
      <c r="AL127"/>
      <c r="AM127" s="5"/>
      <c r="BG127"/>
      <c r="BH127" s="14"/>
    </row>
    <row r="128" spans="1:83" x14ac:dyDescent="0.25">
      <c r="A128" s="189" t="str">
        <f>LEFT(Alim_Surf!B40,10)</f>
        <v>0</v>
      </c>
      <c r="B128" s="173">
        <f>Alim_Surf!D40</f>
        <v>0</v>
      </c>
      <c r="C128" s="173">
        <f>Alim_Surf!E40</f>
        <v>0</v>
      </c>
      <c r="D128" s="190">
        <f>IF(B128=0,0,VLOOKUP(A128,[1]Anx!$A$212:$CO$218,3+Troupeau!$J$17))</f>
        <v>0</v>
      </c>
      <c r="F128" s="5"/>
      <c r="G128" s="5"/>
      <c r="J128" s="173">
        <f t="shared" si="58"/>
        <v>0</v>
      </c>
      <c r="K128" s="172"/>
      <c r="L128" s="172"/>
      <c r="M128" s="172"/>
      <c r="N128" s="172"/>
      <c r="S128" s="14" t="s">
        <v>1042</v>
      </c>
      <c r="AE128" t="s">
        <v>1043</v>
      </c>
      <c r="AF128" s="30">
        <f>AF126*AF127</f>
        <v>0</v>
      </c>
      <c r="AG128" s="30">
        <f t="shared" ref="AG128:AI128" si="59">AG126*AG127</f>
        <v>1495</v>
      </c>
      <c r="AH128" s="30">
        <f t="shared" si="59"/>
        <v>0</v>
      </c>
      <c r="AI128" s="30">
        <f t="shared" si="59"/>
        <v>0</v>
      </c>
      <c r="AJ128" s="212"/>
      <c r="AL128"/>
      <c r="AM128" s="5"/>
      <c r="BG128"/>
      <c r="BH128" s="14"/>
    </row>
    <row r="129" spans="1:60" x14ac:dyDescent="0.25">
      <c r="A129" s="189" t="str">
        <f>LEFT(Alim_Surf!B41,10)</f>
        <v>0</v>
      </c>
      <c r="B129" s="173">
        <f>Alim_Surf!D41</f>
        <v>0</v>
      </c>
      <c r="C129" s="173">
        <f>Alim_Surf!E41</f>
        <v>0</v>
      </c>
      <c r="D129" s="190">
        <f>IF(B129=0,0,VLOOKUP(A129,[1]Anx!$A$212:$CO$218,3+Troupeau!$J$17))</f>
        <v>0</v>
      </c>
      <c r="F129" s="5"/>
      <c r="G129" s="5"/>
      <c r="J129" s="173">
        <f t="shared" si="58"/>
        <v>0</v>
      </c>
      <c r="K129" s="172"/>
      <c r="L129" s="172"/>
      <c r="M129" s="172"/>
      <c r="N129" s="172"/>
      <c r="AB129" s="208"/>
      <c r="AD129" s="14" t="s">
        <v>1044</v>
      </c>
      <c r="AE129" t="s">
        <v>1039</v>
      </c>
      <c r="AF129" s="30">
        <f>B10</f>
        <v>117.5</v>
      </c>
      <c r="AG129" s="30">
        <f>C10</f>
        <v>3.5</v>
      </c>
      <c r="AH129" s="30">
        <f>D10</f>
        <v>0</v>
      </c>
      <c r="AI129" s="30">
        <f>E10</f>
        <v>0</v>
      </c>
      <c r="AJ129" s="212"/>
      <c r="AL129"/>
      <c r="AM129" s="5"/>
      <c r="BG129"/>
      <c r="BH129" s="14"/>
    </row>
    <row r="130" spans="1:60" x14ac:dyDescent="0.25">
      <c r="A130" s="189" t="str">
        <f>LEFT(Alim_Surf!B42,10)</f>
        <v>0</v>
      </c>
      <c r="B130" s="173">
        <f>Alim_Surf!D42</f>
        <v>0</v>
      </c>
      <c r="C130" s="173">
        <f>Alim_Surf!E42</f>
        <v>0</v>
      </c>
      <c r="D130" s="190">
        <f>IF(B130=0,0,VLOOKUP(A130,[1]Anx!$A$212:$CO$218,3+Troupeau!$J$17))</f>
        <v>0</v>
      </c>
      <c r="F130" s="5"/>
      <c r="G130" s="18"/>
      <c r="J130" s="173">
        <f t="shared" si="58"/>
        <v>0</v>
      </c>
      <c r="K130" s="172"/>
      <c r="L130" s="172"/>
      <c r="M130" s="172"/>
      <c r="N130" s="172"/>
      <c r="T130" s="2" t="s">
        <v>568</v>
      </c>
      <c r="U130" s="2"/>
      <c r="V130" s="2" t="s">
        <v>601</v>
      </c>
      <c r="W130" s="2"/>
      <c r="X130" s="2" t="s">
        <v>738</v>
      </c>
      <c r="Y130" s="2"/>
      <c r="Z130" s="2" t="s">
        <v>993</v>
      </c>
      <c r="AA130" s="2"/>
      <c r="AB130" s="208"/>
      <c r="AE130" t="s">
        <v>1041</v>
      </c>
      <c r="AF130" s="30">
        <f>HLOOKUP(AF$125,[1]Anx!$A$122:$CO$162,$AJ130)</f>
        <v>0</v>
      </c>
      <c r="AG130" s="30">
        <f>HLOOKUP(AG$125,[1]Anx!$A$122:$CO$162,$AJ130)</f>
        <v>200</v>
      </c>
      <c r="AH130" s="30">
        <f>HLOOKUP(AH$125,[1]Anx!$A$122:$CO$162,$AJ130)</f>
        <v>9</v>
      </c>
      <c r="AI130" s="30">
        <f>HLOOKUP(AI$125,[1]Anx!$A$122:$CO$162,$AJ130)</f>
        <v>9</v>
      </c>
      <c r="AJ130" s="212">
        <v>9</v>
      </c>
      <c r="AL130"/>
      <c r="AM130" s="5"/>
      <c r="BG130"/>
      <c r="BH130" s="14"/>
    </row>
    <row r="131" spans="1:60" x14ac:dyDescent="0.25">
      <c r="A131" s="189" t="str">
        <f>LEFT(Alim_Surf!B43,10)</f>
        <v>0</v>
      </c>
      <c r="B131" s="173">
        <f>Alim_Surf!D43</f>
        <v>0</v>
      </c>
      <c r="C131" s="173">
        <f>Alim_Surf!E43</f>
        <v>0</v>
      </c>
      <c r="D131" s="190">
        <f>IF(B131=0,0,VLOOKUP(A131,[1]Anx!$A$212:$CO$218,3+Troupeau!$J$17))</f>
        <v>0</v>
      </c>
      <c r="F131" s="5"/>
      <c r="G131" s="18"/>
      <c r="J131" s="173">
        <f t="shared" si="58"/>
        <v>0</v>
      </c>
      <c r="K131" s="172"/>
      <c r="L131" s="172"/>
      <c r="M131" s="172"/>
      <c r="N131" s="172"/>
      <c r="O131" s="234"/>
      <c r="T131" s="171" t="s">
        <v>1045</v>
      </c>
      <c r="U131" s="171" t="s">
        <v>1046</v>
      </c>
      <c r="V131" s="171" t="s">
        <v>1045</v>
      </c>
      <c r="W131" s="171" t="s">
        <v>1046</v>
      </c>
      <c r="X131" s="171" t="s">
        <v>1045</v>
      </c>
      <c r="Y131" s="171" t="s">
        <v>1046</v>
      </c>
      <c r="Z131" s="171" t="s">
        <v>1045</v>
      </c>
      <c r="AA131" s="171" t="s">
        <v>1046</v>
      </c>
      <c r="AB131" s="208" t="s">
        <v>1047</v>
      </c>
      <c r="AE131" t="s">
        <v>1043</v>
      </c>
      <c r="AF131" s="30">
        <f>AF129*AF130</f>
        <v>0</v>
      </c>
      <c r="AG131" s="30">
        <f t="shared" ref="AG131:AI131" si="60">AG129*AG130</f>
        <v>700</v>
      </c>
      <c r="AH131" s="30">
        <f t="shared" si="60"/>
        <v>0</v>
      </c>
      <c r="AI131" s="30">
        <f t="shared" si="60"/>
        <v>0</v>
      </c>
      <c r="AJ131" s="212"/>
      <c r="AL131"/>
      <c r="AM131" s="5"/>
      <c r="BG131"/>
      <c r="BH131" s="14"/>
    </row>
    <row r="132" spans="1:60" x14ac:dyDescent="0.25">
      <c r="A132" s="189" t="s">
        <v>1048</v>
      </c>
      <c r="B132" s="5"/>
      <c r="C132" s="173">
        <f>AH228</f>
        <v>8.6999999999999993</v>
      </c>
      <c r="D132" s="190">
        <f>HLOOKUP(Troupeau!$J$17,[1]Anx!$D$170:$CN$186,'Calcul éco'!O132)</f>
        <v>45</v>
      </c>
      <c r="E132" s="236"/>
      <c r="F132" s="236"/>
      <c r="G132" s="18"/>
      <c r="J132" s="173">
        <f>D132*C132</f>
        <v>391.49999999999994</v>
      </c>
      <c r="K132" s="172"/>
      <c r="L132" s="172"/>
      <c r="M132" s="172"/>
      <c r="N132" s="172"/>
      <c r="O132" s="234">
        <v>10</v>
      </c>
      <c r="S132" s="14" t="s">
        <v>1018</v>
      </c>
      <c r="T132" s="171">
        <f>$T$127</f>
        <v>304</v>
      </c>
      <c r="U132" s="190">
        <f>HLOOKUP($T$123,[1]Anx!$D$170:$CN$1177,$AB132)</f>
        <v>8</v>
      </c>
      <c r="V132" s="171">
        <f>$U$127</f>
        <v>19</v>
      </c>
      <c r="W132" s="190">
        <f>IF(V132=0,0,HLOOKUP(U$123,[1]Anx!$D$170:$CN$1177,$AB132))</f>
        <v>97.6</v>
      </c>
      <c r="X132" s="171">
        <f>$V$127</f>
        <v>0</v>
      </c>
      <c r="Y132" s="190">
        <f>IF(X132=0,0,HLOOKUP(V$123,[1]Anx!$D$170:$CN$1177,$AB132))</f>
        <v>0</v>
      </c>
      <c r="Z132" s="171">
        <f>$W$127</f>
        <v>0</v>
      </c>
      <c r="AA132" s="237">
        <f>IF(Z132=0,0,HLOOKUP(W$123,[1]Anx!$D$170:$CN$1177,$AB132))</f>
        <v>0</v>
      </c>
      <c r="AB132" s="234">
        <v>3</v>
      </c>
      <c r="AD132" s="14" t="s">
        <v>1049</v>
      </c>
      <c r="AE132" t="s">
        <v>1039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12"/>
      <c r="AL132"/>
      <c r="AM132" s="5"/>
      <c r="BG132"/>
      <c r="BH132" s="14"/>
    </row>
    <row r="133" spans="1:60" x14ac:dyDescent="0.25">
      <c r="A133" s="189" t="s">
        <v>1050</v>
      </c>
      <c r="B133" s="5"/>
      <c r="C133" s="173">
        <f>AI228</f>
        <v>3.3</v>
      </c>
      <c r="D133" s="190">
        <f>HLOOKUP(Troupeau!$J$17,[1]Anx!$D$170:$CN$186,'Calcul éco'!O133)</f>
        <v>60.51</v>
      </c>
      <c r="E133" s="236"/>
      <c r="F133" s="236"/>
      <c r="G133" s="18"/>
      <c r="J133" s="173">
        <f t="shared" ref="J133:J138" si="61">D133*C133</f>
        <v>199.68299999999999</v>
      </c>
      <c r="K133" s="172"/>
      <c r="L133" s="172"/>
      <c r="M133" s="172"/>
      <c r="N133" s="172"/>
      <c r="O133" s="234">
        <v>11</v>
      </c>
      <c r="S133" s="14" t="s">
        <v>1020</v>
      </c>
      <c r="T133" s="171">
        <f>$T$127</f>
        <v>304</v>
      </c>
      <c r="U133" s="190">
        <f>HLOOKUP($T$123,[1]Anx!$D$170:$CN$1177,$AB133)</f>
        <v>19.829999999999998</v>
      </c>
      <c r="V133" s="171">
        <f>$U$127</f>
        <v>19</v>
      </c>
      <c r="W133" s="190">
        <f>IF(V133=0,0,HLOOKUP(U$123,[1]Anx!$D$170:$CN$1177,$AB133))</f>
        <v>140</v>
      </c>
      <c r="X133" s="171">
        <f>$V$127</f>
        <v>0</v>
      </c>
      <c r="Y133" s="190">
        <f>IF(X133=0,0,HLOOKUP(V$123,[1]Anx!$D$170:$CN$1177,$AB133))</f>
        <v>0</v>
      </c>
      <c r="Z133" s="171">
        <f>$W$127</f>
        <v>0</v>
      </c>
      <c r="AA133" s="237">
        <f>IF(Z133=0,0,HLOOKUP(W$123,[1]Anx!$D$170:$CN$1177,$AB133))</f>
        <v>0</v>
      </c>
      <c r="AB133" s="234">
        <v>4</v>
      </c>
      <c r="AE133" t="s">
        <v>1041</v>
      </c>
      <c r="AF133" s="30">
        <f>HLOOKUP(AF$125,[1]Anx!$A$122:$CO$162,$AJ133)</f>
        <v>0</v>
      </c>
      <c r="AG133" s="30">
        <f>HLOOKUP(AG$125,[1]Anx!$A$122:$CO$162,$AJ133)</f>
        <v>0</v>
      </c>
      <c r="AH133" s="30">
        <f>HLOOKUP(AH$125,[1]Anx!$A$122:$CO$162,$AJ133)</f>
        <v>14</v>
      </c>
      <c r="AI133" s="30">
        <f>HLOOKUP(AI$125,[1]Anx!$A$122:$CO$162,$AJ133)</f>
        <v>14</v>
      </c>
      <c r="AJ133" s="212">
        <v>14</v>
      </c>
      <c r="AL133"/>
      <c r="AM133" s="5"/>
      <c r="BG133"/>
      <c r="BH133" s="14"/>
    </row>
    <row r="134" spans="1:60" x14ac:dyDescent="0.25">
      <c r="A134" s="189" t="s">
        <v>1051</v>
      </c>
      <c r="B134" s="5"/>
      <c r="C134" s="173">
        <f>AJ228</f>
        <v>11</v>
      </c>
      <c r="D134" s="190">
        <f>HLOOKUP(Troupeau!$J$17,[1]Anx!$D$170:$CN$186,'Calcul éco'!O134)</f>
        <v>67.75</v>
      </c>
      <c r="E134" s="236"/>
      <c r="F134" s="236"/>
      <c r="G134" s="18"/>
      <c r="J134" s="173">
        <f t="shared" si="61"/>
        <v>745.25</v>
      </c>
      <c r="K134" s="172"/>
      <c r="L134" s="172"/>
      <c r="M134" s="172"/>
      <c r="N134" s="172"/>
      <c r="O134" s="234">
        <v>12</v>
      </c>
      <c r="S134" s="14" t="s">
        <v>1021</v>
      </c>
      <c r="T134" s="172">
        <f>B6</f>
        <v>37947</v>
      </c>
      <c r="U134" s="190">
        <f>HLOOKUP($T$123,[1]Anx!$D$170:$CN$1177,$AB134)</f>
        <v>8.5000000000000006E-2</v>
      </c>
      <c r="V134" s="172"/>
      <c r="W134" s="190">
        <f>IF(V134=0,0,HLOOKUP(U$123,[1]Anx!$D$170:$CN$1177,$AB134))</f>
        <v>0</v>
      </c>
      <c r="X134" s="172"/>
      <c r="Y134" s="190">
        <f>IF(X134=0,0,HLOOKUP(V$123,[1]Anx!$D$170:$CN$1177,$AB134))</f>
        <v>0</v>
      </c>
      <c r="Z134" s="172"/>
      <c r="AA134" s="237">
        <f>IF(Z134=0,0,HLOOKUP(W$123,[1]Anx!$D$170:$CN$1177,$AB134))</f>
        <v>0</v>
      </c>
      <c r="AB134" s="234">
        <v>5</v>
      </c>
      <c r="AE134" t="s">
        <v>1043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12"/>
      <c r="AL134"/>
      <c r="AM134" s="5"/>
      <c r="BG134"/>
      <c r="BH134" s="14"/>
    </row>
    <row r="135" spans="1:60" x14ac:dyDescent="0.25">
      <c r="A135" s="189" t="s">
        <v>1052</v>
      </c>
      <c r="C135" s="173">
        <f>AE228</f>
        <v>0</v>
      </c>
      <c r="D135" s="190">
        <f>HLOOKUP(Troupeau!$J$17,[1]Anx!$D$170:$CN$186,'Calcul éco'!O135)</f>
        <v>0</v>
      </c>
      <c r="E135" s="5"/>
      <c r="F135" s="5"/>
      <c r="G135" s="18"/>
      <c r="J135" s="173">
        <f t="shared" si="61"/>
        <v>0</v>
      </c>
      <c r="K135" s="172"/>
      <c r="L135" s="172"/>
      <c r="M135" s="172"/>
      <c r="N135" s="172"/>
      <c r="O135" s="234">
        <v>13</v>
      </c>
      <c r="S135" s="14" t="s">
        <v>1022</v>
      </c>
      <c r="T135" s="171">
        <f>$T$127</f>
        <v>304</v>
      </c>
      <c r="U135" s="190">
        <f>HLOOKUP($T$123,[1]Anx!$D$170:$CN$1177,$AB135)</f>
        <v>3</v>
      </c>
      <c r="V135" s="171">
        <f>$U$127</f>
        <v>19</v>
      </c>
      <c r="W135" s="190">
        <f>IF(V135=0,0,HLOOKUP(U$123,[1]Anx!$D$170:$CN$1177,$AB135))</f>
        <v>17.399999999999999</v>
      </c>
      <c r="X135" s="171">
        <f>$V$127</f>
        <v>0</v>
      </c>
      <c r="Y135" s="190">
        <f>IF(X135=0,0,HLOOKUP(V$123,[1]Anx!$D$170:$CN$1177,$AB135))</f>
        <v>0</v>
      </c>
      <c r="Z135" s="171">
        <f>$W$127</f>
        <v>0</v>
      </c>
      <c r="AA135" s="237">
        <f>IF(Z135=0,0,HLOOKUP(W$123,[1]Anx!$D$170:$CN$1177,$AB135))</f>
        <v>0</v>
      </c>
      <c r="AB135" s="234">
        <v>6</v>
      </c>
      <c r="AD135" s="14" t="s">
        <v>1053</v>
      </c>
      <c r="AE135" t="s">
        <v>1039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12"/>
      <c r="AL135"/>
      <c r="AM135" s="5"/>
      <c r="BG135"/>
      <c r="BH135" s="14"/>
    </row>
    <row r="136" spans="1:60" x14ac:dyDescent="0.25">
      <c r="A136" s="189" t="s">
        <v>1054</v>
      </c>
      <c r="B136" s="5"/>
      <c r="C136" s="173">
        <f>AF228</f>
        <v>0</v>
      </c>
      <c r="D136" s="190">
        <f>HLOOKUP(Troupeau!$J$17,[1]Anx!$D$170:$CN$186,'Calcul éco'!O136)</f>
        <v>0</v>
      </c>
      <c r="E136" s="5"/>
      <c r="F136" s="5"/>
      <c r="G136" s="18"/>
      <c r="J136" s="173">
        <f t="shared" si="61"/>
        <v>0</v>
      </c>
      <c r="K136" s="172"/>
      <c r="L136" s="172"/>
      <c r="M136" s="172"/>
      <c r="N136" s="172"/>
      <c r="O136" s="234">
        <v>14</v>
      </c>
      <c r="S136" s="14" t="s">
        <v>1055</v>
      </c>
      <c r="T136" s="171">
        <f>$T$127</f>
        <v>304</v>
      </c>
      <c r="U136" s="190">
        <f>HLOOKUP($T$123,[1]Anx!$D$170:$CN$1177,$AB136)</f>
        <v>3.5</v>
      </c>
      <c r="V136" s="171">
        <f>$U$127</f>
        <v>19</v>
      </c>
      <c r="W136" s="190">
        <f>IF(V136=0,0,HLOOKUP(U$123,[1]Anx!$D$170:$CN$1177,$AB136))</f>
        <v>55</v>
      </c>
      <c r="X136" s="171">
        <f>$V$127</f>
        <v>0</v>
      </c>
      <c r="Y136" s="190">
        <f>IF(X136=0,0,HLOOKUP(V$123,[1]Anx!$D$170:$CN$1177,$AB136))</f>
        <v>0</v>
      </c>
      <c r="Z136" s="171">
        <f>$W$127</f>
        <v>0</v>
      </c>
      <c r="AA136" s="237">
        <f>IF(Z136=0,0,HLOOKUP(W$123,[1]Anx!$D$170:$CN$1177,$AB136))</f>
        <v>0</v>
      </c>
      <c r="AB136" s="234">
        <v>7</v>
      </c>
      <c r="AE136" t="s">
        <v>1041</v>
      </c>
      <c r="AF136" s="30">
        <f>HLOOKUP(AF$125,[1]Anx!$A$122:$CO$162,$AJ136)</f>
        <v>0</v>
      </c>
      <c r="AG136" s="30">
        <f>HLOOKUP(AG$125,[1]Anx!$A$122:$CO$162,$AJ136)</f>
        <v>0</v>
      </c>
      <c r="AH136" s="30">
        <f>HLOOKUP(AH$125,[1]Anx!$A$122:$CO$162,$AJ136)</f>
        <v>19</v>
      </c>
      <c r="AI136" s="30">
        <f>HLOOKUP(AI$125,[1]Anx!$A$122:$CO$162,$AJ136)</f>
        <v>19</v>
      </c>
      <c r="AJ136" s="212">
        <v>19</v>
      </c>
      <c r="AL136"/>
      <c r="AM136" s="5"/>
      <c r="BG136"/>
      <c r="BH136" s="14"/>
    </row>
    <row r="137" spans="1:60" x14ac:dyDescent="0.25">
      <c r="A137" s="189" t="s">
        <v>1056</v>
      </c>
      <c r="B137" s="5"/>
      <c r="C137" s="173">
        <f>AG228</f>
        <v>5</v>
      </c>
      <c r="D137" s="190">
        <f>HLOOKUP(Troupeau!$J$17,[1]Anx!$D$170:$CN$186,'Calcul éco'!O137)</f>
        <v>125.2</v>
      </c>
      <c r="E137" s="5"/>
      <c r="F137" s="5"/>
      <c r="G137" s="18"/>
      <c r="J137" s="173">
        <f t="shared" si="61"/>
        <v>626</v>
      </c>
      <c r="K137" s="172"/>
      <c r="L137" s="172"/>
      <c r="M137" s="172"/>
      <c r="N137" s="172"/>
      <c r="O137" s="234">
        <v>15</v>
      </c>
      <c r="S137" s="32" t="s">
        <v>1057</v>
      </c>
      <c r="T137" s="171">
        <f>Troupeau!B22</f>
        <v>60</v>
      </c>
      <c r="U137" s="190">
        <f>HLOOKUP($T$123,[1]Anx!$D$170:$CN$1177,$AB137)</f>
        <v>0</v>
      </c>
      <c r="V137" s="171">
        <f>Troupeau!C22</f>
        <v>3</v>
      </c>
      <c r="W137" s="190">
        <f>IF(V137=0,0,HLOOKUP(U$123,[1]Anx!$D$170:$CN$1177,$AB137))</f>
        <v>0</v>
      </c>
      <c r="X137" s="171">
        <f>Troupeau!D22</f>
        <v>0</v>
      </c>
      <c r="Y137" s="190">
        <f>IF(X137=0,0,HLOOKUP(V$123,[1]Anx!$D$170:$CN$1177,$AB137))</f>
        <v>0</v>
      </c>
      <c r="Z137" s="171">
        <f>Troupeau!E22</f>
        <v>0</v>
      </c>
      <c r="AA137" s="237">
        <f>IF(Z137=0,0,HLOOKUP(W$123,[1]Anx!$D$170:$CN$1177,$AB137))</f>
        <v>0</v>
      </c>
      <c r="AB137" s="234">
        <v>8</v>
      </c>
      <c r="AE137" t="s">
        <v>1043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12"/>
      <c r="AL137"/>
      <c r="AM137" s="5"/>
      <c r="BG137"/>
      <c r="BH137" s="14"/>
    </row>
    <row r="138" spans="1:60" x14ac:dyDescent="0.25">
      <c r="A138" s="189" t="s">
        <v>1058</v>
      </c>
      <c r="B138" s="5"/>
      <c r="C138" s="173">
        <f>AA228</f>
        <v>0</v>
      </c>
      <c r="D138" s="190">
        <f>HLOOKUP(Troupeau!$J$17,[1]Anx!$D$170:$CN$186,'Calcul éco'!O138)</f>
        <v>0</v>
      </c>
      <c r="E138" s="5"/>
      <c r="F138" s="5"/>
      <c r="G138" s="18"/>
      <c r="J138" s="173">
        <f t="shared" si="61"/>
        <v>0</v>
      </c>
      <c r="K138" s="172"/>
      <c r="L138" s="172"/>
      <c r="M138" s="172"/>
      <c r="N138" s="172"/>
      <c r="O138" s="234">
        <v>16</v>
      </c>
      <c r="AD138" s="14" t="s">
        <v>1059</v>
      </c>
      <c r="AE138" t="s">
        <v>1039</v>
      </c>
      <c r="AF138" s="30">
        <f>B13</f>
        <v>45</v>
      </c>
      <c r="AG138" s="30">
        <f>C13</f>
        <v>3</v>
      </c>
      <c r="AH138" s="30">
        <f>D13</f>
        <v>0</v>
      </c>
      <c r="AI138" s="30">
        <f>E13</f>
        <v>0</v>
      </c>
      <c r="AJ138" s="212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34"/>
      <c r="AE139" t="s">
        <v>1041</v>
      </c>
      <c r="AF139" s="30">
        <f>HLOOKUP(AF$125,[1]Anx!$A$122:$CO$162,$AJ139)</f>
        <v>0</v>
      </c>
      <c r="AG139" s="30">
        <f>HLOOKUP(AG$125,[1]Anx!$A$122:$CO$162,$AJ139)</f>
        <v>650</v>
      </c>
      <c r="AH139" s="30">
        <f>HLOOKUP(AH$125,[1]Anx!$A$122:$CO$162,$AJ139)</f>
        <v>24</v>
      </c>
      <c r="AI139" s="30">
        <f>HLOOKUP(AI$125,[1]Anx!$A$122:$CO$162,$AJ139)</f>
        <v>24</v>
      </c>
      <c r="AJ139" s="212">
        <v>24</v>
      </c>
      <c r="AL139"/>
      <c r="AM139" s="5"/>
    </row>
    <row r="140" spans="1:60" x14ac:dyDescent="0.25">
      <c r="A140" s="2" t="s">
        <v>1060</v>
      </c>
      <c r="J140" s="172"/>
      <c r="K140" s="172"/>
      <c r="L140" s="172"/>
      <c r="M140" s="172"/>
      <c r="N140" s="172"/>
      <c r="Y140" s="171"/>
      <c r="AE140" t="s">
        <v>1043</v>
      </c>
      <c r="AF140" s="30">
        <f>AF138*AF139</f>
        <v>0</v>
      </c>
      <c r="AG140" s="30">
        <f t="shared" ref="AG140:AI140" si="64">AG138*AG139</f>
        <v>1950</v>
      </c>
      <c r="AH140" s="30">
        <f t="shared" si="64"/>
        <v>0</v>
      </c>
      <c r="AI140" s="30">
        <f t="shared" si="64"/>
        <v>0</v>
      </c>
      <c r="AJ140" s="212"/>
      <c r="AL140"/>
      <c r="AM140" s="5"/>
    </row>
    <row r="141" spans="1:60" x14ac:dyDescent="0.25">
      <c r="A141" t="s">
        <v>1061</v>
      </c>
      <c r="J141" s="173">
        <f>X245</f>
        <v>9043</v>
      </c>
      <c r="K141" s="172"/>
      <c r="L141" s="172"/>
      <c r="M141" s="172"/>
      <c r="N141" s="172"/>
      <c r="Y141" s="171"/>
      <c r="AD141" s="14" t="s">
        <v>1062</v>
      </c>
      <c r="AE141" t="s">
        <v>1039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12"/>
      <c r="AL141"/>
      <c r="AM141" s="5"/>
    </row>
    <row r="142" spans="1:60" x14ac:dyDescent="0.25">
      <c r="A142" t="s">
        <v>1063</v>
      </c>
      <c r="J142" s="173">
        <f>SUM(X271:X275)</f>
        <v>882.84999999999991</v>
      </c>
      <c r="K142" s="172"/>
      <c r="L142" s="172"/>
      <c r="M142" s="172"/>
      <c r="N142" s="172"/>
      <c r="Y142" s="171"/>
      <c r="AE142" t="s">
        <v>1041</v>
      </c>
      <c r="AF142" s="30">
        <f>HLOOKUP(AF$125,[1]Anx!$A$122:$CO$162,$AJ142)</f>
        <v>0</v>
      </c>
      <c r="AG142" s="30">
        <f>HLOOKUP(AG$125,[1]Anx!$A$122:$CO$162,$AJ142)</f>
        <v>0</v>
      </c>
      <c r="AH142" s="30">
        <f>HLOOKUP(AH$125,[1]Anx!$A$122:$CO$162,$AJ142)</f>
        <v>29</v>
      </c>
      <c r="AI142" s="30">
        <f>HLOOKUP(AI$125,[1]Anx!$A$122:$CO$162,$AJ142)</f>
        <v>29</v>
      </c>
      <c r="AJ142" s="212">
        <v>29</v>
      </c>
      <c r="AL142"/>
      <c r="AM142" s="5"/>
    </row>
    <row r="143" spans="1:60" x14ac:dyDescent="0.25">
      <c r="Y143" s="171"/>
      <c r="AE143" t="s">
        <v>1043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12"/>
      <c r="AL143"/>
      <c r="AM143" s="5"/>
    </row>
    <row r="144" spans="1:60" x14ac:dyDescent="0.25">
      <c r="C144" s="18"/>
      <c r="D144" s="18"/>
      <c r="E144" s="18"/>
      <c r="F144" s="5"/>
      <c r="G144" s="18"/>
      <c r="Y144" s="171"/>
      <c r="AD144" s="14" t="s">
        <v>1064</v>
      </c>
      <c r="AE144" t="s">
        <v>1039</v>
      </c>
      <c r="AF144" s="30">
        <f>B15</f>
        <v>3.5</v>
      </c>
      <c r="AG144" s="30">
        <f>C15</f>
        <v>0</v>
      </c>
      <c r="AH144" s="30">
        <f>D15</f>
        <v>0</v>
      </c>
      <c r="AI144" s="30">
        <f>E15</f>
        <v>0</v>
      </c>
      <c r="AJ144" s="212"/>
      <c r="AL144"/>
      <c r="AM144" s="5"/>
    </row>
    <row r="145" spans="1:39" x14ac:dyDescent="0.25">
      <c r="A145" s="225" t="s">
        <v>1065</v>
      </c>
      <c r="B145" s="225"/>
      <c r="C145" s="225"/>
      <c r="D145" s="225"/>
      <c r="E145" s="225"/>
      <c r="F145" s="238"/>
      <c r="G145" s="238"/>
      <c r="H145" s="238"/>
      <c r="I145" s="238"/>
      <c r="J145" s="226">
        <f>SUM(J82:J144)</f>
        <v>58734.327999999994</v>
      </c>
      <c r="K145" s="226"/>
      <c r="L145" s="226"/>
      <c r="M145" s="226"/>
      <c r="N145" s="226"/>
      <c r="Y145" s="171"/>
      <c r="AE145" t="s">
        <v>1041</v>
      </c>
      <c r="AF145" s="30">
        <f>HLOOKUP(AF$125,[1]Anx!$A$122:$CO$162,$AJ145)</f>
        <v>0</v>
      </c>
      <c r="AG145" s="30">
        <f>HLOOKUP(AG$125,[1]Anx!$A$122:$CO$162,$AJ145)</f>
        <v>0</v>
      </c>
      <c r="AH145" s="30">
        <f>HLOOKUP(AH$125,[1]Anx!$A$122:$CO$162,$AJ145)</f>
        <v>34</v>
      </c>
      <c r="AI145" s="30">
        <f>HLOOKUP(AI$125,[1]Anx!$A$122:$CO$162,$AJ145)</f>
        <v>34</v>
      </c>
      <c r="AJ145" s="212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1043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12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1066</v>
      </c>
      <c r="AF147" s="46">
        <f>AF128+AF131+AF134+AF137+AF140+AF143+AF146</f>
        <v>0</v>
      </c>
      <c r="AG147" s="46">
        <f>AG128+AG131+AG134+AG137+AG140+AG143+AG146</f>
        <v>4145</v>
      </c>
      <c r="AH147" s="46">
        <f>AH128+AH131+AH134+AH137+AH140+AH143+AH146</f>
        <v>0</v>
      </c>
      <c r="AI147" s="46">
        <f>AI128+AI131+AI134+AI137+AI140+AI143+AI146</f>
        <v>0</v>
      </c>
      <c r="AJ147" s="212"/>
      <c r="AL147"/>
      <c r="AM147" s="5"/>
    </row>
    <row r="148" spans="1:39" x14ac:dyDescent="0.25">
      <c r="A148" s="2" t="s">
        <v>1067</v>
      </c>
      <c r="D148" s="5"/>
      <c r="E148" s="18"/>
      <c r="F148" s="5"/>
      <c r="G148" s="18"/>
      <c r="O148" s="234"/>
      <c r="AL148"/>
      <c r="AM148" s="5"/>
    </row>
    <row r="149" spans="1:39" x14ac:dyDescent="0.25">
      <c r="A149" t="s">
        <v>1068</v>
      </c>
      <c r="B149" s="173">
        <f>B$154</f>
        <v>29</v>
      </c>
      <c r="C149" s="190">
        <f>HLOOKUP(Troupeau!J$17,[1]Anx!$A$170:$CN$220,'Calcul éco'!O149)</f>
        <v>32.6</v>
      </c>
      <c r="D149" s="5"/>
      <c r="G149" s="171"/>
      <c r="J149" s="173">
        <f t="shared" ref="J149:J154" si="67">B149*C149</f>
        <v>945.40000000000009</v>
      </c>
      <c r="K149" s="173"/>
      <c r="L149" s="173"/>
      <c r="M149" s="173"/>
      <c r="N149" s="173"/>
      <c r="O149" s="234">
        <v>19</v>
      </c>
      <c r="AL149"/>
      <c r="AM149" s="5"/>
    </row>
    <row r="150" spans="1:39" x14ac:dyDescent="0.25">
      <c r="A150" t="s">
        <v>1069</v>
      </c>
      <c r="B150" s="172">
        <v>1</v>
      </c>
      <c r="C150" s="190">
        <f>HLOOKUP(Troupeau!J$17,[1]Anx!$A$170:$CN$220,'Calcul éco'!O150)</f>
        <v>1500</v>
      </c>
      <c r="D150" s="5"/>
      <c r="G150" s="171"/>
      <c r="J150" s="173">
        <f t="shared" si="67"/>
        <v>1500</v>
      </c>
      <c r="K150" s="173"/>
      <c r="L150" s="173"/>
      <c r="M150" s="173"/>
      <c r="N150" s="173"/>
      <c r="O150" s="234">
        <v>20</v>
      </c>
      <c r="AL150"/>
      <c r="AM150" s="5"/>
    </row>
    <row r="151" spans="1:39" x14ac:dyDescent="0.25">
      <c r="A151" t="s">
        <v>1070</v>
      </c>
      <c r="B151" s="172">
        <v>1</v>
      </c>
      <c r="C151" s="190">
        <f>HLOOKUP(Troupeau!J$17,[1]Anx!$A$170:$CN$220,'Calcul éco'!O151)</f>
        <v>19182</v>
      </c>
      <c r="D151" s="5"/>
      <c r="G151" s="171"/>
      <c r="J151" s="173">
        <f t="shared" si="67"/>
        <v>19182</v>
      </c>
      <c r="K151" s="173"/>
      <c r="L151" s="173"/>
      <c r="M151" s="173"/>
      <c r="N151" s="173"/>
      <c r="O151" s="234">
        <v>21</v>
      </c>
      <c r="Y151" t="s">
        <v>1071</v>
      </c>
    </row>
    <row r="152" spans="1:39" x14ac:dyDescent="0.25">
      <c r="A152" t="s">
        <v>1072</v>
      </c>
      <c r="B152" s="173">
        <f>+Scénario!K6</f>
        <v>0</v>
      </c>
      <c r="C152" s="190">
        <f>HLOOKUP(Troupeau!J$17,[1]Anx!$A$170:$CN$220,'Calcul éco'!O152)</f>
        <v>23300</v>
      </c>
      <c r="D152" s="5"/>
      <c r="G152" s="171"/>
      <c r="J152" s="173">
        <f t="shared" si="67"/>
        <v>0</v>
      </c>
      <c r="K152" s="173"/>
      <c r="L152" s="173"/>
      <c r="M152" s="173"/>
      <c r="N152" s="173"/>
      <c r="O152" s="234">
        <v>22</v>
      </c>
      <c r="Z152" t="s">
        <v>1073</v>
      </c>
    </row>
    <row r="153" spans="1:39" x14ac:dyDescent="0.25">
      <c r="A153" s="5" t="s">
        <v>1074</v>
      </c>
      <c r="B153" s="172">
        <v>1</v>
      </c>
      <c r="C153" s="190">
        <f>HLOOKUP(Troupeau!J$17,[1]Anx!$A$170:$CN$220,'Calcul éco'!O153)</f>
        <v>16000</v>
      </c>
      <c r="D153" s="5"/>
      <c r="E153" s="5"/>
      <c r="G153" s="171"/>
      <c r="J153" s="173">
        <f t="shared" si="67"/>
        <v>16000</v>
      </c>
      <c r="K153" s="173"/>
      <c r="L153" s="173"/>
      <c r="M153" s="173"/>
      <c r="N153" s="173"/>
      <c r="O153" s="234">
        <v>23</v>
      </c>
      <c r="V153" s="14" t="s">
        <v>1075</v>
      </c>
      <c r="W153" s="173">
        <f>U$228</f>
        <v>19.3</v>
      </c>
      <c r="X153" t="s">
        <v>52</v>
      </c>
      <c r="Y153" s="173">
        <f>W153-Scénario!K28</f>
        <v>-4.1999999999999993</v>
      </c>
      <c r="Z153" s="173">
        <f>Y153-Y156</f>
        <v>-3.7799999999999994</v>
      </c>
    </row>
    <row r="154" spans="1:39" x14ac:dyDescent="0.25">
      <c r="A154" t="s">
        <v>1076</v>
      </c>
      <c r="B154" s="173">
        <f>Scénario!K48</f>
        <v>29</v>
      </c>
      <c r="C154" s="190">
        <f>HLOOKUP(Troupeau!J$17,[1]Anx!$A$170:$CN$220,'Calcul éco'!O154)</f>
        <v>290.7</v>
      </c>
      <c r="D154" s="5"/>
      <c r="G154" s="171"/>
      <c r="J154" s="173">
        <f t="shared" si="67"/>
        <v>8430.2999999999993</v>
      </c>
      <c r="K154" s="173"/>
      <c r="L154" s="173"/>
      <c r="M154" s="173"/>
      <c r="N154" s="173"/>
      <c r="O154" s="234">
        <v>24</v>
      </c>
      <c r="V154" s="14" t="s">
        <v>1077</v>
      </c>
      <c r="W154" s="173">
        <f>V$228</f>
        <v>16</v>
      </c>
      <c r="X154" t="s">
        <v>52</v>
      </c>
      <c r="Y154" s="173">
        <f>W154-Scénario!K29</f>
        <v>0</v>
      </c>
      <c r="Z154" s="173">
        <f>Y154</f>
        <v>0</v>
      </c>
    </row>
    <row r="155" spans="1:39" x14ac:dyDescent="0.25">
      <c r="A155" s="17" t="s">
        <v>1078</v>
      </c>
      <c r="B155" s="239">
        <f>B154</f>
        <v>29</v>
      </c>
      <c r="C155" s="190">
        <f>HLOOKUP(Troupeau!J$17,[1]Anx!$A$170:$CN$220,'Calcul éco'!O155)</f>
        <v>60</v>
      </c>
      <c r="D155" s="86"/>
      <c r="E155" s="17"/>
      <c r="G155" s="171"/>
      <c r="H155" s="17"/>
      <c r="I155" s="239">
        <f>B155*C155</f>
        <v>1740</v>
      </c>
      <c r="O155" s="234">
        <v>25</v>
      </c>
      <c r="V155" s="14" t="s">
        <v>1079</v>
      </c>
      <c r="W155" s="173">
        <f>W$228</f>
        <v>0</v>
      </c>
      <c r="X155" t="s">
        <v>52</v>
      </c>
      <c r="Y155" s="173">
        <f>W155-Scénario!K30</f>
        <v>0</v>
      </c>
      <c r="Z155" s="173">
        <f t="shared" ref="Z155:Z156" si="68">Y155</f>
        <v>0</v>
      </c>
    </row>
    <row r="156" spans="1:39" x14ac:dyDescent="0.25">
      <c r="C156" s="5"/>
      <c r="D156" s="5"/>
      <c r="O156" s="234"/>
      <c r="U156" t="s">
        <v>1080</v>
      </c>
      <c r="V156" s="14"/>
      <c r="W156" s="14"/>
      <c r="X156" s="14"/>
      <c r="Y156" s="173">
        <f>Y153*Scénario!K31/100</f>
        <v>-0.41999999999999993</v>
      </c>
      <c r="Z156" s="173">
        <f t="shared" si="68"/>
        <v>-0.41999999999999993</v>
      </c>
    </row>
    <row r="157" spans="1:39" x14ac:dyDescent="0.25">
      <c r="A157" s="5" t="s">
        <v>1081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1082</v>
      </c>
      <c r="B158" s="173">
        <f>Z153</f>
        <v>-3.7799999999999994</v>
      </c>
      <c r="C158" s="190">
        <f>HLOOKUP(Scénario!$K$11,[1]Eco!$A$91:$C$94,'Calcul éco'!O158)</f>
        <v>36.200000000000003</v>
      </c>
      <c r="E158" s="5"/>
      <c r="F158" s="5"/>
      <c r="G158" s="18"/>
      <c r="H158" s="5"/>
      <c r="I158" s="5"/>
      <c r="J158" s="173">
        <f>B158*C158</f>
        <v>-136.83599999999998</v>
      </c>
      <c r="K158" s="173"/>
      <c r="L158" s="173"/>
      <c r="M158" s="173"/>
      <c r="N158" s="173"/>
      <c r="O158" s="234">
        <v>2</v>
      </c>
    </row>
    <row r="159" spans="1:39" x14ac:dyDescent="0.25">
      <c r="A159" s="5" t="s">
        <v>1083</v>
      </c>
      <c r="B159" s="173">
        <f t="shared" ref="B159:B161" si="69">Z154</f>
        <v>0</v>
      </c>
      <c r="C159" s="190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73">
        <f>B159*C159</f>
        <v>0</v>
      </c>
      <c r="K159" s="173"/>
      <c r="L159" s="173"/>
      <c r="M159" s="173"/>
      <c r="N159" s="173"/>
      <c r="O159" s="234">
        <v>3</v>
      </c>
    </row>
    <row r="160" spans="1:39" x14ac:dyDescent="0.25">
      <c r="A160" s="5" t="s">
        <v>1084</v>
      </c>
      <c r="B160" s="173">
        <f t="shared" si="69"/>
        <v>0</v>
      </c>
      <c r="C160" s="190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73">
        <f>B160*C160</f>
        <v>0</v>
      </c>
      <c r="K160" s="173"/>
      <c r="L160" s="173"/>
      <c r="M160" s="173"/>
      <c r="N160" s="173"/>
      <c r="O160" s="234">
        <v>3</v>
      </c>
      <c r="X160" s="5"/>
      <c r="Y160" s="5"/>
    </row>
    <row r="161" spans="1:41" x14ac:dyDescent="0.25">
      <c r="A161" s="5" t="s">
        <v>1085</v>
      </c>
      <c r="B161" s="173">
        <f t="shared" si="69"/>
        <v>-0.41999999999999993</v>
      </c>
      <c r="C161" s="190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73">
        <f>B161*C161</f>
        <v>-65.267999999999986</v>
      </c>
      <c r="K161" s="173"/>
      <c r="L161" s="173"/>
      <c r="M161" s="173"/>
      <c r="N161" s="173"/>
      <c r="O161" s="234">
        <v>4</v>
      </c>
      <c r="R161" s="2" t="s">
        <v>641</v>
      </c>
      <c r="X161" s="172"/>
      <c r="Y161" s="172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Alim_Surf!Q5</f>
        <v>n°</v>
      </c>
      <c r="S162" s="33"/>
      <c r="T162" s="33"/>
      <c r="V162" s="171"/>
      <c r="W162" s="171"/>
      <c r="X162" s="172"/>
      <c r="Y162" s="172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Alim_Surf!Q6</f>
        <v>MEP</v>
      </c>
      <c r="S163" s="33" t="s">
        <v>37</v>
      </c>
      <c r="T163" s="33" t="s">
        <v>642</v>
      </c>
      <c r="U163" t="s">
        <v>643</v>
      </c>
      <c r="V163" s="171" t="s">
        <v>644</v>
      </c>
      <c r="W163" s="171" t="s">
        <v>645</v>
      </c>
      <c r="X163" s="172" t="s">
        <v>646</v>
      </c>
      <c r="Y163" s="172" t="s">
        <v>647</v>
      </c>
      <c r="Z163" s="172" t="s">
        <v>648</v>
      </c>
      <c r="AA163" s="172" t="s">
        <v>649</v>
      </c>
      <c r="AB163" s="172" t="s">
        <v>650</v>
      </c>
      <c r="AC163" s="172" t="s">
        <v>651</v>
      </c>
      <c r="AD163" s="172" t="s">
        <v>652</v>
      </c>
      <c r="AE163" s="172" t="s">
        <v>653</v>
      </c>
      <c r="AF163" s="172" t="s">
        <v>654</v>
      </c>
      <c r="AG163" s="172" t="s">
        <v>655</v>
      </c>
      <c r="AH163" s="172" t="s">
        <v>656</v>
      </c>
      <c r="AI163" s="172" t="s">
        <v>657</v>
      </c>
      <c r="AJ163" s="172" t="s">
        <v>658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3">
        <f>Alim_Surf!Q7</f>
        <v>266</v>
      </c>
      <c r="S164" s="173">
        <f>Alim_Surf!R7</f>
        <v>2.7</v>
      </c>
      <c r="T164" s="173">
        <f>VLOOKUP($R164,[1]MEP!$A$4:$M$300,13)</f>
        <v>0</v>
      </c>
      <c r="U164" s="173">
        <f>IF($T164&gt;0,$S164,0)</f>
        <v>0</v>
      </c>
      <c r="V164" s="173">
        <f>IF($T164&gt;1,$S164,0)</f>
        <v>0</v>
      </c>
      <c r="W164" s="173">
        <f>IF($T164&gt;2,$S164,0)</f>
        <v>0</v>
      </c>
      <c r="X164" s="173">
        <f>VLOOKUP(R164,[1]MEP!$A$4:$Q$300,14)</f>
        <v>0</v>
      </c>
      <c r="Y164" s="173">
        <f>VLOOKUP(R164,[1]MEP!$A$4:$R$300,15)</f>
        <v>0</v>
      </c>
      <c r="Z164" s="173">
        <f>VLOOKUP(R164,[1]MEP!$A$4:$R$300,16)</f>
        <v>0</v>
      </c>
      <c r="AA164" s="173">
        <f t="shared" ref="AA164:AA207" si="70">S164*X164</f>
        <v>0</v>
      </c>
      <c r="AB164" s="173">
        <f t="shared" ref="AB164:AB207" si="71">S164*Y164</f>
        <v>0</v>
      </c>
      <c r="AC164" s="173">
        <f>Z164*S164</f>
        <v>0</v>
      </c>
      <c r="AD164" s="173">
        <f>S164-AC164-AA164</f>
        <v>2.7</v>
      </c>
      <c r="AE164" s="173">
        <f>IF(T164=0,AC164,0)</f>
        <v>0</v>
      </c>
      <c r="AF164" s="173">
        <f>IF(T164=1,AC164,0)</f>
        <v>0</v>
      </c>
      <c r="AG164" s="173">
        <f>IF(T164&gt;1,AC164,0)</f>
        <v>0</v>
      </c>
      <c r="AH164" s="173">
        <f>IF(T164=0,AD164,0)</f>
        <v>2.7</v>
      </c>
      <c r="AI164" s="173">
        <f>IF(T164=1,AD164,0)</f>
        <v>0</v>
      </c>
      <c r="AJ164" s="173">
        <f>IF(T164&gt;1,AD164,0)</f>
        <v>0</v>
      </c>
      <c r="AO164" s="171" t="s">
        <v>52</v>
      </c>
    </row>
    <row r="165" spans="1:41" x14ac:dyDescent="0.25">
      <c r="A165" s="5" t="s">
        <v>1086</v>
      </c>
      <c r="B165" s="5"/>
      <c r="C165" s="197" t="s">
        <v>1087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3">
        <f>Alim_Surf!Q8</f>
        <v>241</v>
      </c>
      <c r="S165" s="173">
        <f>Alim_Surf!R8</f>
        <v>11</v>
      </c>
      <c r="T165" s="173">
        <f>VLOOKUP(R165,[1]MEP!$A$4:$M$300,13)</f>
        <v>2</v>
      </c>
      <c r="U165" s="173">
        <f t="shared" ref="U165:U207" si="72">IF($T165&gt;0,$S165,0)</f>
        <v>11</v>
      </c>
      <c r="V165" s="173">
        <f t="shared" ref="V165:V207" si="73">IF($T165&gt;1,$S165,0)</f>
        <v>11</v>
      </c>
      <c r="W165" s="173">
        <f t="shared" ref="W165:W207" si="74">IF($T165&gt;2,$S165,0)</f>
        <v>0</v>
      </c>
      <c r="X165" s="173">
        <f>VLOOKUP(R165,[1]MEP!$A$4:$Q$300,14)</f>
        <v>0</v>
      </c>
      <c r="Y165" s="173">
        <f>VLOOKUP(R165,[1]MEP!$A$4:$R$300,15)</f>
        <v>0</v>
      </c>
      <c r="Z165" s="173">
        <f>VLOOKUP(R165,[1]MEP!$A$4:$R$300,16)</f>
        <v>0</v>
      </c>
      <c r="AA165" s="173">
        <f t="shared" si="70"/>
        <v>0</v>
      </c>
      <c r="AB165" s="173">
        <f t="shared" si="71"/>
        <v>0</v>
      </c>
      <c r="AC165" s="173">
        <f t="shared" ref="AC165:AC207" si="75">Z165*S165</f>
        <v>0</v>
      </c>
      <c r="AD165" s="173">
        <f t="shared" ref="AD165:AD207" si="76">S165-AC165-AA165</f>
        <v>11</v>
      </c>
      <c r="AE165" s="173">
        <f t="shared" ref="AE165:AE207" si="77">IF(T165=0,AC165,0)</f>
        <v>0</v>
      </c>
      <c r="AF165" s="173">
        <f t="shared" ref="AF165:AF207" si="78">IF(T165=1,AC165,0)</f>
        <v>0</v>
      </c>
      <c r="AG165" s="173">
        <f t="shared" ref="AG165:AG207" si="79">IF(T165&gt;1,AC165,0)</f>
        <v>0</v>
      </c>
      <c r="AH165" s="173">
        <f t="shared" ref="AH165:AH207" si="80">IF(T165=0,AD165,0)</f>
        <v>0</v>
      </c>
      <c r="AI165" s="173">
        <f t="shared" ref="AI165:AI207" si="81">IF(T165=1,AD165,0)</f>
        <v>0</v>
      </c>
      <c r="AJ165" s="173">
        <f t="shared" ref="AJ165:AJ207" si="82">IF(T165&gt;1,AD165,0)</f>
        <v>11</v>
      </c>
      <c r="AN165" s="32" t="s">
        <v>659</v>
      </c>
      <c r="AO165" s="173">
        <f>SUM(AD164:AD183)</f>
        <v>18.7</v>
      </c>
    </row>
    <row r="166" spans="1:41" x14ac:dyDescent="0.25">
      <c r="A166" s="5" t="s">
        <v>1423</v>
      </c>
      <c r="B166" s="30">
        <f>T246*[1]Eco!$B$108*[1]Eco!$B$109</f>
        <v>336.00000000000006</v>
      </c>
      <c r="C166" s="190">
        <f>[1]Eco!$B$106</f>
        <v>10.63</v>
      </c>
      <c r="D166" s="5"/>
      <c r="E166" s="5"/>
      <c r="F166" s="5"/>
      <c r="G166" s="5"/>
      <c r="H166" s="5"/>
      <c r="I166" s="5"/>
      <c r="J166" s="173">
        <f>B166*C166</f>
        <v>3571.6800000000007</v>
      </c>
      <c r="K166" s="173"/>
      <c r="L166" s="173"/>
      <c r="M166" s="173"/>
      <c r="N166" s="173"/>
      <c r="Q166">
        <v>3</v>
      </c>
      <c r="R166" s="173">
        <f>Alim_Surf!Q9</f>
        <v>290</v>
      </c>
      <c r="S166" s="173">
        <f>Alim_Surf!R9</f>
        <v>0</v>
      </c>
      <c r="T166" s="173">
        <f>VLOOKUP(R166,[1]MEP!$A$4:$M$300,13)</f>
        <v>1</v>
      </c>
      <c r="U166" s="173">
        <f t="shared" si="72"/>
        <v>0</v>
      </c>
      <c r="V166" s="173">
        <f t="shared" si="73"/>
        <v>0</v>
      </c>
      <c r="W166" s="173">
        <f t="shared" si="74"/>
        <v>0</v>
      </c>
      <c r="X166" s="173">
        <f>VLOOKUP(R166,[1]MEP!$A$4:$Q$300,14)</f>
        <v>0</v>
      </c>
      <c r="Y166" s="173">
        <f>VLOOKUP(R166,[1]MEP!$A$4:$R$300,15)</f>
        <v>0</v>
      </c>
      <c r="Z166" s="173">
        <f>VLOOKUP(R166,[1]MEP!$A$4:$R$300,16)</f>
        <v>0</v>
      </c>
      <c r="AA166" s="173">
        <f t="shared" si="70"/>
        <v>0</v>
      </c>
      <c r="AB166" s="173">
        <f t="shared" si="71"/>
        <v>0</v>
      </c>
      <c r="AC166" s="173">
        <f t="shared" si="75"/>
        <v>0</v>
      </c>
      <c r="AD166" s="173">
        <f t="shared" si="76"/>
        <v>0</v>
      </c>
      <c r="AE166" s="173">
        <f t="shared" si="77"/>
        <v>0</v>
      </c>
      <c r="AF166" s="173">
        <f t="shared" si="78"/>
        <v>0</v>
      </c>
      <c r="AG166" s="173">
        <f t="shared" si="79"/>
        <v>0</v>
      </c>
      <c r="AH166" s="173">
        <f t="shared" si="80"/>
        <v>0</v>
      </c>
      <c r="AI166" s="173">
        <f t="shared" si="81"/>
        <v>0</v>
      </c>
      <c r="AJ166" s="173">
        <f t="shared" si="82"/>
        <v>0</v>
      </c>
      <c r="AN166" s="32" t="s">
        <v>660</v>
      </c>
      <c r="AO166" s="173">
        <f>SUM(AC164:AC183)</f>
        <v>0</v>
      </c>
    </row>
    <row r="167" spans="1:41" x14ac:dyDescent="0.25">
      <c r="A167" s="5" t="s">
        <v>1424</v>
      </c>
      <c r="B167" s="30">
        <f>IF(Scénario!K129=1,SUM(Travail!F69:F75)+Travail!F81+Travail!F83+Travail!F84,0)</f>
        <v>415.6</v>
      </c>
      <c r="C167" s="190">
        <f>[1]Eco!$B$106</f>
        <v>10.63</v>
      </c>
      <c r="D167" s="5"/>
      <c r="E167" s="5"/>
      <c r="F167" s="5"/>
      <c r="G167" s="18"/>
      <c r="H167" s="5"/>
      <c r="I167" s="5"/>
      <c r="J167" s="173">
        <f>B167*C167</f>
        <v>4417.8280000000004</v>
      </c>
      <c r="K167" s="173"/>
      <c r="L167" s="173"/>
      <c r="M167" s="173"/>
      <c r="N167" s="173"/>
      <c r="Q167">
        <v>4</v>
      </c>
      <c r="R167" s="173">
        <f>Alim_Surf!Q10</f>
        <v>242</v>
      </c>
      <c r="S167" s="173">
        <f>Alim_Surf!R10</f>
        <v>3.3</v>
      </c>
      <c r="T167" s="173">
        <f>VLOOKUP(R167,[1]MEP!$A$4:$M$300,13)</f>
        <v>1</v>
      </c>
      <c r="U167" s="173">
        <f t="shared" si="72"/>
        <v>3.3</v>
      </c>
      <c r="V167" s="173">
        <f t="shared" si="73"/>
        <v>0</v>
      </c>
      <c r="W167" s="173">
        <f t="shared" si="74"/>
        <v>0</v>
      </c>
      <c r="X167" s="173">
        <f>VLOOKUP(R167,[1]MEP!$A$4:$Q$300,14)</f>
        <v>0</v>
      </c>
      <c r="Y167" s="173">
        <f>VLOOKUP(R167,[1]MEP!$A$4:$R$300,15)</f>
        <v>0</v>
      </c>
      <c r="Z167" s="173">
        <f>VLOOKUP(R167,[1]MEP!$A$4:$R$300,16)</f>
        <v>0</v>
      </c>
      <c r="AA167" s="173">
        <f t="shared" si="70"/>
        <v>0</v>
      </c>
      <c r="AB167" s="173">
        <f t="shared" si="71"/>
        <v>0</v>
      </c>
      <c r="AC167" s="173">
        <f t="shared" si="75"/>
        <v>0</v>
      </c>
      <c r="AD167" s="173">
        <f t="shared" si="76"/>
        <v>3.3</v>
      </c>
      <c r="AE167" s="173">
        <f t="shared" si="77"/>
        <v>0</v>
      </c>
      <c r="AF167" s="173">
        <f t="shared" si="78"/>
        <v>0</v>
      </c>
      <c r="AG167" s="173">
        <f t="shared" si="79"/>
        <v>0</v>
      </c>
      <c r="AH167" s="173">
        <f t="shared" si="80"/>
        <v>0</v>
      </c>
      <c r="AI167" s="173">
        <f t="shared" si="81"/>
        <v>3.3</v>
      </c>
      <c r="AJ167" s="173">
        <f t="shared" si="82"/>
        <v>0</v>
      </c>
      <c r="AN167" s="32" t="s">
        <v>661</v>
      </c>
      <c r="AO167" s="173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3">
        <f>Alim_Surf!Q11</f>
        <v>239</v>
      </c>
      <c r="S168" s="173">
        <f>Alim_Surf!R11</f>
        <v>1.7</v>
      </c>
      <c r="T168" s="173">
        <f>VLOOKUP(R168,[1]MEP!$A$4:$M$300,13)</f>
        <v>0</v>
      </c>
      <c r="U168" s="173">
        <f t="shared" si="72"/>
        <v>0</v>
      </c>
      <c r="V168" s="173">
        <f t="shared" si="73"/>
        <v>0</v>
      </c>
      <c r="W168" s="173">
        <f t="shared" si="74"/>
        <v>0</v>
      </c>
      <c r="X168" s="173">
        <f>VLOOKUP(R168,[1]MEP!$A$4:$Q$300,14)</f>
        <v>0</v>
      </c>
      <c r="Y168" s="173">
        <f>VLOOKUP(R168,[1]MEP!$A$4:$R$300,15)</f>
        <v>0</v>
      </c>
      <c r="Z168" s="173">
        <f>VLOOKUP(R168,[1]MEP!$A$4:$R$300,16)</f>
        <v>0</v>
      </c>
      <c r="AA168" s="173">
        <f t="shared" si="70"/>
        <v>0</v>
      </c>
      <c r="AB168" s="173">
        <f t="shared" si="71"/>
        <v>0</v>
      </c>
      <c r="AC168" s="173">
        <f t="shared" si="75"/>
        <v>0</v>
      </c>
      <c r="AD168" s="173">
        <f t="shared" si="76"/>
        <v>1.7</v>
      </c>
      <c r="AE168" s="173">
        <f t="shared" si="77"/>
        <v>0</v>
      </c>
      <c r="AF168" s="173">
        <f t="shared" si="78"/>
        <v>0</v>
      </c>
      <c r="AG168" s="173">
        <f t="shared" si="79"/>
        <v>0</v>
      </c>
      <c r="AH168" s="173">
        <f t="shared" si="80"/>
        <v>1.7</v>
      </c>
      <c r="AI168" s="173">
        <f t="shared" si="81"/>
        <v>0</v>
      </c>
      <c r="AJ168" s="173">
        <f t="shared" si="82"/>
        <v>0</v>
      </c>
      <c r="AN168" s="32" t="s">
        <v>662</v>
      </c>
      <c r="AO168" s="173">
        <f>SUM(AD186:AD205)</f>
        <v>4.3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3">
        <f>Alim_Surf!Q12</f>
        <v>0</v>
      </c>
      <c r="S169" s="173">
        <f>Alim_Surf!R12</f>
        <v>0</v>
      </c>
      <c r="T169" s="173">
        <f>VLOOKUP(R169,[1]MEP!$A$4:$M$300,13)</f>
        <v>0</v>
      </c>
      <c r="U169" s="173">
        <f t="shared" si="72"/>
        <v>0</v>
      </c>
      <c r="V169" s="173">
        <f t="shared" si="73"/>
        <v>0</v>
      </c>
      <c r="W169" s="173">
        <f t="shared" si="74"/>
        <v>0</v>
      </c>
      <c r="X169" s="173">
        <f>VLOOKUP(R169,[1]MEP!$A$4:$Q$300,14)</f>
        <v>0</v>
      </c>
      <c r="Y169" s="173">
        <f>VLOOKUP(R169,[1]MEP!$A$4:$R$300,15)</f>
        <v>0</v>
      </c>
      <c r="Z169" s="173">
        <f>VLOOKUP(R169,[1]MEP!$A$4:$R$300,16)</f>
        <v>0</v>
      </c>
      <c r="AA169" s="173">
        <f t="shared" si="70"/>
        <v>0</v>
      </c>
      <c r="AB169" s="173">
        <f t="shared" si="71"/>
        <v>0</v>
      </c>
      <c r="AC169" s="173">
        <f t="shared" si="75"/>
        <v>0</v>
      </c>
      <c r="AD169" s="173">
        <f t="shared" si="76"/>
        <v>0</v>
      </c>
      <c r="AE169" s="173">
        <f t="shared" si="77"/>
        <v>0</v>
      </c>
      <c r="AF169" s="173">
        <f t="shared" si="78"/>
        <v>0</v>
      </c>
      <c r="AG169" s="173">
        <f t="shared" si="79"/>
        <v>0</v>
      </c>
      <c r="AH169" s="173">
        <f t="shared" si="80"/>
        <v>0</v>
      </c>
      <c r="AI169" s="173">
        <f t="shared" si="81"/>
        <v>0</v>
      </c>
      <c r="AJ169" s="173">
        <f t="shared" si="82"/>
        <v>0</v>
      </c>
      <c r="AN169" s="32" t="s">
        <v>663</v>
      </c>
      <c r="AO169" s="173">
        <f>SUM(AC186:AC205)</f>
        <v>5</v>
      </c>
    </row>
    <row r="170" spans="1:41" x14ac:dyDescent="0.25">
      <c r="A170" s="225" t="s">
        <v>1088</v>
      </c>
      <c r="B170" s="225"/>
      <c r="C170" s="225"/>
      <c r="D170" s="225"/>
      <c r="E170" s="225"/>
      <c r="F170" s="238"/>
      <c r="G170" s="238"/>
      <c r="H170" s="238"/>
      <c r="I170" s="238"/>
      <c r="J170" s="62">
        <f>SUM(J149:J169)</f>
        <v>53845.103999999999</v>
      </c>
      <c r="K170" s="62"/>
      <c r="L170" s="62"/>
      <c r="M170" s="62"/>
      <c r="N170" s="62"/>
      <c r="Q170">
        <v>7</v>
      </c>
      <c r="R170" s="173">
        <f>Alim_Surf!Q13</f>
        <v>0</v>
      </c>
      <c r="S170" s="173">
        <f>Alim_Surf!R13</f>
        <v>0</v>
      </c>
      <c r="T170" s="173">
        <f>VLOOKUP(R170,[1]MEP!$A$4:$M$300,13)</f>
        <v>0</v>
      </c>
      <c r="U170" s="173">
        <f t="shared" si="72"/>
        <v>0</v>
      </c>
      <c r="V170" s="173">
        <f t="shared" si="73"/>
        <v>0</v>
      </c>
      <c r="W170" s="173">
        <f t="shared" si="74"/>
        <v>0</v>
      </c>
      <c r="X170" s="173">
        <f>VLOOKUP(R170,[1]MEP!$A$4:$Q$300,14)</f>
        <v>0</v>
      </c>
      <c r="Y170" s="173">
        <f>VLOOKUP(R170,[1]MEP!$A$4:$R$300,15)</f>
        <v>0</v>
      </c>
      <c r="Z170" s="173">
        <f>VLOOKUP(R170,[1]MEP!$A$4:$R$300,16)</f>
        <v>0</v>
      </c>
      <c r="AA170" s="173">
        <f t="shared" si="70"/>
        <v>0</v>
      </c>
      <c r="AB170" s="173">
        <f t="shared" si="71"/>
        <v>0</v>
      </c>
      <c r="AC170" s="173">
        <f t="shared" si="75"/>
        <v>0</v>
      </c>
      <c r="AD170" s="173">
        <f t="shared" si="76"/>
        <v>0</v>
      </c>
      <c r="AE170" s="173">
        <f t="shared" si="77"/>
        <v>0</v>
      </c>
      <c r="AF170" s="173">
        <f t="shared" si="78"/>
        <v>0</v>
      </c>
      <c r="AG170" s="173">
        <f t="shared" si="79"/>
        <v>0</v>
      </c>
      <c r="AH170" s="173">
        <f t="shared" si="80"/>
        <v>0</v>
      </c>
      <c r="AI170" s="173">
        <f t="shared" si="81"/>
        <v>0</v>
      </c>
      <c r="AJ170" s="173">
        <f t="shared" si="82"/>
        <v>0</v>
      </c>
      <c r="AN170" s="32" t="s">
        <v>664</v>
      </c>
      <c r="AO170" s="173">
        <f>SUM(AA186:AA205)</f>
        <v>0</v>
      </c>
    </row>
    <row r="171" spans="1:41" x14ac:dyDescent="0.25">
      <c r="F171" s="4"/>
      <c r="G171" s="4"/>
      <c r="Q171">
        <v>8</v>
      </c>
      <c r="R171" s="173">
        <f>Alim_Surf!Q14</f>
        <v>0</v>
      </c>
      <c r="S171" s="173">
        <f>Alim_Surf!R14</f>
        <v>0</v>
      </c>
      <c r="T171" s="173">
        <f>VLOOKUP(R171,[1]MEP!$A$4:$M$300,13)</f>
        <v>0</v>
      </c>
      <c r="U171" s="173">
        <f t="shared" si="72"/>
        <v>0</v>
      </c>
      <c r="V171" s="173">
        <f t="shared" si="73"/>
        <v>0</v>
      </c>
      <c r="W171" s="173">
        <f t="shared" si="74"/>
        <v>0</v>
      </c>
      <c r="X171" s="173">
        <f>VLOOKUP(R171,[1]MEP!$A$4:$Q$300,14)</f>
        <v>0</v>
      </c>
      <c r="Y171" s="173">
        <f>VLOOKUP(R171,[1]MEP!$A$4:$R$300,15)</f>
        <v>0</v>
      </c>
      <c r="Z171" s="173">
        <f>VLOOKUP(R171,[1]MEP!$A$4:$R$300,16)</f>
        <v>0</v>
      </c>
      <c r="AA171" s="173">
        <f t="shared" si="70"/>
        <v>0</v>
      </c>
      <c r="AB171" s="173">
        <f t="shared" si="71"/>
        <v>0</v>
      </c>
      <c r="AC171" s="173">
        <f t="shared" si="75"/>
        <v>0</v>
      </c>
      <c r="AD171" s="173">
        <f t="shared" si="76"/>
        <v>0</v>
      </c>
      <c r="AE171" s="173">
        <f t="shared" si="77"/>
        <v>0</v>
      </c>
      <c r="AF171" s="173">
        <f t="shared" si="78"/>
        <v>0</v>
      </c>
      <c r="AG171" s="173">
        <f t="shared" si="79"/>
        <v>0</v>
      </c>
      <c r="AH171" s="173">
        <f t="shared" si="80"/>
        <v>0</v>
      </c>
      <c r="AI171" s="173">
        <f t="shared" si="81"/>
        <v>0</v>
      </c>
      <c r="AJ171" s="173">
        <f t="shared" si="82"/>
        <v>0</v>
      </c>
      <c r="AN171" s="32" t="s">
        <v>665</v>
      </c>
      <c r="AO171" s="173">
        <f>Alim_Surf!O51</f>
        <v>11.1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3">
        <f>Alim_Surf!Q15</f>
        <v>0</v>
      </c>
      <c r="S172" s="173">
        <f>Alim_Surf!R15</f>
        <v>0</v>
      </c>
      <c r="T172" s="173">
        <f>VLOOKUP(R172,[1]MEP!$A$4:$M$300,13)</f>
        <v>0</v>
      </c>
      <c r="U172" s="173">
        <f t="shared" si="72"/>
        <v>0</v>
      </c>
      <c r="V172" s="173">
        <f t="shared" si="73"/>
        <v>0</v>
      </c>
      <c r="W172" s="173">
        <f t="shared" si="74"/>
        <v>0</v>
      </c>
      <c r="X172" s="173">
        <f>VLOOKUP(R172,[1]MEP!$A$4:$Q$300,14)</f>
        <v>0</v>
      </c>
      <c r="Y172" s="173">
        <f>VLOOKUP(R172,[1]MEP!$A$4:$R$300,15)</f>
        <v>0</v>
      </c>
      <c r="Z172" s="173">
        <f>VLOOKUP(R172,[1]MEP!$A$4:$R$300,16)</f>
        <v>0</v>
      </c>
      <c r="AA172" s="173">
        <f t="shared" si="70"/>
        <v>0</v>
      </c>
      <c r="AB172" s="173">
        <f t="shared" si="71"/>
        <v>0</v>
      </c>
      <c r="AC172" s="173">
        <f t="shared" si="75"/>
        <v>0</v>
      </c>
      <c r="AD172" s="173">
        <f t="shared" si="76"/>
        <v>0</v>
      </c>
      <c r="AE172" s="173">
        <f t="shared" si="77"/>
        <v>0</v>
      </c>
      <c r="AF172" s="173">
        <f t="shared" si="78"/>
        <v>0</v>
      </c>
      <c r="AG172" s="173">
        <f t="shared" si="79"/>
        <v>0</v>
      </c>
      <c r="AH172" s="173">
        <f t="shared" si="80"/>
        <v>0</v>
      </c>
      <c r="AI172" s="173">
        <f t="shared" si="81"/>
        <v>0</v>
      </c>
      <c r="AJ172" s="173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3">
        <f>Alim_Surf!Q16</f>
        <v>0</v>
      </c>
      <c r="S173" s="173">
        <f>Alim_Surf!R16</f>
        <v>0</v>
      </c>
      <c r="T173" s="173">
        <f>VLOOKUP(R173,[1]MEP!$A$4:$M$300,13)</f>
        <v>0</v>
      </c>
      <c r="U173" s="173">
        <f t="shared" si="72"/>
        <v>0</v>
      </c>
      <c r="V173" s="173">
        <f t="shared" si="73"/>
        <v>0</v>
      </c>
      <c r="W173" s="173">
        <f t="shared" si="74"/>
        <v>0</v>
      </c>
      <c r="X173" s="173">
        <f>VLOOKUP(R173,[1]MEP!$A$4:$Q$300,14)</f>
        <v>0</v>
      </c>
      <c r="Y173" s="173">
        <f>VLOOKUP(R173,[1]MEP!$A$4:$R$300,15)</f>
        <v>0</v>
      </c>
      <c r="Z173" s="173">
        <f>VLOOKUP(R173,[1]MEP!$A$4:$R$300,16)</f>
        <v>0</v>
      </c>
      <c r="AA173" s="173">
        <f t="shared" si="70"/>
        <v>0</v>
      </c>
      <c r="AB173" s="173">
        <f t="shared" si="71"/>
        <v>0</v>
      </c>
      <c r="AC173" s="173">
        <f t="shared" si="75"/>
        <v>0</v>
      </c>
      <c r="AD173" s="173">
        <f t="shared" si="76"/>
        <v>0</v>
      </c>
      <c r="AE173" s="173">
        <f t="shared" si="77"/>
        <v>0</v>
      </c>
      <c r="AF173" s="173">
        <f t="shared" si="78"/>
        <v>0</v>
      </c>
      <c r="AG173" s="173">
        <f t="shared" si="79"/>
        <v>0</v>
      </c>
      <c r="AH173" s="173">
        <f t="shared" si="80"/>
        <v>0</v>
      </c>
      <c r="AI173" s="173">
        <f t="shared" si="81"/>
        <v>0</v>
      </c>
      <c r="AJ173" s="173">
        <f t="shared" si="82"/>
        <v>0</v>
      </c>
    </row>
    <row r="174" spans="1:41" x14ac:dyDescent="0.25">
      <c r="A174" s="23" t="s">
        <v>1089</v>
      </c>
      <c r="B174" s="226">
        <f>J48-J145-J170</f>
        <v>44941.288000000037</v>
      </c>
      <c r="C174" s="240"/>
      <c r="D174" s="240"/>
      <c r="E174" s="240"/>
      <c r="F174" s="240"/>
      <c r="G174" s="18"/>
      <c r="Q174">
        <v>11</v>
      </c>
      <c r="R174" s="173">
        <f>Alim_Surf!Q17</f>
        <v>0</v>
      </c>
      <c r="S174" s="173">
        <f>Alim_Surf!R17</f>
        <v>0</v>
      </c>
      <c r="T174" s="173">
        <f>VLOOKUP(R174,[1]MEP!$A$4:$M$300,13)</f>
        <v>0</v>
      </c>
      <c r="U174" s="173">
        <f t="shared" si="72"/>
        <v>0</v>
      </c>
      <c r="V174" s="173">
        <f t="shared" si="73"/>
        <v>0</v>
      </c>
      <c r="W174" s="173">
        <f t="shared" si="74"/>
        <v>0</v>
      </c>
      <c r="X174" s="173">
        <f>VLOOKUP(R174,[1]MEP!$A$4:$Q$300,14)</f>
        <v>0</v>
      </c>
      <c r="Y174" s="173">
        <f>VLOOKUP(R174,[1]MEP!$A$4:$R$300,15)</f>
        <v>0</v>
      </c>
      <c r="Z174" s="173">
        <f>VLOOKUP(R174,[1]MEP!$A$4:$R$300,16)</f>
        <v>0</v>
      </c>
      <c r="AA174" s="173">
        <f t="shared" si="70"/>
        <v>0</v>
      </c>
      <c r="AB174" s="173">
        <f t="shared" si="71"/>
        <v>0</v>
      </c>
      <c r="AC174" s="173">
        <f t="shared" si="75"/>
        <v>0</v>
      </c>
      <c r="AD174" s="173">
        <f t="shared" si="76"/>
        <v>0</v>
      </c>
      <c r="AE174" s="173">
        <f t="shared" si="77"/>
        <v>0</v>
      </c>
      <c r="AF174" s="173">
        <f t="shared" si="78"/>
        <v>0</v>
      </c>
      <c r="AG174" s="173">
        <f t="shared" si="79"/>
        <v>0</v>
      </c>
      <c r="AH174" s="173">
        <f t="shared" si="80"/>
        <v>0</v>
      </c>
      <c r="AI174" s="173">
        <f t="shared" si="81"/>
        <v>0</v>
      </c>
      <c r="AJ174" s="173">
        <f t="shared" si="82"/>
        <v>0</v>
      </c>
    </row>
    <row r="175" spans="1:41" x14ac:dyDescent="0.25">
      <c r="A175" s="23" t="s">
        <v>1090</v>
      </c>
      <c r="B175" s="226">
        <f>ROUND(B174/Scénario!K4,0)</f>
        <v>22471</v>
      </c>
      <c r="C175" s="194"/>
      <c r="D175" s="240"/>
      <c r="E175" s="240"/>
      <c r="F175" s="194"/>
      <c r="G175" s="18"/>
      <c r="Q175">
        <v>12</v>
      </c>
      <c r="R175" s="173">
        <f>Alim_Surf!Q18</f>
        <v>0</v>
      </c>
      <c r="S175" s="173">
        <f>Alim_Surf!R18</f>
        <v>0</v>
      </c>
      <c r="T175" s="173">
        <f>VLOOKUP(R175,[1]MEP!$A$4:$M$300,13)</f>
        <v>0</v>
      </c>
      <c r="U175" s="173">
        <f t="shared" si="72"/>
        <v>0</v>
      </c>
      <c r="V175" s="173">
        <f t="shared" si="73"/>
        <v>0</v>
      </c>
      <c r="W175" s="173">
        <f t="shared" si="74"/>
        <v>0</v>
      </c>
      <c r="X175" s="173">
        <f>VLOOKUP(R175,[1]MEP!$A$4:$Q$300,14)</f>
        <v>0</v>
      </c>
      <c r="Y175" s="173">
        <f>VLOOKUP(R175,[1]MEP!$A$4:$R$300,15)</f>
        <v>0</v>
      </c>
      <c r="Z175" s="173">
        <f>VLOOKUP(R175,[1]MEP!$A$4:$R$300,16)</f>
        <v>0</v>
      </c>
      <c r="AA175" s="173">
        <f t="shared" si="70"/>
        <v>0</v>
      </c>
      <c r="AB175" s="173">
        <f t="shared" si="71"/>
        <v>0</v>
      </c>
      <c r="AC175" s="173">
        <f t="shared" si="75"/>
        <v>0</v>
      </c>
      <c r="AD175" s="173">
        <f t="shared" si="76"/>
        <v>0</v>
      </c>
      <c r="AE175" s="173">
        <f t="shared" si="77"/>
        <v>0</v>
      </c>
      <c r="AF175" s="173">
        <f t="shared" si="78"/>
        <v>0</v>
      </c>
      <c r="AG175" s="173">
        <f t="shared" si="79"/>
        <v>0</v>
      </c>
      <c r="AH175" s="173">
        <f t="shared" si="80"/>
        <v>0</v>
      </c>
      <c r="AI175" s="173">
        <f t="shared" si="81"/>
        <v>0</v>
      </c>
      <c r="AJ175" s="173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3">
        <f>Alim_Surf!Q19</f>
        <v>0</v>
      </c>
      <c r="S176" s="173">
        <f>Alim_Surf!R19</f>
        <v>0</v>
      </c>
      <c r="T176" s="173">
        <f>VLOOKUP(R176,[1]MEP!$A$4:$M$300,13)</f>
        <v>0</v>
      </c>
      <c r="U176" s="173">
        <f t="shared" si="72"/>
        <v>0</v>
      </c>
      <c r="V176" s="173">
        <f t="shared" si="73"/>
        <v>0</v>
      </c>
      <c r="W176" s="173">
        <f t="shared" si="74"/>
        <v>0</v>
      </c>
      <c r="X176" s="173">
        <f>VLOOKUP(R176,[1]MEP!$A$4:$Q$300,14)</f>
        <v>0</v>
      </c>
      <c r="Y176" s="173">
        <f>VLOOKUP(R176,[1]MEP!$A$4:$R$300,15)</f>
        <v>0</v>
      </c>
      <c r="Z176" s="173">
        <f>VLOOKUP(R176,[1]MEP!$A$4:$R$300,16)</f>
        <v>0</v>
      </c>
      <c r="AA176" s="173">
        <f t="shared" si="70"/>
        <v>0</v>
      </c>
      <c r="AB176" s="173">
        <f t="shared" si="71"/>
        <v>0</v>
      </c>
      <c r="AC176" s="173">
        <f t="shared" si="75"/>
        <v>0</v>
      </c>
      <c r="AD176" s="173">
        <f t="shared" si="76"/>
        <v>0</v>
      </c>
      <c r="AE176" s="173">
        <f t="shared" si="77"/>
        <v>0</v>
      </c>
      <c r="AF176" s="173">
        <f t="shared" si="78"/>
        <v>0</v>
      </c>
      <c r="AG176" s="173">
        <f t="shared" si="79"/>
        <v>0</v>
      </c>
      <c r="AH176" s="173">
        <f t="shared" si="80"/>
        <v>0</v>
      </c>
      <c r="AI176" s="173">
        <f t="shared" si="81"/>
        <v>0</v>
      </c>
      <c r="AJ176" s="173">
        <f t="shared" si="82"/>
        <v>0</v>
      </c>
    </row>
    <row r="177" spans="1:36" x14ac:dyDescent="0.25">
      <c r="A177" s="23" t="s">
        <v>1091</v>
      </c>
      <c r="B177" s="30">
        <f>HLOOKUP(Troupeau!J17,[1]Anx!$D$170:$CO$196,27)</f>
        <v>11000</v>
      </c>
      <c r="C177" s="5"/>
      <c r="D177" s="5"/>
      <c r="F177" s="5"/>
      <c r="G177" s="5"/>
      <c r="O177" s="234"/>
      <c r="Q177">
        <v>14</v>
      </c>
      <c r="R177" s="173">
        <f>Alim_Surf!Q20</f>
        <v>0</v>
      </c>
      <c r="S177" s="173">
        <f>Alim_Surf!R20</f>
        <v>0</v>
      </c>
      <c r="T177" s="173">
        <f>VLOOKUP(R177,[1]MEP!$A$4:$M$300,13)</f>
        <v>0</v>
      </c>
      <c r="U177" s="173">
        <f t="shared" si="72"/>
        <v>0</v>
      </c>
      <c r="V177" s="173">
        <f t="shared" si="73"/>
        <v>0</v>
      </c>
      <c r="W177" s="173">
        <f t="shared" si="74"/>
        <v>0</v>
      </c>
      <c r="X177" s="173">
        <f>VLOOKUP(R177,[1]MEP!$A$4:$Q$300,14)</f>
        <v>0</v>
      </c>
      <c r="Y177" s="173">
        <f>VLOOKUP(R177,[1]MEP!$A$4:$R$300,15)</f>
        <v>0</v>
      </c>
      <c r="Z177" s="173">
        <f>VLOOKUP(R177,[1]MEP!$A$4:$R$300,16)</f>
        <v>0</v>
      </c>
      <c r="AA177" s="173">
        <f t="shared" si="70"/>
        <v>0</v>
      </c>
      <c r="AB177" s="173">
        <f t="shared" si="71"/>
        <v>0</v>
      </c>
      <c r="AC177" s="173">
        <f t="shared" si="75"/>
        <v>0</v>
      </c>
      <c r="AD177" s="173">
        <f t="shared" si="76"/>
        <v>0</v>
      </c>
      <c r="AE177" s="173">
        <f t="shared" si="77"/>
        <v>0</v>
      </c>
      <c r="AF177" s="173">
        <f t="shared" si="78"/>
        <v>0</v>
      </c>
      <c r="AG177" s="173">
        <f t="shared" si="79"/>
        <v>0</v>
      </c>
      <c r="AH177" s="173">
        <f t="shared" si="80"/>
        <v>0</v>
      </c>
      <c r="AI177" s="173">
        <f t="shared" si="81"/>
        <v>0</v>
      </c>
      <c r="AJ177" s="173">
        <f t="shared" si="82"/>
        <v>0</v>
      </c>
    </row>
    <row r="178" spans="1:36" x14ac:dyDescent="0.25">
      <c r="A178" s="23" t="s">
        <v>1092</v>
      </c>
      <c r="B178" s="241">
        <f>SUM(AF237:AF240)</f>
        <v>5066.0249025253097</v>
      </c>
      <c r="C178" s="5"/>
      <c r="D178" s="5"/>
      <c r="E178" s="5"/>
      <c r="F178" s="5"/>
      <c r="G178" s="5"/>
      <c r="Q178">
        <v>15</v>
      </c>
      <c r="R178" s="173">
        <f>Alim_Surf!Q21</f>
        <v>0</v>
      </c>
      <c r="S178" s="173">
        <f>Alim_Surf!R21</f>
        <v>0</v>
      </c>
      <c r="T178" s="173">
        <f>VLOOKUP(R178,[1]MEP!$A$4:$M$300,13)</f>
        <v>0</v>
      </c>
      <c r="U178" s="173">
        <f t="shared" si="72"/>
        <v>0</v>
      </c>
      <c r="V178" s="173">
        <f t="shared" si="73"/>
        <v>0</v>
      </c>
      <c r="W178" s="173">
        <f t="shared" si="74"/>
        <v>0</v>
      </c>
      <c r="X178" s="173">
        <f>VLOOKUP(R178,[1]MEP!$A$4:$Q$300,14)</f>
        <v>0</v>
      </c>
      <c r="Y178" s="173">
        <f>VLOOKUP(R178,[1]MEP!$A$4:$R$300,15)</f>
        <v>0</v>
      </c>
      <c r="Z178" s="173">
        <f>VLOOKUP(R178,[1]MEP!$A$4:$R$300,16)</f>
        <v>0</v>
      </c>
      <c r="AA178" s="173">
        <f t="shared" si="70"/>
        <v>0</v>
      </c>
      <c r="AB178" s="173">
        <f t="shared" si="71"/>
        <v>0</v>
      </c>
      <c r="AC178" s="173">
        <f t="shared" si="75"/>
        <v>0</v>
      </c>
      <c r="AD178" s="173">
        <f t="shared" si="76"/>
        <v>0</v>
      </c>
      <c r="AE178" s="173">
        <f t="shared" si="77"/>
        <v>0</v>
      </c>
      <c r="AF178" s="173">
        <f t="shared" si="78"/>
        <v>0</v>
      </c>
      <c r="AG178" s="173">
        <f t="shared" si="79"/>
        <v>0</v>
      </c>
      <c r="AH178" s="173">
        <f t="shared" si="80"/>
        <v>0</v>
      </c>
      <c r="AI178" s="173">
        <f t="shared" si="81"/>
        <v>0</v>
      </c>
      <c r="AJ178" s="173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3">
        <f>Alim_Surf!Q22</f>
        <v>0</v>
      </c>
      <c r="S179" s="173">
        <f>Alim_Surf!R22</f>
        <v>0</v>
      </c>
      <c r="T179" s="173">
        <f>VLOOKUP(R179,[1]MEP!$A$4:$M$300,13)</f>
        <v>0</v>
      </c>
      <c r="U179" s="173">
        <f t="shared" si="72"/>
        <v>0</v>
      </c>
      <c r="V179" s="173">
        <f t="shared" si="73"/>
        <v>0</v>
      </c>
      <c r="W179" s="173">
        <f t="shared" si="74"/>
        <v>0</v>
      </c>
      <c r="X179" s="173">
        <f>VLOOKUP(R179,[1]MEP!$A$4:$Q$300,14)</f>
        <v>0</v>
      </c>
      <c r="Y179" s="173">
        <f>VLOOKUP(R179,[1]MEP!$A$4:$R$300,15)</f>
        <v>0</v>
      </c>
      <c r="Z179" s="173">
        <f>VLOOKUP(R179,[1]MEP!$A$4:$R$300,16)</f>
        <v>0</v>
      </c>
      <c r="AA179" s="173">
        <f t="shared" si="70"/>
        <v>0</v>
      </c>
      <c r="AB179" s="173">
        <f t="shared" si="71"/>
        <v>0</v>
      </c>
      <c r="AC179" s="173">
        <f t="shared" si="75"/>
        <v>0</v>
      </c>
      <c r="AD179" s="173">
        <f t="shared" si="76"/>
        <v>0</v>
      </c>
      <c r="AE179" s="173">
        <f t="shared" si="77"/>
        <v>0</v>
      </c>
      <c r="AF179" s="173">
        <f t="shared" si="78"/>
        <v>0</v>
      </c>
      <c r="AG179" s="173">
        <f t="shared" si="79"/>
        <v>0</v>
      </c>
      <c r="AH179" s="173">
        <f t="shared" si="80"/>
        <v>0</v>
      </c>
      <c r="AI179" s="173">
        <f t="shared" si="81"/>
        <v>0</v>
      </c>
      <c r="AJ179" s="173">
        <f t="shared" si="82"/>
        <v>0</v>
      </c>
    </row>
    <row r="180" spans="1:36" x14ac:dyDescent="0.25">
      <c r="A180" s="23" t="s">
        <v>1093</v>
      </c>
      <c r="B180" s="226">
        <f>B174-B177-B178</f>
        <v>28875.263097474726</v>
      </c>
      <c r="C180" s="5"/>
      <c r="D180" s="5"/>
      <c r="E180" s="5"/>
      <c r="F180" s="5"/>
      <c r="G180" s="5"/>
      <c r="Q180">
        <v>17</v>
      </c>
      <c r="R180" s="173">
        <f>Alim_Surf!Q23</f>
        <v>0</v>
      </c>
      <c r="S180" s="173">
        <f>Alim_Surf!R23</f>
        <v>0</v>
      </c>
      <c r="T180" s="173">
        <f>VLOOKUP(R180,[1]MEP!$A$4:$M$300,13)</f>
        <v>0</v>
      </c>
      <c r="U180" s="173">
        <f t="shared" si="72"/>
        <v>0</v>
      </c>
      <c r="V180" s="173">
        <f t="shared" si="73"/>
        <v>0</v>
      </c>
      <c r="W180" s="173">
        <f t="shared" si="74"/>
        <v>0</v>
      </c>
      <c r="X180" s="173">
        <f>VLOOKUP(R180,[1]MEP!$A$4:$Q$300,14)</f>
        <v>0</v>
      </c>
      <c r="Y180" s="173">
        <f>VLOOKUP(R180,[1]MEP!$A$4:$R$300,15)</f>
        <v>0</v>
      </c>
      <c r="Z180" s="173">
        <f>VLOOKUP(R180,[1]MEP!$A$4:$R$300,16)</f>
        <v>0</v>
      </c>
      <c r="AA180" s="173">
        <f t="shared" si="70"/>
        <v>0</v>
      </c>
      <c r="AB180" s="173">
        <f t="shared" si="71"/>
        <v>0</v>
      </c>
      <c r="AC180" s="173">
        <f t="shared" si="75"/>
        <v>0</v>
      </c>
      <c r="AD180" s="173">
        <f t="shared" si="76"/>
        <v>0</v>
      </c>
      <c r="AE180" s="173">
        <f t="shared" si="77"/>
        <v>0</v>
      </c>
      <c r="AF180" s="173">
        <f t="shared" si="78"/>
        <v>0</v>
      </c>
      <c r="AG180" s="173">
        <f t="shared" si="79"/>
        <v>0</v>
      </c>
      <c r="AH180" s="173">
        <f t="shared" si="80"/>
        <v>0</v>
      </c>
      <c r="AI180" s="173">
        <f t="shared" si="81"/>
        <v>0</v>
      </c>
      <c r="AJ180" s="173">
        <f t="shared" si="82"/>
        <v>0</v>
      </c>
    </row>
    <row r="181" spans="1:36" x14ac:dyDescent="0.25">
      <c r="A181" s="23" t="s">
        <v>1094</v>
      </c>
      <c r="B181" s="226">
        <f>ROUND(B180/Scénario!K4,0)</f>
        <v>14438</v>
      </c>
      <c r="C181" s="5"/>
      <c r="D181" s="5"/>
      <c r="E181" s="5"/>
      <c r="F181" s="5"/>
      <c r="G181" s="5"/>
      <c r="Q181">
        <v>18</v>
      </c>
      <c r="R181" s="173">
        <f>Alim_Surf!Q24</f>
        <v>0</v>
      </c>
      <c r="S181" s="173">
        <f>Alim_Surf!R24</f>
        <v>0</v>
      </c>
      <c r="T181" s="173">
        <f>VLOOKUP(R181,[1]MEP!$A$4:$M$300,13)</f>
        <v>0</v>
      </c>
      <c r="U181" s="173">
        <f t="shared" si="72"/>
        <v>0</v>
      </c>
      <c r="V181" s="173">
        <f t="shared" si="73"/>
        <v>0</v>
      </c>
      <c r="W181" s="173">
        <f t="shared" si="74"/>
        <v>0</v>
      </c>
      <c r="X181" s="173">
        <f>VLOOKUP(R181,[1]MEP!$A$4:$Q$300,14)</f>
        <v>0</v>
      </c>
      <c r="Y181" s="173">
        <f>VLOOKUP(R181,[1]MEP!$A$4:$R$300,15)</f>
        <v>0</v>
      </c>
      <c r="Z181" s="173">
        <f>VLOOKUP(R181,[1]MEP!$A$4:$R$300,16)</f>
        <v>0</v>
      </c>
      <c r="AA181" s="173">
        <f t="shared" si="70"/>
        <v>0</v>
      </c>
      <c r="AB181" s="173">
        <f t="shared" si="71"/>
        <v>0</v>
      </c>
      <c r="AC181" s="173">
        <f t="shared" si="75"/>
        <v>0</v>
      </c>
      <c r="AD181" s="173">
        <f t="shared" si="76"/>
        <v>0</v>
      </c>
      <c r="AE181" s="173">
        <f t="shared" si="77"/>
        <v>0</v>
      </c>
      <c r="AF181" s="173">
        <f t="shared" si="78"/>
        <v>0</v>
      </c>
      <c r="AG181" s="173">
        <f t="shared" si="79"/>
        <v>0</v>
      </c>
      <c r="AH181" s="173">
        <f t="shared" si="80"/>
        <v>0</v>
      </c>
      <c r="AI181" s="173">
        <f t="shared" si="81"/>
        <v>0</v>
      </c>
      <c r="AJ181" s="173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3">
        <f>Alim_Surf!Q25</f>
        <v>0</v>
      </c>
      <c r="S182" s="173">
        <f>Alim_Surf!R25</f>
        <v>0</v>
      </c>
      <c r="T182" s="173">
        <f>VLOOKUP(R182,[1]MEP!$A$4:$M$300,13)</f>
        <v>0</v>
      </c>
      <c r="U182" s="173">
        <f t="shared" si="72"/>
        <v>0</v>
      </c>
      <c r="V182" s="173">
        <f t="shared" si="73"/>
        <v>0</v>
      </c>
      <c r="W182" s="173">
        <f t="shared" si="74"/>
        <v>0</v>
      </c>
      <c r="X182" s="173">
        <f>VLOOKUP(R182,[1]MEP!$A$4:$Q$300,14)</f>
        <v>0</v>
      </c>
      <c r="Y182" s="173">
        <f>VLOOKUP(R182,[1]MEP!$A$4:$R$300,15)</f>
        <v>0</v>
      </c>
      <c r="Z182" s="173">
        <f>VLOOKUP(R182,[1]MEP!$A$4:$R$300,16)</f>
        <v>0</v>
      </c>
      <c r="AA182" s="173">
        <f t="shared" si="70"/>
        <v>0</v>
      </c>
      <c r="AB182" s="173">
        <f t="shared" si="71"/>
        <v>0</v>
      </c>
      <c r="AC182" s="173">
        <f t="shared" si="75"/>
        <v>0</v>
      </c>
      <c r="AD182" s="173">
        <f t="shared" si="76"/>
        <v>0</v>
      </c>
      <c r="AE182" s="173">
        <f t="shared" si="77"/>
        <v>0</v>
      </c>
      <c r="AF182" s="173">
        <f t="shared" si="78"/>
        <v>0</v>
      </c>
      <c r="AG182" s="173">
        <f t="shared" si="79"/>
        <v>0</v>
      </c>
      <c r="AH182" s="173">
        <f t="shared" si="80"/>
        <v>0</v>
      </c>
      <c r="AI182" s="173">
        <f t="shared" si="81"/>
        <v>0</v>
      </c>
      <c r="AJ182" s="173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3">
        <f>Alim_Surf!Q26</f>
        <v>0</v>
      </c>
      <c r="S183" s="173">
        <f>Alim_Surf!R26</f>
        <v>0</v>
      </c>
      <c r="T183" s="173">
        <f>VLOOKUP(R183,[1]MEP!$A$4:$M$300,13)</f>
        <v>0</v>
      </c>
      <c r="U183" s="173">
        <f t="shared" si="72"/>
        <v>0</v>
      </c>
      <c r="V183" s="173">
        <f t="shared" si="73"/>
        <v>0</v>
      </c>
      <c r="W183" s="173">
        <f t="shared" si="74"/>
        <v>0</v>
      </c>
      <c r="X183" s="173">
        <f>VLOOKUP(R183,[1]MEP!$A$4:$Q$300,14)</f>
        <v>0</v>
      </c>
      <c r="Y183" s="173">
        <f>VLOOKUP(R183,[1]MEP!$A$4:$R$300,15)</f>
        <v>0</v>
      </c>
      <c r="Z183" s="173">
        <f>VLOOKUP(R183,[1]MEP!$A$4:$R$300,16)</f>
        <v>0</v>
      </c>
      <c r="AA183" s="173">
        <f t="shared" si="70"/>
        <v>0</v>
      </c>
      <c r="AB183" s="173">
        <f t="shared" si="71"/>
        <v>0</v>
      </c>
      <c r="AC183" s="173">
        <f t="shared" si="75"/>
        <v>0</v>
      </c>
      <c r="AD183" s="173">
        <f t="shared" si="76"/>
        <v>0</v>
      </c>
      <c r="AE183" s="173">
        <f t="shared" si="77"/>
        <v>0</v>
      </c>
      <c r="AF183" s="173">
        <f t="shared" si="78"/>
        <v>0</v>
      </c>
      <c r="AG183" s="173">
        <f t="shared" si="79"/>
        <v>0</v>
      </c>
      <c r="AH183" s="173">
        <f t="shared" si="80"/>
        <v>0</v>
      </c>
      <c r="AI183" s="173">
        <f t="shared" si="81"/>
        <v>0</v>
      </c>
      <c r="AJ183" s="173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3">
        <f>Alim_Surf!Q27</f>
        <v>0</v>
      </c>
      <c r="S184" s="173">
        <f>Alim_Surf!R27</f>
        <v>0</v>
      </c>
      <c r="T184" s="173">
        <f>VLOOKUP(R184,[1]MEP!$A$4:$M$300,13)</f>
        <v>0</v>
      </c>
      <c r="U184" s="173">
        <f t="shared" si="72"/>
        <v>0</v>
      </c>
      <c r="V184" s="173">
        <f t="shared" si="73"/>
        <v>0</v>
      </c>
      <c r="W184" s="173">
        <f t="shared" si="74"/>
        <v>0</v>
      </c>
      <c r="X184" s="173">
        <f>VLOOKUP(R184,[1]MEP!$A$4:$Q$300,14)</f>
        <v>0</v>
      </c>
      <c r="Y184" s="173">
        <f>VLOOKUP(R184,[1]MEP!$A$4:$R$300,15)</f>
        <v>0</v>
      </c>
      <c r="Z184" s="173">
        <f>VLOOKUP(R184,[1]MEP!$A$4:$R$300,16)</f>
        <v>0</v>
      </c>
      <c r="AA184" s="173">
        <f t="shared" si="70"/>
        <v>0</v>
      </c>
      <c r="AB184" s="173">
        <f t="shared" si="71"/>
        <v>0</v>
      </c>
      <c r="AC184" s="173">
        <f t="shared" si="75"/>
        <v>0</v>
      </c>
      <c r="AD184" s="173">
        <f t="shared" si="76"/>
        <v>0</v>
      </c>
      <c r="AE184" s="173">
        <f t="shared" si="77"/>
        <v>0</v>
      </c>
      <c r="AF184" s="173">
        <f t="shared" si="78"/>
        <v>0</v>
      </c>
      <c r="AG184" s="173">
        <f t="shared" si="79"/>
        <v>0</v>
      </c>
      <c r="AH184" s="173">
        <f t="shared" si="80"/>
        <v>0</v>
      </c>
      <c r="AI184" s="173">
        <f t="shared" si="81"/>
        <v>0</v>
      </c>
      <c r="AJ184" s="173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3">
        <f>Alim_Surf!Q28</f>
        <v>0</v>
      </c>
      <c r="S185" s="173">
        <f>Alim_Surf!R28</f>
        <v>0</v>
      </c>
      <c r="T185" s="173">
        <f>VLOOKUP(R185,[1]MEP!$A$4:$M$300,13)</f>
        <v>0</v>
      </c>
      <c r="U185" s="173">
        <f t="shared" si="72"/>
        <v>0</v>
      </c>
      <c r="V185" s="173">
        <f t="shared" si="73"/>
        <v>0</v>
      </c>
      <c r="W185" s="173">
        <f t="shared" si="74"/>
        <v>0</v>
      </c>
      <c r="X185" s="173">
        <f>VLOOKUP(R185,[1]MEP!$A$4:$Q$300,14)</f>
        <v>0</v>
      </c>
      <c r="Y185" s="173">
        <f>VLOOKUP(R185,[1]MEP!$A$4:$R$300,15)</f>
        <v>0</v>
      </c>
      <c r="Z185" s="173">
        <f>VLOOKUP(R185,[1]MEP!$A$4:$R$300,16)</f>
        <v>0</v>
      </c>
      <c r="AA185" s="173">
        <f t="shared" si="70"/>
        <v>0</v>
      </c>
      <c r="AB185" s="173">
        <f t="shared" si="71"/>
        <v>0</v>
      </c>
      <c r="AC185" s="173">
        <f t="shared" si="75"/>
        <v>0</v>
      </c>
      <c r="AD185" s="173">
        <f t="shared" si="76"/>
        <v>0</v>
      </c>
      <c r="AE185" s="173">
        <f t="shared" si="77"/>
        <v>0</v>
      </c>
      <c r="AF185" s="173">
        <f t="shared" si="78"/>
        <v>0</v>
      </c>
      <c r="AG185" s="173">
        <f t="shared" si="79"/>
        <v>0</v>
      </c>
      <c r="AH185" s="173">
        <f t="shared" si="80"/>
        <v>0</v>
      </c>
      <c r="AI185" s="173">
        <f t="shared" si="81"/>
        <v>0</v>
      </c>
      <c r="AJ185" s="173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3">
        <f>Alim_Surf!Q29</f>
        <v>239</v>
      </c>
      <c r="S186" s="173">
        <f>Alim_Surf!R29</f>
        <v>4.3</v>
      </c>
      <c r="T186" s="173">
        <f>VLOOKUP(R186,[1]MEP!$A$4:$M$300,13)</f>
        <v>0</v>
      </c>
      <c r="U186" s="173">
        <f t="shared" si="72"/>
        <v>0</v>
      </c>
      <c r="V186" s="173">
        <f t="shared" si="73"/>
        <v>0</v>
      </c>
      <c r="W186" s="173">
        <f t="shared" si="74"/>
        <v>0</v>
      </c>
      <c r="X186" s="173">
        <f>VLOOKUP(R186,[1]MEP!$A$4:$Q$300,14)</f>
        <v>0</v>
      </c>
      <c r="Y186" s="173">
        <f>VLOOKUP(R186,[1]MEP!$A$4:$R$300,15)</f>
        <v>0</v>
      </c>
      <c r="Z186" s="173">
        <f>VLOOKUP(R186,[1]MEP!$A$4:$R$300,16)</f>
        <v>0</v>
      </c>
      <c r="AA186" s="173">
        <f t="shared" si="70"/>
        <v>0</v>
      </c>
      <c r="AB186" s="173">
        <f t="shared" si="71"/>
        <v>0</v>
      </c>
      <c r="AC186" s="173">
        <f t="shared" si="75"/>
        <v>0</v>
      </c>
      <c r="AD186" s="173">
        <f t="shared" si="76"/>
        <v>4.3</v>
      </c>
      <c r="AE186" s="173">
        <f t="shared" si="77"/>
        <v>0</v>
      </c>
      <c r="AF186" s="173">
        <f t="shared" si="78"/>
        <v>0</v>
      </c>
      <c r="AG186" s="173">
        <f t="shared" si="79"/>
        <v>0</v>
      </c>
      <c r="AH186" s="173">
        <f t="shared" si="80"/>
        <v>4.3</v>
      </c>
      <c r="AI186" s="173">
        <f t="shared" si="81"/>
        <v>0</v>
      </c>
      <c r="AJ186" s="173">
        <f t="shared" si="82"/>
        <v>0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3">
        <f>Alim_Surf!Q30</f>
        <v>242</v>
      </c>
      <c r="S187" s="173">
        <f>Alim_Surf!R30</f>
        <v>0</v>
      </c>
      <c r="T187" s="173">
        <f>VLOOKUP(R187,[1]MEP!$A$4:$M$300,13)</f>
        <v>1</v>
      </c>
      <c r="U187" s="173">
        <f t="shared" si="72"/>
        <v>0</v>
      </c>
      <c r="V187" s="173">
        <f t="shared" si="73"/>
        <v>0</v>
      </c>
      <c r="W187" s="173">
        <f t="shared" si="74"/>
        <v>0</v>
      </c>
      <c r="X187" s="173">
        <f>VLOOKUP(R187,[1]MEP!$A$4:$Q$300,14)</f>
        <v>0</v>
      </c>
      <c r="Y187" s="173">
        <f>VLOOKUP(R187,[1]MEP!$A$4:$R$300,15)</f>
        <v>0</v>
      </c>
      <c r="Z187" s="173">
        <f>VLOOKUP(R187,[1]MEP!$A$4:$R$300,16)</f>
        <v>0</v>
      </c>
      <c r="AA187" s="173">
        <f t="shared" si="70"/>
        <v>0</v>
      </c>
      <c r="AB187" s="173">
        <f t="shared" si="71"/>
        <v>0</v>
      </c>
      <c r="AC187" s="173">
        <f t="shared" si="75"/>
        <v>0</v>
      </c>
      <c r="AD187" s="173">
        <f t="shared" si="76"/>
        <v>0</v>
      </c>
      <c r="AE187" s="173">
        <f t="shared" si="77"/>
        <v>0</v>
      </c>
      <c r="AF187" s="173">
        <f t="shared" si="78"/>
        <v>0</v>
      </c>
      <c r="AG187" s="173">
        <f t="shared" si="79"/>
        <v>0</v>
      </c>
      <c r="AH187" s="173">
        <f t="shared" si="80"/>
        <v>0</v>
      </c>
      <c r="AI187" s="173">
        <f t="shared" si="81"/>
        <v>0</v>
      </c>
      <c r="AJ187" s="173">
        <f t="shared" si="82"/>
        <v>0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3">
        <f>Alim_Surf!Q31</f>
        <v>194</v>
      </c>
      <c r="S188" s="173">
        <f>Alim_Surf!R31</f>
        <v>5</v>
      </c>
      <c r="T188" s="173">
        <f>VLOOKUP(R188,[1]MEP!$A$4:$M$300,13)</f>
        <v>2</v>
      </c>
      <c r="U188" s="173">
        <f t="shared" si="72"/>
        <v>5</v>
      </c>
      <c r="V188" s="173">
        <f t="shared" si="73"/>
        <v>5</v>
      </c>
      <c r="W188" s="173">
        <f t="shared" si="74"/>
        <v>0</v>
      </c>
      <c r="X188" s="173">
        <f>VLOOKUP(R188,[1]MEP!$A$4:$Q$300,14)</f>
        <v>0</v>
      </c>
      <c r="Y188" s="173">
        <f>VLOOKUP(R188,[1]MEP!$A$4:$R$300,15)</f>
        <v>0</v>
      </c>
      <c r="Z188" s="173">
        <f>VLOOKUP(R188,[1]MEP!$A$4:$R$300,16)</f>
        <v>1</v>
      </c>
      <c r="AA188" s="173">
        <f t="shared" si="70"/>
        <v>0</v>
      </c>
      <c r="AB188" s="173">
        <f t="shared" si="71"/>
        <v>0</v>
      </c>
      <c r="AC188" s="173">
        <f t="shared" si="75"/>
        <v>5</v>
      </c>
      <c r="AD188" s="173">
        <f t="shared" si="76"/>
        <v>0</v>
      </c>
      <c r="AE188" s="173">
        <f t="shared" si="77"/>
        <v>0</v>
      </c>
      <c r="AF188" s="173">
        <f t="shared" si="78"/>
        <v>0</v>
      </c>
      <c r="AG188" s="173">
        <f t="shared" si="79"/>
        <v>5</v>
      </c>
      <c r="AH188" s="173">
        <f t="shared" si="80"/>
        <v>0</v>
      </c>
      <c r="AI188" s="173">
        <f t="shared" si="81"/>
        <v>0</v>
      </c>
      <c r="AJ188" s="173">
        <f t="shared" si="82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3">
        <f>Alim_Surf!Q32</f>
        <v>0</v>
      </c>
      <c r="S189" s="173">
        <f>Alim_Surf!R32</f>
        <v>0</v>
      </c>
      <c r="T189" s="173">
        <f>VLOOKUP(R189,[1]MEP!$A$4:$M$300,13)</f>
        <v>0</v>
      </c>
      <c r="U189" s="173">
        <f t="shared" si="72"/>
        <v>0</v>
      </c>
      <c r="V189" s="173">
        <f t="shared" si="73"/>
        <v>0</v>
      </c>
      <c r="W189" s="173">
        <f t="shared" si="74"/>
        <v>0</v>
      </c>
      <c r="X189" s="173">
        <f>VLOOKUP(R189,[1]MEP!$A$4:$Q$300,14)</f>
        <v>0</v>
      </c>
      <c r="Y189" s="173">
        <f>VLOOKUP(R189,[1]MEP!$A$4:$R$300,15)</f>
        <v>0</v>
      </c>
      <c r="Z189" s="173">
        <f>VLOOKUP(R189,[1]MEP!$A$4:$R$300,16)</f>
        <v>0</v>
      </c>
      <c r="AA189" s="173">
        <f t="shared" si="70"/>
        <v>0</v>
      </c>
      <c r="AB189" s="173">
        <f t="shared" si="71"/>
        <v>0</v>
      </c>
      <c r="AC189" s="173">
        <f t="shared" si="75"/>
        <v>0</v>
      </c>
      <c r="AD189" s="173">
        <f t="shared" si="76"/>
        <v>0</v>
      </c>
      <c r="AE189" s="173">
        <f t="shared" si="77"/>
        <v>0</v>
      </c>
      <c r="AF189" s="173">
        <f t="shared" si="78"/>
        <v>0</v>
      </c>
      <c r="AG189" s="173">
        <f t="shared" si="79"/>
        <v>0</v>
      </c>
      <c r="AH189" s="173">
        <f t="shared" si="80"/>
        <v>0</v>
      </c>
      <c r="AI189" s="173">
        <f t="shared" si="81"/>
        <v>0</v>
      </c>
      <c r="AJ189" s="173">
        <f t="shared" si="82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3">
        <f>Alim_Surf!Q33</f>
        <v>0</v>
      </c>
      <c r="S190" s="173">
        <f>Alim_Surf!R33</f>
        <v>0</v>
      </c>
      <c r="T190" s="173">
        <f>VLOOKUP(R190,[1]MEP!$A$4:$M$300,13)</f>
        <v>0</v>
      </c>
      <c r="U190" s="173">
        <f t="shared" si="72"/>
        <v>0</v>
      </c>
      <c r="V190" s="173">
        <f t="shared" si="73"/>
        <v>0</v>
      </c>
      <c r="W190" s="173">
        <f t="shared" si="74"/>
        <v>0</v>
      </c>
      <c r="X190" s="173">
        <f>VLOOKUP(R190,[1]MEP!$A$4:$Q$300,14)</f>
        <v>0</v>
      </c>
      <c r="Y190" s="173">
        <f>VLOOKUP(R190,[1]MEP!$A$4:$R$300,15)</f>
        <v>0</v>
      </c>
      <c r="Z190" s="173">
        <f>VLOOKUP(R190,[1]MEP!$A$4:$R$300,16)</f>
        <v>0</v>
      </c>
      <c r="AA190" s="173">
        <f t="shared" si="70"/>
        <v>0</v>
      </c>
      <c r="AB190" s="173">
        <f t="shared" si="71"/>
        <v>0</v>
      </c>
      <c r="AC190" s="173">
        <f t="shared" si="75"/>
        <v>0</v>
      </c>
      <c r="AD190" s="173">
        <f t="shared" si="76"/>
        <v>0</v>
      </c>
      <c r="AE190" s="173">
        <f t="shared" si="77"/>
        <v>0</v>
      </c>
      <c r="AF190" s="173">
        <f t="shared" si="78"/>
        <v>0</v>
      </c>
      <c r="AG190" s="173">
        <f t="shared" si="79"/>
        <v>0</v>
      </c>
      <c r="AH190" s="173">
        <f t="shared" si="80"/>
        <v>0</v>
      </c>
      <c r="AI190" s="173">
        <f t="shared" si="81"/>
        <v>0</v>
      </c>
      <c r="AJ190" s="173">
        <f t="shared" si="82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3">
        <f>Alim_Surf!Q34</f>
        <v>0</v>
      </c>
      <c r="S191" s="173">
        <f>Alim_Surf!R34</f>
        <v>0</v>
      </c>
      <c r="T191" s="173">
        <f>VLOOKUP(R191,[1]MEP!$A$4:$M$300,13)</f>
        <v>0</v>
      </c>
      <c r="U191" s="173">
        <f t="shared" si="72"/>
        <v>0</v>
      </c>
      <c r="V191" s="173">
        <f t="shared" si="73"/>
        <v>0</v>
      </c>
      <c r="W191" s="173">
        <f t="shared" si="74"/>
        <v>0</v>
      </c>
      <c r="X191" s="173">
        <f>VLOOKUP(R191,[1]MEP!$A$4:$Q$300,14)</f>
        <v>0</v>
      </c>
      <c r="Y191" s="173">
        <f>VLOOKUP(R191,[1]MEP!$A$4:$R$300,15)</f>
        <v>0</v>
      </c>
      <c r="Z191" s="173">
        <f>VLOOKUP(R191,[1]MEP!$A$4:$R$300,16)</f>
        <v>0</v>
      </c>
      <c r="AA191" s="173">
        <f t="shared" si="70"/>
        <v>0</v>
      </c>
      <c r="AB191" s="173">
        <f t="shared" si="71"/>
        <v>0</v>
      </c>
      <c r="AC191" s="173">
        <f t="shared" si="75"/>
        <v>0</v>
      </c>
      <c r="AD191" s="173">
        <f t="shared" si="76"/>
        <v>0</v>
      </c>
      <c r="AE191" s="173">
        <f t="shared" si="77"/>
        <v>0</v>
      </c>
      <c r="AF191" s="173">
        <f t="shared" si="78"/>
        <v>0</v>
      </c>
      <c r="AG191" s="173">
        <f t="shared" si="79"/>
        <v>0</v>
      </c>
      <c r="AH191" s="173">
        <f t="shared" si="80"/>
        <v>0</v>
      </c>
      <c r="AI191" s="173">
        <f t="shared" si="81"/>
        <v>0</v>
      </c>
      <c r="AJ191" s="173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3">
        <f>Alim_Surf!Q35</f>
        <v>0</v>
      </c>
      <c r="S192" s="173">
        <f>Alim_Surf!R35</f>
        <v>0</v>
      </c>
      <c r="T192" s="173">
        <f>VLOOKUP(R192,[1]MEP!$A$4:$M$300,13)</f>
        <v>0</v>
      </c>
      <c r="U192" s="173">
        <f t="shared" si="72"/>
        <v>0</v>
      </c>
      <c r="V192" s="173">
        <f t="shared" si="73"/>
        <v>0</v>
      </c>
      <c r="W192" s="173">
        <f t="shared" si="74"/>
        <v>0</v>
      </c>
      <c r="X192" s="173">
        <f>VLOOKUP(R192,[1]MEP!$A$4:$Q$300,14)</f>
        <v>0</v>
      </c>
      <c r="Y192" s="173">
        <f>VLOOKUP(R192,[1]MEP!$A$4:$R$300,15)</f>
        <v>0</v>
      </c>
      <c r="Z192" s="173">
        <f>VLOOKUP(R192,[1]MEP!$A$4:$R$300,16)</f>
        <v>0</v>
      </c>
      <c r="AA192" s="173">
        <f t="shared" si="70"/>
        <v>0</v>
      </c>
      <c r="AB192" s="173">
        <f t="shared" si="71"/>
        <v>0</v>
      </c>
      <c r="AC192" s="173">
        <f t="shared" si="75"/>
        <v>0</v>
      </c>
      <c r="AD192" s="173">
        <f t="shared" si="76"/>
        <v>0</v>
      </c>
      <c r="AE192" s="173">
        <f t="shared" si="77"/>
        <v>0</v>
      </c>
      <c r="AF192" s="173">
        <f t="shared" si="78"/>
        <v>0</v>
      </c>
      <c r="AG192" s="173">
        <f t="shared" si="79"/>
        <v>0</v>
      </c>
      <c r="AH192" s="173">
        <f t="shared" si="80"/>
        <v>0</v>
      </c>
      <c r="AI192" s="173">
        <f t="shared" si="81"/>
        <v>0</v>
      </c>
      <c r="AJ192" s="173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3">
        <f>Alim_Surf!Q36</f>
        <v>0</v>
      </c>
      <c r="S193" s="173">
        <f>Alim_Surf!R36</f>
        <v>0</v>
      </c>
      <c r="T193" s="173">
        <f>VLOOKUP(R193,[1]MEP!$A$4:$M$300,13)</f>
        <v>0</v>
      </c>
      <c r="U193" s="173">
        <f t="shared" si="72"/>
        <v>0</v>
      </c>
      <c r="V193" s="173">
        <f t="shared" si="73"/>
        <v>0</v>
      </c>
      <c r="W193" s="173">
        <f t="shared" si="74"/>
        <v>0</v>
      </c>
      <c r="X193" s="173">
        <f>VLOOKUP(R193,[1]MEP!$A$4:$Q$300,14)</f>
        <v>0</v>
      </c>
      <c r="Y193" s="173">
        <f>VLOOKUP(R193,[1]MEP!$A$4:$R$300,15)</f>
        <v>0</v>
      </c>
      <c r="Z193" s="173">
        <f>VLOOKUP(R193,[1]MEP!$A$4:$R$300,16)</f>
        <v>0</v>
      </c>
      <c r="AA193" s="173">
        <f t="shared" si="70"/>
        <v>0</v>
      </c>
      <c r="AB193" s="173">
        <f t="shared" si="71"/>
        <v>0</v>
      </c>
      <c r="AC193" s="173">
        <f t="shared" si="75"/>
        <v>0</v>
      </c>
      <c r="AD193" s="173">
        <f t="shared" si="76"/>
        <v>0</v>
      </c>
      <c r="AE193" s="173">
        <f t="shared" si="77"/>
        <v>0</v>
      </c>
      <c r="AF193" s="173">
        <f t="shared" si="78"/>
        <v>0</v>
      </c>
      <c r="AG193" s="173">
        <f t="shared" si="79"/>
        <v>0</v>
      </c>
      <c r="AH193" s="173">
        <f t="shared" si="80"/>
        <v>0</v>
      </c>
      <c r="AI193" s="173">
        <f t="shared" si="81"/>
        <v>0</v>
      </c>
      <c r="AJ193" s="173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3">
        <f>Alim_Surf!Q37</f>
        <v>0</v>
      </c>
      <c r="S194" s="173">
        <f>Alim_Surf!R37</f>
        <v>0</v>
      </c>
      <c r="T194" s="173">
        <f>VLOOKUP(R194,[1]MEP!$A$4:$M$300,13)</f>
        <v>0</v>
      </c>
      <c r="U194" s="173">
        <f t="shared" si="72"/>
        <v>0</v>
      </c>
      <c r="V194" s="173">
        <f t="shared" si="73"/>
        <v>0</v>
      </c>
      <c r="W194" s="173">
        <f t="shared" si="74"/>
        <v>0</v>
      </c>
      <c r="X194" s="173">
        <f>VLOOKUP(R194,[1]MEP!$A$4:$Q$300,14)</f>
        <v>0</v>
      </c>
      <c r="Y194" s="173">
        <f>VLOOKUP(R194,[1]MEP!$A$4:$R$300,15)</f>
        <v>0</v>
      </c>
      <c r="Z194" s="173">
        <f>VLOOKUP(R194,[1]MEP!$A$4:$R$300,16)</f>
        <v>0</v>
      </c>
      <c r="AA194" s="173">
        <f t="shared" si="70"/>
        <v>0</v>
      </c>
      <c r="AB194" s="173">
        <f t="shared" si="71"/>
        <v>0</v>
      </c>
      <c r="AC194" s="173">
        <f t="shared" si="75"/>
        <v>0</v>
      </c>
      <c r="AD194" s="173">
        <f t="shared" si="76"/>
        <v>0</v>
      </c>
      <c r="AE194" s="173">
        <f t="shared" si="77"/>
        <v>0</v>
      </c>
      <c r="AF194" s="173">
        <f t="shared" si="78"/>
        <v>0</v>
      </c>
      <c r="AG194" s="173">
        <f t="shared" si="79"/>
        <v>0</v>
      </c>
      <c r="AH194" s="173">
        <f t="shared" si="80"/>
        <v>0</v>
      </c>
      <c r="AI194" s="173">
        <f t="shared" si="81"/>
        <v>0</v>
      </c>
      <c r="AJ194" s="173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3">
        <f>Alim_Surf!Q38</f>
        <v>0</v>
      </c>
      <c r="S195" s="173">
        <f>Alim_Surf!R38</f>
        <v>0</v>
      </c>
      <c r="T195" s="173">
        <f>VLOOKUP(R195,[1]MEP!$A$4:$M$300,13)</f>
        <v>0</v>
      </c>
      <c r="U195" s="173">
        <f t="shared" si="72"/>
        <v>0</v>
      </c>
      <c r="V195" s="173">
        <f t="shared" si="73"/>
        <v>0</v>
      </c>
      <c r="W195" s="173">
        <f t="shared" si="74"/>
        <v>0</v>
      </c>
      <c r="X195" s="173">
        <f>VLOOKUP(R195,[1]MEP!$A$4:$Q$300,14)</f>
        <v>0</v>
      </c>
      <c r="Y195" s="173">
        <f>VLOOKUP(R195,[1]MEP!$A$4:$R$300,15)</f>
        <v>0</v>
      </c>
      <c r="Z195" s="173">
        <f>VLOOKUP(R195,[1]MEP!$A$4:$R$300,16)</f>
        <v>0</v>
      </c>
      <c r="AA195" s="173">
        <f t="shared" si="70"/>
        <v>0</v>
      </c>
      <c r="AB195" s="173">
        <f t="shared" si="71"/>
        <v>0</v>
      </c>
      <c r="AC195" s="173">
        <f t="shared" si="75"/>
        <v>0</v>
      </c>
      <c r="AD195" s="173">
        <f t="shared" si="76"/>
        <v>0</v>
      </c>
      <c r="AE195" s="173">
        <f t="shared" si="77"/>
        <v>0</v>
      </c>
      <c r="AF195" s="173">
        <f t="shared" si="78"/>
        <v>0</v>
      </c>
      <c r="AG195" s="173">
        <f t="shared" si="79"/>
        <v>0</v>
      </c>
      <c r="AH195" s="173">
        <f t="shared" si="80"/>
        <v>0</v>
      </c>
      <c r="AI195" s="173">
        <f t="shared" si="81"/>
        <v>0</v>
      </c>
      <c r="AJ195" s="173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3">
        <f>Alim_Surf!Q39</f>
        <v>0</v>
      </c>
      <c r="S196" s="173">
        <f>Alim_Surf!R39</f>
        <v>0</v>
      </c>
      <c r="T196" s="173">
        <f>VLOOKUP(R196,[1]MEP!$A$4:$M$300,13)</f>
        <v>0</v>
      </c>
      <c r="U196" s="173">
        <f t="shared" si="72"/>
        <v>0</v>
      </c>
      <c r="V196" s="173">
        <f t="shared" si="73"/>
        <v>0</v>
      </c>
      <c r="W196" s="173">
        <f t="shared" si="74"/>
        <v>0</v>
      </c>
      <c r="X196" s="173">
        <f>VLOOKUP(R196,[1]MEP!$A$4:$Q$300,14)</f>
        <v>0</v>
      </c>
      <c r="Y196" s="173">
        <f>VLOOKUP(R196,[1]MEP!$A$4:$R$300,15)</f>
        <v>0</v>
      </c>
      <c r="Z196" s="173">
        <f>VLOOKUP(R196,[1]MEP!$A$4:$R$300,16)</f>
        <v>0</v>
      </c>
      <c r="AA196" s="173">
        <f t="shared" si="70"/>
        <v>0</v>
      </c>
      <c r="AB196" s="173">
        <f t="shared" si="71"/>
        <v>0</v>
      </c>
      <c r="AC196" s="173">
        <f t="shared" si="75"/>
        <v>0</v>
      </c>
      <c r="AD196" s="173">
        <f t="shared" si="76"/>
        <v>0</v>
      </c>
      <c r="AE196" s="173">
        <f t="shared" si="77"/>
        <v>0</v>
      </c>
      <c r="AF196" s="173">
        <f t="shared" si="78"/>
        <v>0</v>
      </c>
      <c r="AG196" s="173">
        <f t="shared" si="79"/>
        <v>0</v>
      </c>
      <c r="AH196" s="173">
        <f t="shared" si="80"/>
        <v>0</v>
      </c>
      <c r="AI196" s="173">
        <f t="shared" si="81"/>
        <v>0</v>
      </c>
      <c r="AJ196" s="173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3">
        <f>Alim_Surf!Q40</f>
        <v>0</v>
      </c>
      <c r="S197" s="173">
        <f>Alim_Surf!R40</f>
        <v>0</v>
      </c>
      <c r="T197" s="173">
        <f>VLOOKUP(R197,[1]MEP!$A$4:$M$300,13)</f>
        <v>0</v>
      </c>
      <c r="U197" s="173">
        <f t="shared" si="72"/>
        <v>0</v>
      </c>
      <c r="V197" s="173">
        <f t="shared" si="73"/>
        <v>0</v>
      </c>
      <c r="W197" s="173">
        <f t="shared" si="74"/>
        <v>0</v>
      </c>
      <c r="X197" s="173">
        <f>VLOOKUP(R197,[1]MEP!$A$4:$Q$300,14)</f>
        <v>0</v>
      </c>
      <c r="Y197" s="173">
        <f>VLOOKUP(R197,[1]MEP!$A$4:$R$300,15)</f>
        <v>0</v>
      </c>
      <c r="Z197" s="173">
        <f>VLOOKUP(R197,[1]MEP!$A$4:$R$300,16)</f>
        <v>0</v>
      </c>
      <c r="AA197" s="173">
        <f t="shared" si="70"/>
        <v>0</v>
      </c>
      <c r="AB197" s="173">
        <f t="shared" si="71"/>
        <v>0</v>
      </c>
      <c r="AC197" s="173">
        <f t="shared" si="75"/>
        <v>0</v>
      </c>
      <c r="AD197" s="173">
        <f t="shared" si="76"/>
        <v>0</v>
      </c>
      <c r="AE197" s="173">
        <f t="shared" si="77"/>
        <v>0</v>
      </c>
      <c r="AF197" s="173">
        <f t="shared" si="78"/>
        <v>0</v>
      </c>
      <c r="AG197" s="173">
        <f t="shared" si="79"/>
        <v>0</v>
      </c>
      <c r="AH197" s="173">
        <f t="shared" si="80"/>
        <v>0</v>
      </c>
      <c r="AI197" s="173">
        <f t="shared" si="81"/>
        <v>0</v>
      </c>
      <c r="AJ197" s="173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3">
        <f>Alim_Surf!Q41</f>
        <v>0</v>
      </c>
      <c r="S198" s="173">
        <f>Alim_Surf!R41</f>
        <v>0</v>
      </c>
      <c r="T198" s="173">
        <f>VLOOKUP(R198,[1]MEP!$A$4:$M$300,13)</f>
        <v>0</v>
      </c>
      <c r="U198" s="173">
        <f t="shared" si="72"/>
        <v>0</v>
      </c>
      <c r="V198" s="173">
        <f t="shared" si="73"/>
        <v>0</v>
      </c>
      <c r="W198" s="173">
        <f t="shared" si="74"/>
        <v>0</v>
      </c>
      <c r="X198" s="173">
        <f>VLOOKUP(R198,[1]MEP!$A$4:$Q$300,14)</f>
        <v>0</v>
      </c>
      <c r="Y198" s="173">
        <f>VLOOKUP(R198,[1]MEP!$A$4:$R$300,15)</f>
        <v>0</v>
      </c>
      <c r="Z198" s="173">
        <f>VLOOKUP(R198,[1]MEP!$A$4:$R$300,16)</f>
        <v>0</v>
      </c>
      <c r="AA198" s="173">
        <f t="shared" si="70"/>
        <v>0</v>
      </c>
      <c r="AB198" s="173">
        <f t="shared" si="71"/>
        <v>0</v>
      </c>
      <c r="AC198" s="173">
        <f t="shared" si="75"/>
        <v>0</v>
      </c>
      <c r="AD198" s="173">
        <f t="shared" si="76"/>
        <v>0</v>
      </c>
      <c r="AE198" s="173">
        <f t="shared" si="77"/>
        <v>0</v>
      </c>
      <c r="AF198" s="173">
        <f t="shared" si="78"/>
        <v>0</v>
      </c>
      <c r="AG198" s="173">
        <f t="shared" si="79"/>
        <v>0</v>
      </c>
      <c r="AH198" s="173">
        <f t="shared" si="80"/>
        <v>0</v>
      </c>
      <c r="AI198" s="173">
        <f t="shared" si="81"/>
        <v>0</v>
      </c>
      <c r="AJ198" s="173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3">
        <f>Alim_Surf!Q42</f>
        <v>0</v>
      </c>
      <c r="S199" s="173">
        <f>Alim_Surf!R42</f>
        <v>0</v>
      </c>
      <c r="T199" s="173">
        <f>VLOOKUP(R199,[1]MEP!$A$4:$M$300,13)</f>
        <v>0</v>
      </c>
      <c r="U199" s="173">
        <f t="shared" si="72"/>
        <v>0</v>
      </c>
      <c r="V199" s="173">
        <f t="shared" si="73"/>
        <v>0</v>
      </c>
      <c r="W199" s="173">
        <f t="shared" si="74"/>
        <v>0</v>
      </c>
      <c r="X199" s="173">
        <f>VLOOKUP(R199,[1]MEP!$A$4:$Q$300,14)</f>
        <v>0</v>
      </c>
      <c r="Y199" s="173">
        <f>VLOOKUP(R199,[1]MEP!$A$4:$R$300,15)</f>
        <v>0</v>
      </c>
      <c r="Z199" s="173">
        <f>VLOOKUP(R199,[1]MEP!$A$4:$R$300,16)</f>
        <v>0</v>
      </c>
      <c r="AA199" s="173">
        <f t="shared" si="70"/>
        <v>0</v>
      </c>
      <c r="AB199" s="173">
        <f t="shared" si="71"/>
        <v>0</v>
      </c>
      <c r="AC199" s="173">
        <f t="shared" si="75"/>
        <v>0</v>
      </c>
      <c r="AD199" s="173">
        <f t="shared" si="76"/>
        <v>0</v>
      </c>
      <c r="AE199" s="173">
        <f t="shared" si="77"/>
        <v>0</v>
      </c>
      <c r="AF199" s="173">
        <f t="shared" si="78"/>
        <v>0</v>
      </c>
      <c r="AG199" s="173">
        <f t="shared" si="79"/>
        <v>0</v>
      </c>
      <c r="AH199" s="173">
        <f t="shared" si="80"/>
        <v>0</v>
      </c>
      <c r="AI199" s="173">
        <f t="shared" si="81"/>
        <v>0</v>
      </c>
      <c r="AJ199" s="173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3">
        <f>Alim_Surf!Q43</f>
        <v>0</v>
      </c>
      <c r="S200" s="173">
        <f>Alim_Surf!R43</f>
        <v>0</v>
      </c>
      <c r="T200" s="173">
        <f>VLOOKUP(R200,[1]MEP!$A$4:$M$300,13)</f>
        <v>0</v>
      </c>
      <c r="U200" s="173">
        <f t="shared" si="72"/>
        <v>0</v>
      </c>
      <c r="V200" s="173">
        <f t="shared" si="73"/>
        <v>0</v>
      </c>
      <c r="W200" s="173">
        <f t="shared" si="74"/>
        <v>0</v>
      </c>
      <c r="X200" s="173">
        <f>VLOOKUP(R200,[1]MEP!$A$4:$Q$300,14)</f>
        <v>0</v>
      </c>
      <c r="Y200" s="173">
        <f>VLOOKUP(R200,[1]MEP!$A$4:$R$300,15)</f>
        <v>0</v>
      </c>
      <c r="Z200" s="173">
        <f>VLOOKUP(R200,[1]MEP!$A$4:$R$300,16)</f>
        <v>0</v>
      </c>
      <c r="AA200" s="173">
        <f t="shared" si="70"/>
        <v>0</v>
      </c>
      <c r="AB200" s="173">
        <f t="shared" si="71"/>
        <v>0</v>
      </c>
      <c r="AC200" s="173">
        <f t="shared" si="75"/>
        <v>0</v>
      </c>
      <c r="AD200" s="173">
        <f t="shared" si="76"/>
        <v>0</v>
      </c>
      <c r="AE200" s="173">
        <f t="shared" si="77"/>
        <v>0</v>
      </c>
      <c r="AF200" s="173">
        <f t="shared" si="78"/>
        <v>0</v>
      </c>
      <c r="AG200" s="173">
        <f t="shared" si="79"/>
        <v>0</v>
      </c>
      <c r="AH200" s="173">
        <f t="shared" si="80"/>
        <v>0</v>
      </c>
      <c r="AI200" s="173">
        <f t="shared" si="81"/>
        <v>0</v>
      </c>
      <c r="AJ200" s="173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3">
        <f>Alim_Surf!Q44</f>
        <v>0</v>
      </c>
      <c r="S201" s="173">
        <f>Alim_Surf!R44</f>
        <v>0</v>
      </c>
      <c r="T201" s="173">
        <f>VLOOKUP(R201,[1]MEP!$A$4:$M$300,13)</f>
        <v>0</v>
      </c>
      <c r="U201" s="173">
        <f t="shared" si="72"/>
        <v>0</v>
      </c>
      <c r="V201" s="173">
        <f t="shared" si="73"/>
        <v>0</v>
      </c>
      <c r="W201" s="173">
        <f t="shared" si="74"/>
        <v>0</v>
      </c>
      <c r="X201" s="173">
        <f>VLOOKUP(R201,[1]MEP!$A$4:$Q$300,14)</f>
        <v>0</v>
      </c>
      <c r="Y201" s="173">
        <f>VLOOKUP(R201,[1]MEP!$A$4:$R$300,15)</f>
        <v>0</v>
      </c>
      <c r="Z201" s="173">
        <f>VLOOKUP(R201,[1]MEP!$A$4:$R$300,16)</f>
        <v>0</v>
      </c>
      <c r="AA201" s="173">
        <f t="shared" si="70"/>
        <v>0</v>
      </c>
      <c r="AB201" s="173">
        <f t="shared" si="71"/>
        <v>0</v>
      </c>
      <c r="AC201" s="173">
        <f t="shared" si="75"/>
        <v>0</v>
      </c>
      <c r="AD201" s="173">
        <f t="shared" si="76"/>
        <v>0</v>
      </c>
      <c r="AE201" s="173">
        <f t="shared" si="77"/>
        <v>0</v>
      </c>
      <c r="AF201" s="173">
        <f t="shared" si="78"/>
        <v>0</v>
      </c>
      <c r="AG201" s="173">
        <f t="shared" si="79"/>
        <v>0</v>
      </c>
      <c r="AH201" s="173">
        <f t="shared" si="80"/>
        <v>0</v>
      </c>
      <c r="AI201" s="173">
        <f t="shared" si="81"/>
        <v>0</v>
      </c>
      <c r="AJ201" s="173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3">
        <f>Alim_Surf!Q45</f>
        <v>0</v>
      </c>
      <c r="S202" s="173">
        <f>Alim_Surf!R45</f>
        <v>0</v>
      </c>
      <c r="T202" s="173">
        <f>VLOOKUP(R202,[1]MEP!$A$4:$M$300,13)</f>
        <v>0</v>
      </c>
      <c r="U202" s="173">
        <f t="shared" si="72"/>
        <v>0</v>
      </c>
      <c r="V202" s="173">
        <f t="shared" si="73"/>
        <v>0</v>
      </c>
      <c r="W202" s="173">
        <f t="shared" si="74"/>
        <v>0</v>
      </c>
      <c r="X202" s="173">
        <f>VLOOKUP(R202,[1]MEP!$A$4:$Q$300,14)</f>
        <v>0</v>
      </c>
      <c r="Y202" s="173">
        <f>VLOOKUP(R202,[1]MEP!$A$4:$R$300,15)</f>
        <v>0</v>
      </c>
      <c r="Z202" s="173">
        <f>VLOOKUP(R202,[1]MEP!$A$4:$R$300,16)</f>
        <v>0</v>
      </c>
      <c r="AA202" s="173">
        <f t="shared" si="70"/>
        <v>0</v>
      </c>
      <c r="AB202" s="173">
        <f t="shared" si="71"/>
        <v>0</v>
      </c>
      <c r="AC202" s="173">
        <f t="shared" si="75"/>
        <v>0</v>
      </c>
      <c r="AD202" s="173">
        <f t="shared" si="76"/>
        <v>0</v>
      </c>
      <c r="AE202" s="173">
        <f t="shared" si="77"/>
        <v>0</v>
      </c>
      <c r="AF202" s="173">
        <f t="shared" si="78"/>
        <v>0</v>
      </c>
      <c r="AG202" s="173">
        <f t="shared" si="79"/>
        <v>0</v>
      </c>
      <c r="AH202" s="173">
        <f t="shared" si="80"/>
        <v>0</v>
      </c>
      <c r="AI202" s="173">
        <f t="shared" si="81"/>
        <v>0</v>
      </c>
      <c r="AJ202" s="173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3">
        <f>Alim_Surf!Q46</f>
        <v>0</v>
      </c>
      <c r="S203" s="173">
        <f>Alim_Surf!R46</f>
        <v>0</v>
      </c>
      <c r="T203" s="173">
        <f>VLOOKUP(R203,[1]MEP!$A$4:$M$300,13)</f>
        <v>0</v>
      </c>
      <c r="U203" s="173">
        <f t="shared" si="72"/>
        <v>0</v>
      </c>
      <c r="V203" s="173">
        <f t="shared" si="73"/>
        <v>0</v>
      </c>
      <c r="W203" s="173">
        <f t="shared" si="74"/>
        <v>0</v>
      </c>
      <c r="X203" s="173">
        <f>VLOOKUP(R203,[1]MEP!$A$4:$Q$300,14)</f>
        <v>0</v>
      </c>
      <c r="Y203" s="173">
        <f>VLOOKUP(R203,[1]MEP!$A$4:$R$300,15)</f>
        <v>0</v>
      </c>
      <c r="Z203" s="173">
        <f>VLOOKUP(R203,[1]MEP!$A$4:$R$300,16)</f>
        <v>0</v>
      </c>
      <c r="AA203" s="173">
        <f t="shared" si="70"/>
        <v>0</v>
      </c>
      <c r="AB203" s="173">
        <f t="shared" si="71"/>
        <v>0</v>
      </c>
      <c r="AC203" s="173">
        <f t="shared" si="75"/>
        <v>0</v>
      </c>
      <c r="AD203" s="173">
        <f t="shared" si="76"/>
        <v>0</v>
      </c>
      <c r="AE203" s="173">
        <f t="shared" si="77"/>
        <v>0</v>
      </c>
      <c r="AF203" s="173">
        <f t="shared" si="78"/>
        <v>0</v>
      </c>
      <c r="AG203" s="173">
        <f t="shared" si="79"/>
        <v>0</v>
      </c>
      <c r="AH203" s="173">
        <f t="shared" si="80"/>
        <v>0</v>
      </c>
      <c r="AI203" s="173">
        <f t="shared" si="81"/>
        <v>0</v>
      </c>
      <c r="AJ203" s="173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3">
        <f>Alim_Surf!Q47</f>
        <v>0</v>
      </c>
      <c r="S204" s="173">
        <f>Alim_Surf!R47</f>
        <v>0</v>
      </c>
      <c r="T204" s="173">
        <f>VLOOKUP(R204,[1]MEP!$A$4:$M$300,13)</f>
        <v>0</v>
      </c>
      <c r="U204" s="173">
        <f t="shared" si="72"/>
        <v>0</v>
      </c>
      <c r="V204" s="173">
        <f t="shared" si="73"/>
        <v>0</v>
      </c>
      <c r="W204" s="173">
        <f t="shared" si="74"/>
        <v>0</v>
      </c>
      <c r="X204" s="173">
        <f>VLOOKUP(R204,[1]MEP!$A$4:$Q$300,14)</f>
        <v>0</v>
      </c>
      <c r="Y204" s="173">
        <f>VLOOKUP(R204,[1]MEP!$A$4:$R$300,15)</f>
        <v>0</v>
      </c>
      <c r="Z204" s="173">
        <f>VLOOKUP(R204,[1]MEP!$A$4:$R$300,16)</f>
        <v>0</v>
      </c>
      <c r="AA204" s="173">
        <f t="shared" si="70"/>
        <v>0</v>
      </c>
      <c r="AB204" s="173">
        <f t="shared" si="71"/>
        <v>0</v>
      </c>
      <c r="AC204" s="173">
        <f t="shared" si="75"/>
        <v>0</v>
      </c>
      <c r="AD204" s="173">
        <f t="shared" si="76"/>
        <v>0</v>
      </c>
      <c r="AE204" s="173">
        <f t="shared" si="77"/>
        <v>0</v>
      </c>
      <c r="AF204" s="173">
        <f t="shared" si="78"/>
        <v>0</v>
      </c>
      <c r="AG204" s="173">
        <f t="shared" si="79"/>
        <v>0</v>
      </c>
      <c r="AH204" s="173">
        <f t="shared" si="80"/>
        <v>0</v>
      </c>
      <c r="AI204" s="173">
        <f t="shared" si="81"/>
        <v>0</v>
      </c>
      <c r="AJ204" s="173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3">
        <f>Alim_Surf!Q48</f>
        <v>0</v>
      </c>
      <c r="S205" s="173">
        <f>Alim_Surf!R48</f>
        <v>0</v>
      </c>
      <c r="T205" s="173">
        <f>VLOOKUP(R205,[1]MEP!$A$4:$M$300,13)</f>
        <v>0</v>
      </c>
      <c r="U205" s="173">
        <f t="shared" si="72"/>
        <v>0</v>
      </c>
      <c r="V205" s="173">
        <f t="shared" si="73"/>
        <v>0</v>
      </c>
      <c r="W205" s="173">
        <f t="shared" si="74"/>
        <v>0</v>
      </c>
      <c r="X205" s="173">
        <f>VLOOKUP(R205,[1]MEP!$A$4:$Q$300,14)</f>
        <v>0</v>
      </c>
      <c r="Y205" s="173">
        <f>VLOOKUP(R205,[1]MEP!$A$4:$R$300,15)</f>
        <v>0</v>
      </c>
      <c r="Z205" s="173">
        <f>VLOOKUP(R205,[1]MEP!$A$4:$R$300,16)</f>
        <v>0</v>
      </c>
      <c r="AA205" s="173">
        <f t="shared" si="70"/>
        <v>0</v>
      </c>
      <c r="AB205" s="173">
        <f t="shared" si="71"/>
        <v>0</v>
      </c>
      <c r="AC205" s="173">
        <f t="shared" si="75"/>
        <v>0</v>
      </c>
      <c r="AD205" s="173">
        <f t="shared" si="76"/>
        <v>0</v>
      </c>
      <c r="AE205" s="173">
        <f t="shared" si="77"/>
        <v>0</v>
      </c>
      <c r="AF205" s="173">
        <f t="shared" si="78"/>
        <v>0</v>
      </c>
      <c r="AG205" s="173">
        <f t="shared" si="79"/>
        <v>0</v>
      </c>
      <c r="AH205" s="173">
        <f t="shared" si="80"/>
        <v>0</v>
      </c>
      <c r="AI205" s="173">
        <f t="shared" si="81"/>
        <v>0</v>
      </c>
      <c r="AJ205" s="173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3">
        <f>Alim_Surf!Q49</f>
        <v>0</v>
      </c>
      <c r="S206" s="173">
        <f>Alim_Surf!R49</f>
        <v>0</v>
      </c>
      <c r="T206" s="173">
        <f>VLOOKUP(R206,[1]MEP!$A$4:$M$300,13)</f>
        <v>0</v>
      </c>
      <c r="U206" s="173">
        <f t="shared" si="72"/>
        <v>0</v>
      </c>
      <c r="V206" s="173">
        <f t="shared" si="73"/>
        <v>0</v>
      </c>
      <c r="W206" s="173">
        <f t="shared" si="74"/>
        <v>0</v>
      </c>
      <c r="X206" s="173">
        <f>VLOOKUP(R206,[1]MEP!$A$4:$Q$300,14)</f>
        <v>0</v>
      </c>
      <c r="Y206" s="173">
        <f>VLOOKUP(R206,[1]MEP!$A$4:$R$300,15)</f>
        <v>0</v>
      </c>
      <c r="Z206" s="173">
        <f>VLOOKUP(R206,[1]MEP!$A$4:$R$300,16)</f>
        <v>0</v>
      </c>
      <c r="AA206" s="173">
        <f t="shared" si="70"/>
        <v>0</v>
      </c>
      <c r="AB206" s="173">
        <f t="shared" si="71"/>
        <v>0</v>
      </c>
      <c r="AC206" s="173">
        <f t="shared" si="75"/>
        <v>0</v>
      </c>
      <c r="AD206" s="173">
        <f t="shared" si="76"/>
        <v>0</v>
      </c>
      <c r="AE206" s="173">
        <f t="shared" si="77"/>
        <v>0</v>
      </c>
      <c r="AF206" s="173">
        <f t="shared" si="78"/>
        <v>0</v>
      </c>
      <c r="AG206" s="173">
        <f t="shared" si="79"/>
        <v>0</v>
      </c>
      <c r="AH206" s="173">
        <f t="shared" si="80"/>
        <v>0</v>
      </c>
      <c r="AI206" s="173">
        <f t="shared" si="81"/>
        <v>0</v>
      </c>
      <c r="AJ206" s="173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3">
        <f>Alim_Surf!Q50</f>
        <v>0</v>
      </c>
      <c r="S207" s="173">
        <f>Alim_Surf!R50</f>
        <v>0</v>
      </c>
      <c r="T207" s="173">
        <f>VLOOKUP(R207,[1]MEP!$A$4:$M$300,13)</f>
        <v>0</v>
      </c>
      <c r="U207" s="173">
        <f t="shared" si="72"/>
        <v>0</v>
      </c>
      <c r="V207" s="173">
        <f t="shared" si="73"/>
        <v>0</v>
      </c>
      <c r="W207" s="173">
        <f t="shared" si="74"/>
        <v>0</v>
      </c>
      <c r="X207" s="173">
        <f>VLOOKUP(R207,[1]MEP!$A$4:$Q$300,14)</f>
        <v>0</v>
      </c>
      <c r="Y207" s="173">
        <f>VLOOKUP(R207,[1]MEP!$A$4:$R$300,15)</f>
        <v>0</v>
      </c>
      <c r="Z207" s="173">
        <f>VLOOKUP(R207,[1]MEP!$A$4:$R$300,16)</f>
        <v>0</v>
      </c>
      <c r="AA207" s="173">
        <f t="shared" si="70"/>
        <v>0</v>
      </c>
      <c r="AB207" s="173">
        <f t="shared" si="71"/>
        <v>0</v>
      </c>
      <c r="AC207" s="173">
        <f t="shared" si="75"/>
        <v>0</v>
      </c>
      <c r="AD207" s="173">
        <f t="shared" si="76"/>
        <v>0</v>
      </c>
      <c r="AE207" s="173">
        <f t="shared" si="77"/>
        <v>0</v>
      </c>
      <c r="AF207" s="173">
        <f t="shared" si="78"/>
        <v>0</v>
      </c>
      <c r="AG207" s="173">
        <f t="shared" si="79"/>
        <v>0</v>
      </c>
      <c r="AH207" s="173">
        <f t="shared" si="80"/>
        <v>0</v>
      </c>
      <c r="AI207" s="173">
        <f t="shared" si="81"/>
        <v>0</v>
      </c>
      <c r="AJ207" s="173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6">
        <v>1</v>
      </c>
      <c r="R208" s="173"/>
      <c r="S208" s="173"/>
      <c r="T208" s="173"/>
      <c r="U208" s="173"/>
      <c r="V208" s="173"/>
      <c r="W208" s="173"/>
      <c r="X208" s="173"/>
      <c r="Y208" s="173"/>
      <c r="Z208" s="173"/>
      <c r="AA208" s="173"/>
      <c r="AB208" s="173"/>
      <c r="AC208" s="173"/>
      <c r="AD208" s="173"/>
      <c r="AE208" s="173"/>
      <c r="AF208" s="173"/>
      <c r="AG208" s="173"/>
      <c r="AH208" s="173"/>
      <c r="AI208" s="173"/>
      <c r="AJ208" s="173"/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42"/>
      <c r="P209" s="5"/>
      <c r="Q209" s="176">
        <v>2</v>
      </c>
      <c r="R209" s="173"/>
      <c r="S209" s="173"/>
      <c r="T209" s="173"/>
      <c r="U209" s="173"/>
      <c r="V209" s="173"/>
      <c r="W209" s="173"/>
      <c r="X209" s="173"/>
      <c r="Y209" s="173"/>
      <c r="Z209" s="173"/>
      <c r="AA209" s="173"/>
      <c r="AB209" s="173"/>
      <c r="AC209" s="173"/>
      <c r="AD209" s="173"/>
      <c r="AE209" s="173"/>
      <c r="AF209" s="173"/>
      <c r="AG209" s="173"/>
      <c r="AH209" s="173"/>
      <c r="AI209" s="173"/>
      <c r="AJ209" s="173"/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6">
        <v>3</v>
      </c>
      <c r="R210" s="173"/>
      <c r="S210" s="173"/>
      <c r="T210" s="173"/>
      <c r="U210" s="173"/>
      <c r="V210" s="173"/>
      <c r="W210" s="173"/>
      <c r="X210" s="173"/>
      <c r="Y210" s="173"/>
      <c r="Z210" s="173"/>
      <c r="AA210" s="173"/>
      <c r="AB210" s="173"/>
      <c r="AC210" s="173"/>
      <c r="AD210" s="173"/>
      <c r="AE210" s="173"/>
      <c r="AF210" s="173"/>
      <c r="AG210" s="173"/>
      <c r="AH210" s="173"/>
      <c r="AI210" s="173"/>
      <c r="AJ210" s="173"/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43"/>
      <c r="Q211" s="176">
        <v>4</v>
      </c>
      <c r="R211" s="173"/>
      <c r="S211" s="173"/>
      <c r="T211" s="173"/>
      <c r="U211" s="173"/>
      <c r="V211" s="173"/>
      <c r="W211" s="173"/>
      <c r="X211" s="173"/>
      <c r="Y211" s="173"/>
      <c r="Z211" s="173"/>
      <c r="AA211" s="173"/>
      <c r="AB211" s="173"/>
      <c r="AC211" s="173"/>
      <c r="AD211" s="173"/>
      <c r="AE211" s="173"/>
      <c r="AF211" s="173"/>
      <c r="AG211" s="173"/>
      <c r="AH211" s="173"/>
      <c r="AI211" s="173"/>
      <c r="AJ211" s="173"/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6">
        <v>5</v>
      </c>
      <c r="R212" s="173"/>
      <c r="S212" s="173"/>
      <c r="T212" s="173"/>
      <c r="U212" s="173"/>
      <c r="V212" s="173"/>
      <c r="W212" s="173"/>
      <c r="X212" s="173"/>
      <c r="Y212" s="173"/>
      <c r="Z212" s="173"/>
      <c r="AA212" s="173"/>
      <c r="AB212" s="173"/>
      <c r="AC212" s="173"/>
      <c r="AD212" s="173"/>
      <c r="AE212" s="173"/>
      <c r="AF212" s="173"/>
      <c r="AG212" s="173"/>
      <c r="AH212" s="173"/>
      <c r="AI212" s="173"/>
      <c r="AJ212" s="173"/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6">
        <v>6</v>
      </c>
      <c r="R213" s="173"/>
      <c r="S213" s="173"/>
      <c r="T213" s="173"/>
      <c r="U213" s="173"/>
      <c r="V213" s="173"/>
      <c r="W213" s="173"/>
      <c r="X213" s="173"/>
      <c r="Y213" s="173"/>
      <c r="Z213" s="173"/>
      <c r="AA213" s="173"/>
      <c r="AB213" s="173"/>
      <c r="AC213" s="173"/>
      <c r="AD213" s="173"/>
      <c r="AE213" s="173"/>
      <c r="AF213" s="173"/>
      <c r="AG213" s="173"/>
      <c r="AH213" s="173"/>
      <c r="AI213" s="173"/>
      <c r="AJ213" s="173"/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6">
        <v>7</v>
      </c>
      <c r="R214" s="173"/>
      <c r="S214" s="173"/>
      <c r="T214" s="173"/>
      <c r="U214" s="173"/>
      <c r="V214" s="173"/>
      <c r="W214" s="173"/>
      <c r="X214" s="173"/>
      <c r="Y214" s="173"/>
      <c r="Z214" s="173"/>
      <c r="AA214" s="173"/>
      <c r="AB214" s="173"/>
      <c r="AC214" s="173"/>
      <c r="AD214" s="173"/>
      <c r="AE214" s="173"/>
      <c r="AF214" s="173"/>
      <c r="AG214" s="173"/>
      <c r="AH214" s="173"/>
      <c r="AI214" s="173"/>
      <c r="AJ214" s="173"/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6">
        <v>8</v>
      </c>
      <c r="R215" s="173"/>
      <c r="S215" s="173"/>
      <c r="T215" s="173"/>
      <c r="U215" s="173"/>
      <c r="V215" s="173"/>
      <c r="W215" s="173"/>
      <c r="X215" s="173"/>
      <c r="Y215" s="173"/>
      <c r="Z215" s="173"/>
      <c r="AA215" s="173"/>
      <c r="AB215" s="173"/>
      <c r="AC215" s="173"/>
      <c r="AD215" s="173"/>
      <c r="AE215" s="173"/>
      <c r="AF215" s="173"/>
      <c r="AG215" s="173"/>
      <c r="AH215" s="173"/>
      <c r="AI215" s="173"/>
      <c r="AJ215" s="173"/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6">
        <v>9</v>
      </c>
      <c r="R216" s="173"/>
      <c r="S216" s="173"/>
      <c r="T216" s="173"/>
      <c r="U216" s="173"/>
      <c r="V216" s="173"/>
      <c r="W216" s="173"/>
      <c r="X216" s="173"/>
      <c r="Y216" s="173"/>
      <c r="Z216" s="173"/>
      <c r="AA216" s="173"/>
      <c r="AB216" s="173"/>
      <c r="AC216" s="173"/>
      <c r="AD216" s="173"/>
      <c r="AE216" s="173"/>
      <c r="AF216" s="173"/>
      <c r="AG216" s="173"/>
      <c r="AH216" s="173"/>
      <c r="AI216" s="173"/>
      <c r="AJ216" s="173"/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6">
        <v>10</v>
      </c>
      <c r="R217" s="173"/>
      <c r="S217" s="173"/>
      <c r="T217" s="173"/>
      <c r="U217" s="173"/>
      <c r="V217" s="173"/>
      <c r="W217" s="173"/>
      <c r="X217" s="173"/>
      <c r="Y217" s="173"/>
      <c r="Z217" s="173"/>
      <c r="AA217" s="173"/>
      <c r="AB217" s="173"/>
      <c r="AC217" s="173"/>
      <c r="AD217" s="173"/>
      <c r="AE217" s="173"/>
      <c r="AF217" s="173"/>
      <c r="AG217" s="173"/>
      <c r="AH217" s="173"/>
      <c r="AI217" s="173"/>
      <c r="AJ217" s="173"/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6">
        <v>11</v>
      </c>
      <c r="R218" s="173"/>
      <c r="S218" s="173"/>
      <c r="T218" s="173"/>
      <c r="U218" s="173"/>
      <c r="V218" s="173"/>
      <c r="W218" s="173"/>
      <c r="X218" s="173"/>
      <c r="Y218" s="173"/>
      <c r="Z218" s="173"/>
      <c r="AA218" s="173"/>
      <c r="AB218" s="173"/>
      <c r="AC218" s="173"/>
      <c r="AD218" s="173"/>
      <c r="AE218" s="173"/>
      <c r="AF218" s="173"/>
      <c r="AG218" s="173"/>
      <c r="AH218" s="173"/>
      <c r="AI218" s="173"/>
      <c r="AJ218" s="173"/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6">
        <v>12</v>
      </c>
      <c r="R219" s="173"/>
      <c r="S219" s="173"/>
      <c r="T219" s="173"/>
      <c r="U219" s="173"/>
      <c r="V219" s="173"/>
      <c r="W219" s="173"/>
      <c r="X219" s="173"/>
      <c r="Y219" s="173"/>
      <c r="Z219" s="173"/>
      <c r="AA219" s="173"/>
      <c r="AB219" s="173"/>
      <c r="AC219" s="173"/>
      <c r="AD219" s="173"/>
      <c r="AE219" s="173"/>
      <c r="AF219" s="173"/>
      <c r="AG219" s="173"/>
      <c r="AH219" s="173"/>
      <c r="AI219" s="173"/>
      <c r="AJ219" s="173"/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6">
        <v>13</v>
      </c>
      <c r="R220" s="173"/>
      <c r="S220" s="173"/>
      <c r="T220" s="173"/>
      <c r="U220" s="173"/>
      <c r="V220" s="173"/>
      <c r="W220" s="173"/>
      <c r="X220" s="173"/>
      <c r="Y220" s="173"/>
      <c r="Z220" s="173"/>
      <c r="AA220" s="173"/>
      <c r="AB220" s="173"/>
      <c r="AC220" s="173"/>
      <c r="AD220" s="173"/>
      <c r="AE220" s="173"/>
      <c r="AF220" s="173"/>
      <c r="AG220" s="173"/>
      <c r="AH220" s="173"/>
      <c r="AI220" s="173"/>
      <c r="AJ220" s="173"/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6">
        <v>14</v>
      </c>
      <c r="R221" s="173"/>
      <c r="S221" s="173"/>
      <c r="T221" s="173"/>
      <c r="U221" s="173"/>
      <c r="V221" s="173"/>
      <c r="W221" s="173"/>
      <c r="X221" s="173"/>
      <c r="Y221" s="173"/>
      <c r="Z221" s="173"/>
      <c r="AA221" s="173"/>
      <c r="AB221" s="173"/>
      <c r="AC221" s="173"/>
      <c r="AD221" s="173"/>
      <c r="AE221" s="173"/>
      <c r="AF221" s="173"/>
      <c r="AG221" s="173"/>
      <c r="AH221" s="173"/>
      <c r="AI221" s="173"/>
      <c r="AJ221" s="173"/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6">
        <v>15</v>
      </c>
      <c r="R222" s="173"/>
      <c r="S222" s="173"/>
      <c r="T222" s="173"/>
      <c r="U222" s="173"/>
      <c r="V222" s="173"/>
      <c r="W222" s="173"/>
      <c r="X222" s="173"/>
      <c r="Y222" s="173"/>
      <c r="Z222" s="173"/>
      <c r="AA222" s="173"/>
      <c r="AB222" s="173"/>
      <c r="AC222" s="173"/>
      <c r="AD222" s="173"/>
      <c r="AE222" s="173"/>
      <c r="AF222" s="173"/>
      <c r="AG222" s="173"/>
      <c r="AH222" s="173"/>
      <c r="AI222" s="173"/>
      <c r="AJ222" s="173"/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6">
        <v>16</v>
      </c>
      <c r="R223" s="173"/>
      <c r="S223" s="173"/>
      <c r="T223" s="173"/>
      <c r="U223" s="173"/>
      <c r="V223" s="173"/>
      <c r="W223" s="173"/>
      <c r="X223" s="173"/>
      <c r="Y223" s="173"/>
      <c r="Z223" s="173"/>
      <c r="AA223" s="173"/>
      <c r="AB223" s="173"/>
      <c r="AC223" s="173"/>
      <c r="AD223" s="173"/>
      <c r="AE223" s="173"/>
      <c r="AF223" s="173"/>
      <c r="AG223" s="173"/>
      <c r="AH223" s="173"/>
      <c r="AI223" s="173"/>
      <c r="AJ223" s="173"/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6">
        <v>17</v>
      </c>
      <c r="R224" s="173"/>
      <c r="S224" s="173"/>
      <c r="T224" s="173"/>
      <c r="U224" s="173"/>
      <c r="V224" s="173"/>
      <c r="W224" s="173"/>
      <c r="X224" s="173"/>
      <c r="Y224" s="173"/>
      <c r="Z224" s="173"/>
      <c r="AA224" s="173"/>
      <c r="AB224" s="173"/>
      <c r="AC224" s="173"/>
      <c r="AD224" s="173"/>
      <c r="AE224" s="173"/>
      <c r="AF224" s="173"/>
      <c r="AG224" s="173"/>
      <c r="AH224" s="173"/>
      <c r="AI224" s="173"/>
      <c r="AJ224" s="173"/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6">
        <v>18</v>
      </c>
      <c r="R225" s="173"/>
      <c r="S225" s="173"/>
      <c r="T225" s="173"/>
      <c r="U225" s="173"/>
      <c r="V225" s="173"/>
      <c r="W225" s="173"/>
      <c r="X225" s="173"/>
      <c r="Y225" s="173"/>
      <c r="Z225" s="173"/>
      <c r="AA225" s="173"/>
      <c r="AB225" s="173"/>
      <c r="AC225" s="173"/>
      <c r="AD225" s="173"/>
      <c r="AE225" s="173"/>
      <c r="AF225" s="173"/>
      <c r="AG225" s="173"/>
      <c r="AH225" s="173"/>
      <c r="AI225" s="173"/>
      <c r="AJ225" s="173"/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6">
        <v>19</v>
      </c>
      <c r="R226" s="173"/>
      <c r="S226" s="173"/>
      <c r="T226" s="173"/>
      <c r="U226" s="173"/>
      <c r="V226" s="173"/>
      <c r="W226" s="173"/>
      <c r="X226" s="173"/>
      <c r="Y226" s="173"/>
      <c r="Z226" s="173"/>
      <c r="AA226" s="173"/>
      <c r="AB226" s="173"/>
      <c r="AC226" s="173"/>
      <c r="AD226" s="173"/>
      <c r="AE226" s="173"/>
      <c r="AF226" s="173"/>
      <c r="AG226" s="173"/>
      <c r="AH226" s="173"/>
      <c r="AI226" s="173"/>
      <c r="AJ226" s="173"/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6">
        <v>20</v>
      </c>
      <c r="R227" s="173"/>
      <c r="S227" s="173"/>
      <c r="T227" s="173"/>
      <c r="U227" s="173"/>
      <c r="V227" s="173"/>
      <c r="W227" s="173"/>
      <c r="X227" s="173"/>
      <c r="Y227" s="173"/>
      <c r="Z227" s="173"/>
      <c r="AA227" s="173"/>
      <c r="AB227" s="173"/>
      <c r="AC227" s="173"/>
      <c r="AD227" s="173"/>
      <c r="AE227" s="173"/>
      <c r="AF227" s="173"/>
      <c r="AG227" s="173"/>
      <c r="AH227" s="173"/>
      <c r="AI227" s="173"/>
      <c r="AJ227" s="173"/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666</v>
      </c>
      <c r="R228" s="2"/>
      <c r="S228" s="62">
        <f t="shared" ref="S228" si="83">SUM(S164:S227)</f>
        <v>28</v>
      </c>
      <c r="U228" s="62">
        <f>SUM(U164:U227)</f>
        <v>19.3</v>
      </c>
      <c r="V228" s="62">
        <f t="shared" ref="V228:W228" si="84">SUM(V164:V227)</f>
        <v>16</v>
      </c>
      <c r="W228" s="62">
        <f t="shared" si="84"/>
        <v>0</v>
      </c>
      <c r="X228" s="2"/>
      <c r="Y228" s="2"/>
      <c r="AA228" s="62">
        <f t="shared" ref="AA228:AC228" si="85">SUM(AA164:AA227)</f>
        <v>0</v>
      </c>
      <c r="AB228" s="62">
        <f t="shared" si="85"/>
        <v>0</v>
      </c>
      <c r="AC228" s="62">
        <f t="shared" si="85"/>
        <v>5</v>
      </c>
      <c r="AD228" s="62">
        <f>SUM(AD164:AD227)</f>
        <v>23</v>
      </c>
      <c r="AE228" s="62">
        <f t="shared" ref="AE228:AJ228" si="86">SUM(AE164:AE227)</f>
        <v>0</v>
      </c>
      <c r="AF228" s="62">
        <f t="shared" si="86"/>
        <v>0</v>
      </c>
      <c r="AG228" s="62">
        <f t="shared" si="86"/>
        <v>5</v>
      </c>
      <c r="AH228" s="62">
        <f t="shared" si="86"/>
        <v>8.6999999999999993</v>
      </c>
      <c r="AI228" s="62">
        <f t="shared" si="86"/>
        <v>3.3</v>
      </c>
      <c r="AJ228" s="62">
        <f t="shared" si="86"/>
        <v>11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1095</v>
      </c>
      <c r="V232" t="s">
        <v>1096</v>
      </c>
      <c r="W232" t="s">
        <v>1097</v>
      </c>
      <c r="X232" t="s">
        <v>1098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334</v>
      </c>
      <c r="T233" s="30">
        <f>Protection!AD14</f>
        <v>0</v>
      </c>
      <c r="U233" t="s">
        <v>1099</v>
      </c>
      <c r="V233" s="173">
        <f>[1]Protect!$H$3</f>
        <v>20</v>
      </c>
      <c r="W233" s="173">
        <f>[1]Protect!$B$3</f>
        <v>100</v>
      </c>
      <c r="X233" s="173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1100</v>
      </c>
      <c r="T234" s="30">
        <f>Protection!AK25</f>
        <v>9365</v>
      </c>
      <c r="U234" t="s">
        <v>1101</v>
      </c>
      <c r="V234" s="173"/>
      <c r="W234" s="173">
        <f>[1]Protect!$B$4</f>
        <v>6</v>
      </c>
      <c r="X234" s="173">
        <f>T234*W234</f>
        <v>56190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1102</v>
      </c>
      <c r="T235" s="30">
        <f>IF(AND(Troupeau!B3="OL",OR(Scénario!K87=1,Scénario!K87=2)),(Protection!AD28+Protection!AD30)/Scénario!K56,0)</f>
        <v>0.2</v>
      </c>
      <c r="W235" s="173">
        <f>[1]Protect!$B$83</f>
        <v>2000</v>
      </c>
      <c r="X235" s="173">
        <f t="shared" ref="X235:X236" si="87">T235*W235</f>
        <v>400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1103</v>
      </c>
      <c r="T236" s="30">
        <f>IF(AND(Troupeau!B3="OL",OR(Scénario!K87=1,Scénario!K87=2)),(Protection!AD29+Protection!AD31)/Scénario!K56,0)</f>
        <v>0</v>
      </c>
      <c r="W236" s="173">
        <f>[1]Protect!$B$84</f>
        <v>5000</v>
      </c>
      <c r="X236" s="173">
        <f t="shared" si="87"/>
        <v>0</v>
      </c>
      <c r="Z236" t="s">
        <v>1104</v>
      </c>
      <c r="AA236" t="s">
        <v>1105</v>
      </c>
      <c r="AB236" t="s">
        <v>1106</v>
      </c>
      <c r="AC236" t="s">
        <v>1107</v>
      </c>
      <c r="AD236" t="s">
        <v>1108</v>
      </c>
      <c r="AE236" t="s">
        <v>1109</v>
      </c>
      <c r="AF236" t="s">
        <v>1110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1111</v>
      </c>
      <c r="X237" s="46">
        <f>SUM(X233:X236)</f>
        <v>56590</v>
      </c>
      <c r="Z237" s="30">
        <f>IF(Scénario!K84=1,MIN(0.8*'Calcul éco'!X237,[1]Protect!$B$68),IF(Scénario!K84=2,MIN(0.8*'Calcul éco'!X237,[1]Protect!$B$67),0))</f>
        <v>15500</v>
      </c>
      <c r="AA237" s="30">
        <f>X237-Z237</f>
        <v>41090</v>
      </c>
      <c r="AB237" s="30">
        <f>(Scénario!K127/100)*AA237</f>
        <v>0</v>
      </c>
      <c r="AC237" s="30">
        <f>AA237-AB237</f>
        <v>41090</v>
      </c>
      <c r="AD237" s="244">
        <f>[1]Protect!$B$19</f>
        <v>0.04</v>
      </c>
      <c r="AE237" s="215">
        <f>[1]Protect!$B$20</f>
        <v>10</v>
      </c>
      <c r="AF237" s="241">
        <f>PPMT(AD237,1,AE237,-AC237)+IPMT(AD237,1,AE237,-AC237)</f>
        <v>5066.0249025253097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1112</v>
      </c>
      <c r="T240" s="30">
        <f>IF(Scénario!K87=3,Protection!AE33,0)</f>
        <v>0</v>
      </c>
      <c r="U240" t="s">
        <v>1101</v>
      </c>
      <c r="V240" s="173"/>
      <c r="W240" s="173">
        <f>[1]Protect!$B$6</f>
        <v>0.75</v>
      </c>
      <c r="X240" s="173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44">
        <f>[1]Protect!$B$19</f>
        <v>0.04</v>
      </c>
      <c r="AE240" s="215">
        <f>[1]Protect!$B$20</f>
        <v>10</v>
      </c>
      <c r="AF240" s="241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1113</v>
      </c>
      <c r="W244" t="s">
        <v>1046</v>
      </c>
      <c r="X244" t="s">
        <v>938</v>
      </c>
    </row>
    <row r="245" spans="17:31" x14ac:dyDescent="0.25">
      <c r="Q245" s="15"/>
      <c r="S245" s="14" t="s">
        <v>1114</v>
      </c>
      <c r="T245" s="30">
        <f>IF(Scénario!K87=0,0,Protection!AJ8)</f>
        <v>10</v>
      </c>
      <c r="X245" s="173">
        <f>ROUND((([1]Protect!$B$5/[1]Protect!$B$11)+[1]Protect!$B$8)*T245,0)</f>
        <v>9043</v>
      </c>
    </row>
    <row r="246" spans="17:31" x14ac:dyDescent="0.25">
      <c r="Q246" s="15"/>
      <c r="S246" s="14" t="s">
        <v>1115</v>
      </c>
      <c r="T246" s="30">
        <f>IF(Scénario!K94=0,0,Scénario!K94/Scénario!K56*Scénario!K54)</f>
        <v>1.4000000000000001</v>
      </c>
      <c r="W246" s="173">
        <f>[1]Eco!$B$106*[1]Eco!$B$108*[1]Eco!$B$109</f>
        <v>2551.2000000000003</v>
      </c>
      <c r="X246" s="173">
        <f>T246*W246</f>
        <v>3571.6800000000007</v>
      </c>
    </row>
    <row r="247" spans="17:31" x14ac:dyDescent="0.25">
      <c r="S247" s="14" t="s">
        <v>1116</v>
      </c>
      <c r="T247" s="30">
        <f>Travail!F16/8</f>
        <v>19.600000000000001</v>
      </c>
      <c r="W247" s="173">
        <f>[1]Eco!$B$111</f>
        <v>28.3</v>
      </c>
      <c r="X247" s="173">
        <f>T247*W247</f>
        <v>554.68000000000006</v>
      </c>
    </row>
    <row r="248" spans="17:31" x14ac:dyDescent="0.25">
      <c r="W248" s="14" t="s">
        <v>1117</v>
      </c>
      <c r="X248" s="173">
        <f>SUM(X245:X247)</f>
        <v>13169.36</v>
      </c>
    </row>
    <row r="249" spans="17:31" x14ac:dyDescent="0.25">
      <c r="W249" s="14" t="s">
        <v>1425</v>
      </c>
      <c r="X249" s="173">
        <f>ROUND(X246+X247+Protection!AJ5*(([1]Protect!$B$5/[1]Protect!$B$11)+[1]Protect!$B$8),0)</f>
        <v>13169</v>
      </c>
      <c r="AB249" t="s">
        <v>1118</v>
      </c>
    </row>
    <row r="250" spans="17:31" x14ac:dyDescent="0.25">
      <c r="AB250" t="s">
        <v>1119</v>
      </c>
    </row>
    <row r="254" spans="17:31" x14ac:dyDescent="0.25">
      <c r="S254" s="40" t="s">
        <v>1120</v>
      </c>
      <c r="T254" s="4">
        <f>IF(Scénario!K53="OL",Scénario!K55*(1/0.15)*Scénario!K56,0)</f>
        <v>1200</v>
      </c>
      <c r="Y254" s="40" t="s">
        <v>1121</v>
      </c>
      <c r="Z254">
        <f>IF(Troupeau!B3="OL",Troupeau!B17,0)</f>
        <v>304</v>
      </c>
    </row>
    <row r="255" spans="17:31" x14ac:dyDescent="0.25">
      <c r="U255" t="s">
        <v>1122</v>
      </c>
      <c r="AA255" t="s">
        <v>1122</v>
      </c>
    </row>
    <row r="256" spans="17:31" x14ac:dyDescent="0.25">
      <c r="S256" s="14" t="s">
        <v>1123</v>
      </c>
      <c r="T256" s="30">
        <f>IF(T254&lt;151,1,0)</f>
        <v>0</v>
      </c>
      <c r="U256" s="173">
        <f>IF(T256=0,0,[1]Protect!$B76)</f>
        <v>0</v>
      </c>
      <c r="Y256" s="14" t="s">
        <v>1124</v>
      </c>
      <c r="Z256" s="30">
        <f>IF(Z254&lt;151,1,0)</f>
        <v>0</v>
      </c>
      <c r="AA256" s="173">
        <f>IF(Z256=0,0,[1]Protect!$B70)</f>
        <v>0</v>
      </c>
    </row>
    <row r="257" spans="16:37" x14ac:dyDescent="0.25">
      <c r="S257" s="14" t="s">
        <v>1125</v>
      </c>
      <c r="T257" s="30">
        <f>IF(AND(150 &lt;T$254,T$254&lt;451),1,0)</f>
        <v>0</v>
      </c>
      <c r="U257" s="173">
        <f>IF(T257=0,0,[1]Protect!$B77)</f>
        <v>0</v>
      </c>
      <c r="Y257" s="14" t="s">
        <v>1126</v>
      </c>
      <c r="Z257" s="30">
        <f>IF(AND(150 &lt;Z$254,Z$254&lt;451),1,0)</f>
        <v>1</v>
      </c>
      <c r="AA257" s="173">
        <f>IF(Z257=0,0,[1]Protect!$B71)</f>
        <v>10000</v>
      </c>
    </row>
    <row r="258" spans="16:37" x14ac:dyDescent="0.25">
      <c r="S258" s="14" t="s">
        <v>1127</v>
      </c>
      <c r="T258" s="30">
        <f>IF(AND(540 &lt;T$254,T$254&lt;1201),1,0)</f>
        <v>1</v>
      </c>
      <c r="U258" s="173">
        <f>IF(T258=0,0,[1]Protect!$B78)</f>
        <v>20000</v>
      </c>
      <c r="Y258" s="14" t="s">
        <v>1128</v>
      </c>
      <c r="Z258" s="30">
        <f>IF(AND(540 &lt;Z$254,Z$254&lt;1201),1,0)</f>
        <v>0</v>
      </c>
      <c r="AA258" s="173">
        <f>IF(Z258=0,0,[1]Protect!$B72)</f>
        <v>0</v>
      </c>
    </row>
    <row r="259" spans="16:37" x14ac:dyDescent="0.25">
      <c r="S259" s="14" t="s">
        <v>1129</v>
      </c>
      <c r="T259" s="30">
        <f>IF(AND(1200&lt;T$254,T$254&lt;1501),1,0)</f>
        <v>0</v>
      </c>
      <c r="U259" s="173">
        <f>IF(T259=0,0,[1]Protect!$B79)</f>
        <v>0</v>
      </c>
      <c r="Y259" s="14" t="s">
        <v>1130</v>
      </c>
      <c r="Z259" s="30">
        <f>IF(AND(1200&lt;Z$254,Z$254&lt;1501),1,0)</f>
        <v>0</v>
      </c>
      <c r="AA259" s="173">
        <f>IF(Z259=0,0,[1]Protect!$B73)</f>
        <v>0</v>
      </c>
    </row>
    <row r="260" spans="16:37" x14ac:dyDescent="0.25">
      <c r="S260" s="14" t="s">
        <v>1131</v>
      </c>
      <c r="T260" s="30">
        <f>IF(1500&lt;T$254,1,0)</f>
        <v>0</v>
      </c>
      <c r="U260" s="173">
        <f>IF(T260=0,0,[1]Protect!$B80)</f>
        <v>0</v>
      </c>
      <c r="Y260" s="14" t="s">
        <v>1132</v>
      </c>
      <c r="Z260" s="30">
        <f>IF(1500&lt;Z$254,1,0)</f>
        <v>0</v>
      </c>
      <c r="AA260" s="173">
        <f>IF(Z260=0,0,[1]Protect!$B74)</f>
        <v>0</v>
      </c>
    </row>
    <row r="263" spans="16:37" x14ac:dyDescent="0.25">
      <c r="P263" s="23" t="s">
        <v>1133</v>
      </c>
      <c r="V263" s="173">
        <f>IF(Scénario!K84=2,'Calcul éco'!V264,IF(Scénario!K84=1,'Calcul éco'!V265,0))</f>
        <v>10535.2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1134</v>
      </c>
      <c r="V264" s="173">
        <f>IF(X$249&lt;SUM(U256:U260),X$249*0.8,SUM(U256:U260))</f>
        <v>10535.2</v>
      </c>
      <c r="AA264" s="245"/>
      <c r="AB264" s="245"/>
      <c r="AC264" s="245"/>
      <c r="AD264" s="245"/>
      <c r="AE264" s="245"/>
      <c r="AF264" s="245"/>
      <c r="AG264" s="245"/>
      <c r="AH264" s="245"/>
      <c r="AI264" s="245"/>
      <c r="AJ264" s="245"/>
      <c r="AK264" s="5"/>
    </row>
    <row r="265" spans="16:37" x14ac:dyDescent="0.25">
      <c r="P265" s="5"/>
      <c r="U265" s="14" t="s">
        <v>1135</v>
      </c>
      <c r="V265" s="173">
        <f>IF(X$249&lt;SUM(AA256:AA260),X$249*0.8,SUM(AA256:AA260))</f>
        <v>10000</v>
      </c>
      <c r="Z265" s="245"/>
      <c r="AA265" s="245"/>
      <c r="AB265" s="245"/>
      <c r="AC265" s="245"/>
      <c r="AD265" s="245"/>
      <c r="AE265" s="245"/>
      <c r="AF265" s="245"/>
      <c r="AG265" s="245"/>
      <c r="AH265" s="245"/>
      <c r="AI265" s="245"/>
      <c r="AJ265" s="245"/>
      <c r="AK265" s="5"/>
    </row>
    <row r="266" spans="16:37" x14ac:dyDescent="0.25">
      <c r="P266" s="5"/>
      <c r="Z266" s="245"/>
      <c r="AA266" s="246"/>
      <c r="AB266" s="246"/>
      <c r="AC266" s="246"/>
      <c r="AD266" s="246"/>
      <c r="AE266" s="246"/>
      <c r="AF266" s="246"/>
      <c r="AG266" s="245"/>
      <c r="AH266" s="245"/>
      <c r="AI266" s="245"/>
      <c r="AJ266" s="245"/>
      <c r="AK266" s="5"/>
    </row>
    <row r="267" spans="16:37" x14ac:dyDescent="0.25">
      <c r="P267" s="5"/>
      <c r="Z267" s="245"/>
      <c r="AA267" s="246"/>
      <c r="AB267" s="246"/>
      <c r="AC267" s="246"/>
      <c r="AD267" s="246"/>
      <c r="AE267" s="246"/>
      <c r="AF267" s="246"/>
      <c r="AG267" s="245"/>
      <c r="AH267" s="245"/>
      <c r="AI267" s="245"/>
      <c r="AJ267" s="245"/>
      <c r="AK267" s="5"/>
    </row>
    <row r="268" spans="16:37" x14ac:dyDescent="0.25">
      <c r="P268" s="5"/>
      <c r="Q268" s="247"/>
      <c r="R268" s="248"/>
      <c r="S268" s="248"/>
      <c r="T268" s="249"/>
      <c r="U268" s="249"/>
      <c r="V268" s="249"/>
      <c r="W268" s="250"/>
      <c r="X268" s="250"/>
      <c r="Y268" s="245"/>
      <c r="Z268" s="246"/>
      <c r="AA268" s="245"/>
      <c r="AB268" s="245"/>
      <c r="AC268" s="245"/>
      <c r="AD268" s="245"/>
      <c r="AE268" s="251"/>
      <c r="AF268" s="251"/>
      <c r="AG268" s="245"/>
      <c r="AH268" s="245"/>
      <c r="AI268" s="245"/>
      <c r="AJ268" s="245"/>
      <c r="AK268" s="5"/>
    </row>
    <row r="269" spans="16:37" x14ac:dyDescent="0.25">
      <c r="P269" s="5"/>
      <c r="Q269" s="2" t="s">
        <v>1136</v>
      </c>
      <c r="Z269" s="246"/>
      <c r="AA269" s="245"/>
      <c r="AB269" s="245"/>
      <c r="AC269" s="245"/>
      <c r="AD269" s="245"/>
      <c r="AE269" s="251"/>
      <c r="AF269" s="251"/>
      <c r="AG269" s="245"/>
      <c r="AH269" s="245"/>
      <c r="AI269" s="245"/>
      <c r="AJ269" s="245"/>
      <c r="AK269" s="5"/>
    </row>
    <row r="270" spans="16:37" x14ac:dyDescent="0.25">
      <c r="P270" s="5"/>
      <c r="T270" s="33" t="s">
        <v>1137</v>
      </c>
      <c r="U270" s="33"/>
      <c r="V270" s="33"/>
      <c r="W270" s="33" t="s">
        <v>1138</v>
      </c>
      <c r="X270" s="33" t="s">
        <v>670</v>
      </c>
      <c r="Z270" s="246"/>
      <c r="AA270" s="245"/>
      <c r="AB270" s="245"/>
      <c r="AC270" s="245"/>
      <c r="AD270" s="245"/>
      <c r="AE270" s="252"/>
      <c r="AF270" s="251"/>
      <c r="AG270" s="245"/>
      <c r="AH270" s="245"/>
      <c r="AI270" s="245"/>
      <c r="AJ270" s="245"/>
      <c r="AK270" s="5"/>
    </row>
    <row r="271" spans="16:37" x14ac:dyDescent="0.25">
      <c r="P271" s="5"/>
      <c r="S271" s="14" t="s">
        <v>1139</v>
      </c>
      <c r="T271" s="173">
        <f>IF(T233&gt;0,[1]Protect!$B$36,0)</f>
        <v>0</v>
      </c>
      <c r="U271" s="173"/>
      <c r="V271" s="173"/>
      <c r="W271" s="173">
        <f>W233</f>
        <v>100</v>
      </c>
      <c r="X271" s="173">
        <f>T271*W271</f>
        <v>0</v>
      </c>
      <c r="Z271" s="245"/>
      <c r="AA271" s="245"/>
      <c r="AB271" s="245"/>
      <c r="AC271" s="245"/>
      <c r="AD271" s="246"/>
      <c r="AE271" s="253"/>
      <c r="AF271" s="253"/>
      <c r="AG271" s="245"/>
      <c r="AH271" s="245"/>
      <c r="AI271" s="245"/>
      <c r="AJ271" s="245"/>
      <c r="AK271" s="5"/>
    </row>
    <row r="272" spans="16:37" x14ac:dyDescent="0.25">
      <c r="P272" s="5"/>
      <c r="S272" s="14" t="s">
        <v>1140</v>
      </c>
      <c r="T272" s="173">
        <f>T234*[1]Protect!$B$17/100</f>
        <v>140.47499999999999</v>
      </c>
      <c r="U272" s="173"/>
      <c r="V272" s="173"/>
      <c r="W272" s="173">
        <f>W234</f>
        <v>6</v>
      </c>
      <c r="X272" s="173">
        <f>T272*W272</f>
        <v>842.84999999999991</v>
      </c>
      <c r="Z272" s="245"/>
      <c r="AA272" s="245"/>
      <c r="AB272" s="245"/>
      <c r="AC272" s="245"/>
      <c r="AD272" s="245"/>
      <c r="AE272" s="245"/>
      <c r="AF272" s="245"/>
      <c r="AG272" s="245"/>
      <c r="AH272" s="245"/>
      <c r="AI272" s="245"/>
      <c r="AJ272" s="245"/>
      <c r="AK272" s="5"/>
    </row>
    <row r="273" spans="16:37" x14ac:dyDescent="0.25">
      <c r="P273" s="5"/>
      <c r="S273" s="14" t="s">
        <v>1141</v>
      </c>
      <c r="T273" s="173">
        <f>T240*[1]Protect!$B$17/100</f>
        <v>0</v>
      </c>
      <c r="U273" s="173"/>
      <c r="V273" s="173"/>
      <c r="W273" s="173">
        <f>W240</f>
        <v>0.75</v>
      </c>
      <c r="X273" s="173">
        <f>T273*W273</f>
        <v>0</v>
      </c>
      <c r="Z273" s="245"/>
      <c r="AA273" s="245"/>
      <c r="AB273" s="245"/>
      <c r="AC273" s="245"/>
      <c r="AD273" s="245"/>
      <c r="AE273" s="245"/>
      <c r="AF273" s="245"/>
      <c r="AG273" s="245"/>
      <c r="AH273" s="245"/>
      <c r="AI273" s="245"/>
      <c r="AJ273" s="245"/>
      <c r="AK273" s="5"/>
    </row>
    <row r="274" spans="16:37" x14ac:dyDescent="0.25">
      <c r="P274" s="5"/>
      <c r="Q274" s="254"/>
      <c r="S274" s="14" t="s">
        <v>1102</v>
      </c>
      <c r="T274" s="173">
        <f>IF(T235&gt;0,[1]Protect!$B$85*T235,0)</f>
        <v>0.4</v>
      </c>
      <c r="U274" s="173"/>
      <c r="V274" s="173"/>
      <c r="W274" s="173">
        <f>W271</f>
        <v>100</v>
      </c>
      <c r="X274" s="173">
        <f>T274*W274</f>
        <v>40</v>
      </c>
      <c r="Y274" s="245"/>
      <c r="Z274" s="245"/>
      <c r="AA274" s="245"/>
      <c r="AB274" s="245"/>
      <c r="AC274" s="245"/>
      <c r="AD274" s="245"/>
      <c r="AE274" s="245"/>
      <c r="AF274" s="245"/>
      <c r="AG274" s="245"/>
      <c r="AH274" s="245"/>
      <c r="AI274" s="245"/>
      <c r="AJ274" s="245"/>
      <c r="AK274" s="5"/>
    </row>
    <row r="275" spans="16:37" x14ac:dyDescent="0.25">
      <c r="P275" s="5"/>
      <c r="Q275" s="247"/>
      <c r="S275" s="14" t="s">
        <v>1103</v>
      </c>
      <c r="T275" s="173">
        <f>T236</f>
        <v>0</v>
      </c>
      <c r="U275" s="173"/>
      <c r="V275" s="173"/>
      <c r="W275" s="173">
        <f>[1]Protect!$B$42</f>
        <v>200</v>
      </c>
      <c r="X275" s="173">
        <f>T275*W275</f>
        <v>0</v>
      </c>
      <c r="Y275" s="245"/>
      <c r="Z275" s="32"/>
      <c r="AA275" s="245"/>
      <c r="AB275" s="255"/>
      <c r="AC275" s="245"/>
      <c r="AD275" s="245"/>
      <c r="AE275" s="245"/>
      <c r="AF275" s="245"/>
      <c r="AG275" s="245"/>
      <c r="AH275" s="245"/>
      <c r="AI275" s="245"/>
      <c r="AJ275" s="245"/>
      <c r="AK275" s="5"/>
    </row>
    <row r="276" spans="16:37" x14ac:dyDescent="0.25">
      <c r="P276" s="5"/>
      <c r="Q276" s="247"/>
      <c r="R276" s="248"/>
      <c r="S276" s="256"/>
      <c r="T276" s="249"/>
      <c r="U276" s="249"/>
      <c r="V276" s="249"/>
      <c r="W276" s="249"/>
      <c r="X276" s="245"/>
      <c r="Y276" s="245"/>
      <c r="Z276" s="32"/>
      <c r="AA276" s="245"/>
      <c r="AB276" s="245"/>
      <c r="AC276" s="245"/>
      <c r="AD276" s="245"/>
      <c r="AE276" s="245"/>
      <c r="AF276" s="245"/>
      <c r="AG276" s="245"/>
      <c r="AH276" s="245"/>
      <c r="AI276" s="245"/>
      <c r="AJ276" s="245"/>
      <c r="AK276" s="5"/>
    </row>
    <row r="277" spans="16:37" x14ac:dyDescent="0.25">
      <c r="P277" s="5"/>
      <c r="Q277" s="247"/>
      <c r="R277" s="248"/>
      <c r="S277" s="256"/>
      <c r="T277" s="249"/>
      <c r="U277" s="249"/>
      <c r="V277" s="249"/>
      <c r="W277" s="249"/>
      <c r="X277" s="249"/>
      <c r="Y277" s="245"/>
      <c r="Z277" s="32"/>
      <c r="AA277" s="245"/>
      <c r="AB277" s="245"/>
      <c r="AC277" s="245"/>
      <c r="AD277" s="245"/>
      <c r="AE277" s="245"/>
      <c r="AF277" s="245"/>
      <c r="AG277" s="245"/>
      <c r="AH277" s="245"/>
      <c r="AI277" s="245"/>
      <c r="AJ277" s="245"/>
      <c r="AK277" s="5"/>
    </row>
    <row r="278" spans="16:37" x14ac:dyDescent="0.25">
      <c r="P278" s="5"/>
      <c r="Q278" s="216"/>
      <c r="R278" s="245"/>
      <c r="S278" s="245"/>
      <c r="T278" s="245"/>
      <c r="U278" s="245"/>
      <c r="V278" s="245"/>
      <c r="W278" s="245"/>
      <c r="X278" s="245"/>
      <c r="Y278" s="245"/>
      <c r="Z278" s="32"/>
      <c r="AA278" s="245"/>
      <c r="AB278" s="245"/>
      <c r="AC278" s="245"/>
      <c r="AD278" s="245"/>
      <c r="AE278" s="245"/>
      <c r="AF278" s="245"/>
      <c r="AG278" s="245"/>
      <c r="AH278" s="245"/>
      <c r="AI278" s="245"/>
      <c r="AJ278" s="245"/>
      <c r="AK278" s="5"/>
    </row>
    <row r="279" spans="16:37" x14ac:dyDescent="0.25">
      <c r="P279" s="5"/>
      <c r="Q279" s="254"/>
      <c r="R279" s="246"/>
      <c r="S279" s="246"/>
      <c r="T279" s="245"/>
      <c r="U279" s="245"/>
      <c r="V279" s="245"/>
      <c r="W279" s="245"/>
      <c r="X279" s="245"/>
      <c r="Y279" s="245"/>
      <c r="Z279" s="245"/>
      <c r="AA279" s="245"/>
      <c r="AB279" s="245"/>
      <c r="AC279" s="245"/>
      <c r="AD279" s="245"/>
      <c r="AE279" s="245"/>
      <c r="AF279" s="245"/>
      <c r="AG279" s="245"/>
      <c r="AH279" s="245"/>
      <c r="AI279" s="245"/>
      <c r="AJ279" s="245"/>
      <c r="AK279" s="5"/>
    </row>
    <row r="280" spans="16:37" x14ac:dyDescent="0.25">
      <c r="P280" s="5"/>
      <c r="Q280" s="216"/>
      <c r="R280" s="257"/>
      <c r="S280" s="245"/>
      <c r="T280" s="245"/>
      <c r="U280" s="245"/>
      <c r="V280" s="245"/>
      <c r="W280" s="245"/>
      <c r="X280" s="245"/>
      <c r="Y280" s="245"/>
      <c r="Z280" s="245"/>
      <c r="AA280" s="245"/>
      <c r="AB280" s="245"/>
      <c r="AC280" s="245"/>
      <c r="AD280" s="245"/>
      <c r="AE280" s="245"/>
      <c r="AF280" s="245"/>
      <c r="AG280" s="245"/>
      <c r="AH280" s="245"/>
      <c r="AI280" s="245"/>
      <c r="AJ280" s="245"/>
      <c r="AK280" s="5"/>
    </row>
    <row r="281" spans="16:37" x14ac:dyDescent="0.25">
      <c r="P281" s="5"/>
      <c r="Q281" s="216"/>
      <c r="R281" s="245"/>
      <c r="S281" s="245"/>
      <c r="T281" s="245"/>
      <c r="U281" s="245"/>
      <c r="V281" s="245"/>
      <c r="W281" s="245"/>
      <c r="X281" s="245"/>
      <c r="Y281" s="245"/>
      <c r="Z281" s="245"/>
      <c r="AA281" s="245"/>
      <c r="AB281" s="245"/>
      <c r="AC281" s="245"/>
      <c r="AD281" s="245"/>
      <c r="AE281" s="245"/>
      <c r="AF281" s="245"/>
      <c r="AG281" s="245"/>
      <c r="AH281" s="245"/>
      <c r="AI281" s="245"/>
      <c r="AJ281" s="245"/>
      <c r="AK281" s="5"/>
    </row>
    <row r="282" spans="16:37" x14ac:dyDescent="0.25">
      <c r="P282" s="5"/>
      <c r="Q282" s="216"/>
      <c r="R282" s="245"/>
      <c r="S282" s="245"/>
      <c r="T282" s="245"/>
      <c r="U282" s="245"/>
      <c r="V282" s="245"/>
      <c r="W282" s="245"/>
      <c r="X282" s="245"/>
      <c r="Y282" s="245"/>
      <c r="Z282" s="245"/>
      <c r="AA282" s="245"/>
      <c r="AB282" s="245"/>
      <c r="AC282" s="245"/>
      <c r="AD282" s="245"/>
      <c r="AE282" s="245"/>
      <c r="AF282" s="245"/>
      <c r="AG282" s="245"/>
      <c r="AH282" s="245"/>
      <c r="AI282" s="245"/>
      <c r="AJ282" s="245"/>
      <c r="AK282" s="5"/>
    </row>
    <row r="283" spans="16:37" x14ac:dyDescent="0.25">
      <c r="P283" s="5"/>
      <c r="Q283" s="216"/>
      <c r="R283" s="245"/>
      <c r="S283" s="245"/>
      <c r="T283" s="245"/>
      <c r="U283" s="245"/>
      <c r="V283" s="245"/>
      <c r="W283" s="245"/>
      <c r="X283" s="245"/>
      <c r="Y283" s="245"/>
      <c r="Z283" s="245"/>
      <c r="AA283" s="245"/>
      <c r="AB283" s="245"/>
      <c r="AC283" s="245"/>
      <c r="AD283" s="245"/>
      <c r="AE283" s="245"/>
      <c r="AF283" s="245"/>
      <c r="AG283" s="245"/>
      <c r="AH283" s="245"/>
      <c r="AI283" s="245"/>
      <c r="AJ283" s="245"/>
      <c r="AK283" s="5"/>
    </row>
    <row r="284" spans="16:37" x14ac:dyDescent="0.25">
      <c r="P284" s="5"/>
      <c r="Q284" s="216"/>
      <c r="R284" s="245"/>
      <c r="S284" s="245"/>
      <c r="T284" s="245"/>
      <c r="U284" s="245"/>
      <c r="V284" s="245"/>
      <c r="W284" s="245"/>
      <c r="X284" s="245"/>
      <c r="Y284" s="245"/>
      <c r="Z284" s="245"/>
      <c r="AA284" s="245"/>
      <c r="AB284" s="245"/>
      <c r="AC284" s="245"/>
      <c r="AD284" s="245"/>
      <c r="AE284" s="245"/>
      <c r="AF284" s="245"/>
      <c r="AG284" s="245"/>
      <c r="AH284" s="245"/>
      <c r="AI284" s="245"/>
      <c r="AJ284" s="245"/>
      <c r="AK284" s="5"/>
    </row>
    <row r="285" spans="16:37" x14ac:dyDescent="0.25">
      <c r="P285" s="5"/>
      <c r="Q285" s="216"/>
      <c r="R285" s="245"/>
      <c r="S285" s="245"/>
      <c r="T285" s="245"/>
      <c r="U285" s="245"/>
      <c r="V285" s="245"/>
      <c r="W285" s="245"/>
      <c r="X285" s="245"/>
      <c r="Y285" s="245"/>
      <c r="Z285" s="245"/>
      <c r="AA285" s="245"/>
      <c r="AB285" s="245"/>
      <c r="AC285" s="245"/>
      <c r="AD285" s="245"/>
      <c r="AE285" s="245"/>
      <c r="AF285" s="245"/>
      <c r="AG285" s="245"/>
      <c r="AH285" s="245"/>
      <c r="AI285" s="245"/>
      <c r="AJ285" s="245"/>
      <c r="AK285" s="5"/>
    </row>
    <row r="286" spans="16:37" x14ac:dyDescent="0.25">
      <c r="P286" s="5"/>
      <c r="Q286" s="216"/>
      <c r="R286" s="245"/>
      <c r="S286" s="245"/>
      <c r="T286" s="245"/>
      <c r="U286" s="245"/>
      <c r="V286" s="245"/>
      <c r="W286" s="245"/>
      <c r="X286" s="245"/>
      <c r="Y286" s="245"/>
      <c r="Z286" s="245"/>
      <c r="AA286" s="245"/>
      <c r="AB286" s="245"/>
      <c r="AC286" s="245"/>
      <c r="AD286" s="245"/>
      <c r="AE286" s="245"/>
      <c r="AF286" s="245"/>
      <c r="AG286" s="245"/>
      <c r="AH286" s="245"/>
      <c r="AI286" s="245"/>
      <c r="AJ286" s="245"/>
      <c r="AK286" s="5"/>
    </row>
    <row r="287" spans="16:37" x14ac:dyDescent="0.25">
      <c r="P287" s="5"/>
      <c r="Q287" s="216"/>
      <c r="R287" s="245"/>
      <c r="S287" s="245"/>
      <c r="T287" s="245"/>
      <c r="U287" s="245"/>
      <c r="V287" s="245"/>
      <c r="W287" s="245"/>
      <c r="X287" s="245"/>
      <c r="Y287" s="245"/>
      <c r="Z287" s="245"/>
      <c r="AA287" s="245"/>
      <c r="AB287" s="245"/>
      <c r="AC287" s="245"/>
      <c r="AD287" s="245"/>
      <c r="AE287" s="245"/>
      <c r="AF287" s="245"/>
      <c r="AG287" s="245"/>
      <c r="AH287" s="245"/>
      <c r="AI287" s="245"/>
      <c r="AJ287" s="245"/>
      <c r="AK287" s="5"/>
    </row>
    <row r="288" spans="16:37" x14ac:dyDescent="0.25">
      <c r="P288" s="5"/>
      <c r="Q288" s="216"/>
      <c r="R288" s="245"/>
      <c r="S288" s="245"/>
      <c r="T288" s="245"/>
      <c r="U288" s="245"/>
      <c r="V288" s="245"/>
      <c r="W288" s="5"/>
      <c r="X288" s="5"/>
      <c r="Y288" s="5"/>
      <c r="Z288" s="5"/>
      <c r="AA288" s="5"/>
      <c r="AB288" s="5"/>
      <c r="AC288" s="5"/>
      <c r="AD288" s="5"/>
      <c r="AE288" s="245"/>
      <c r="AF288" s="245"/>
      <c r="AG288" s="245"/>
      <c r="AH288" s="245"/>
      <c r="AI288" s="245"/>
      <c r="AJ288" s="245"/>
      <c r="AK288" s="5"/>
    </row>
    <row r="289" spans="17:34" x14ac:dyDescent="0.25">
      <c r="Q289" s="15"/>
      <c r="AH289" s="184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zoomScale="110" zoomScaleNormal="110" workbookViewId="0">
      <selection activeCell="D300" sqref="D300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273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488</v>
      </c>
      <c r="C1" s="275" t="str">
        <f>Scénario!K1</f>
        <v>Z1_OLBV_T3F_MC1s1</v>
      </c>
      <c r="D1" s="275" t="str">
        <f>CONCATENATE(C1,"_corr")</f>
        <v>Z1_OLBV_T3F_MC1s1_corr</v>
      </c>
    </row>
    <row r="2" spans="2:4" x14ac:dyDescent="0.25">
      <c r="B2" s="14" t="s">
        <v>489</v>
      </c>
      <c r="C2" s="177" t="str">
        <f>Scénario!K2</f>
        <v>Exploit. Ind.</v>
      </c>
      <c r="D2" s="177" t="str">
        <f t="shared" ref="D2:D61" si="0">C2</f>
        <v>Exploit. Ind.</v>
      </c>
    </row>
    <row r="3" spans="2:4" x14ac:dyDescent="0.25">
      <c r="B3" s="14" t="s">
        <v>492</v>
      </c>
      <c r="C3" s="177">
        <f>Scénario!K3</f>
        <v>0</v>
      </c>
      <c r="D3" s="177">
        <f t="shared" si="0"/>
        <v>0</v>
      </c>
    </row>
    <row r="4" spans="2:4" x14ac:dyDescent="0.25">
      <c r="B4" s="14" t="s">
        <v>495</v>
      </c>
      <c r="C4" s="177">
        <f>Scénario!K4</f>
        <v>2</v>
      </c>
      <c r="D4" s="177">
        <f t="shared" si="0"/>
        <v>2</v>
      </c>
    </row>
    <row r="5" spans="2:4" x14ac:dyDescent="0.25">
      <c r="B5" s="14" t="s">
        <v>497</v>
      </c>
      <c r="C5" s="177">
        <f>Scénario!K5</f>
        <v>0.5</v>
      </c>
      <c r="D5" s="177">
        <f t="shared" si="0"/>
        <v>0.5</v>
      </c>
    </row>
    <row r="6" spans="2:4" x14ac:dyDescent="0.25">
      <c r="B6" s="14" t="s">
        <v>500</v>
      </c>
      <c r="C6" s="177">
        <f>Scénario!K6</f>
        <v>0</v>
      </c>
      <c r="D6" s="177">
        <f t="shared" si="0"/>
        <v>0</v>
      </c>
    </row>
    <row r="7" spans="2:4" x14ac:dyDescent="0.25">
      <c r="B7" s="14" t="s">
        <v>506</v>
      </c>
      <c r="C7" s="177">
        <f>Scénario!K8</f>
        <v>1</v>
      </c>
      <c r="D7" s="177">
        <f t="shared" si="0"/>
        <v>1</v>
      </c>
    </row>
    <row r="8" spans="2:4" x14ac:dyDescent="0.25">
      <c r="B8" s="14" t="s">
        <v>509</v>
      </c>
      <c r="C8" s="177" t="str">
        <f>Scénario!K9</f>
        <v>M1</v>
      </c>
      <c r="D8" s="177" t="str">
        <f t="shared" si="0"/>
        <v>M1</v>
      </c>
    </row>
    <row r="9" spans="2:4" x14ac:dyDescent="0.25">
      <c r="B9" s="14" t="s">
        <v>513</v>
      </c>
      <c r="C9" s="177">
        <f>Scénario!K10</f>
        <v>1</v>
      </c>
      <c r="D9" s="177">
        <f t="shared" si="0"/>
        <v>1</v>
      </c>
    </row>
    <row r="10" spans="2:4" x14ac:dyDescent="0.25">
      <c r="B10" s="14" t="s">
        <v>517</v>
      </c>
      <c r="C10" s="177">
        <f>Scénario!K11</f>
        <v>1</v>
      </c>
      <c r="D10" s="177">
        <f t="shared" si="0"/>
        <v>1</v>
      </c>
    </row>
    <row r="11" spans="2:4" x14ac:dyDescent="0.25">
      <c r="B11" s="14" t="s">
        <v>520</v>
      </c>
      <c r="C11" s="177" t="str">
        <f>Scénario!K12</f>
        <v>OL/BV</v>
      </c>
      <c r="D11" s="177" t="str">
        <f t="shared" si="0"/>
        <v>OL/BV</v>
      </c>
    </row>
    <row r="12" spans="2:4" x14ac:dyDescent="0.25">
      <c r="B12" s="14" t="s">
        <v>499</v>
      </c>
      <c r="C12" s="177" t="str">
        <f>Scénario!K13</f>
        <v>T3</v>
      </c>
      <c r="D12" s="177" t="str">
        <f t="shared" si="0"/>
        <v>T3</v>
      </c>
    </row>
    <row r="13" spans="2:4" x14ac:dyDescent="0.25">
      <c r="B13" s="32" t="s">
        <v>529</v>
      </c>
      <c r="C13" s="177">
        <f>Scénario!K16</f>
        <v>100</v>
      </c>
      <c r="D13" s="177">
        <f t="shared" si="0"/>
        <v>100</v>
      </c>
    </row>
    <row r="14" spans="2:4" x14ac:dyDescent="0.25">
      <c r="B14" s="14" t="s">
        <v>532</v>
      </c>
      <c r="C14" s="177">
        <f>Scénario!K17</f>
        <v>1</v>
      </c>
      <c r="D14" s="177">
        <f t="shared" si="0"/>
        <v>1</v>
      </c>
    </row>
    <row r="15" spans="2:4" x14ac:dyDescent="0.25">
      <c r="B15" s="14" t="s">
        <v>535</v>
      </c>
      <c r="C15" s="177">
        <f>Scénario!K18</f>
        <v>0</v>
      </c>
      <c r="D15" s="177">
        <f t="shared" si="0"/>
        <v>0</v>
      </c>
    </row>
    <row r="16" spans="2:4" x14ac:dyDescent="0.25">
      <c r="B16" s="14" t="s">
        <v>537</v>
      </c>
      <c r="C16" s="177">
        <f>Scénario!K19</f>
        <v>0</v>
      </c>
      <c r="D16" s="177">
        <f t="shared" si="0"/>
        <v>0</v>
      </c>
    </row>
    <row r="17" spans="2:5" x14ac:dyDescent="0.25">
      <c r="B17" s="14" t="s">
        <v>538</v>
      </c>
      <c r="C17" s="177">
        <f>Scénario!K20</f>
        <v>0</v>
      </c>
      <c r="D17" s="177">
        <f t="shared" si="0"/>
        <v>0</v>
      </c>
    </row>
    <row r="18" spans="2:5" x14ac:dyDescent="0.25">
      <c r="B18" s="14" t="s">
        <v>551</v>
      </c>
      <c r="C18" s="177">
        <f>Scénario!K28</f>
        <v>23.5</v>
      </c>
      <c r="D18" s="177">
        <f t="shared" si="0"/>
        <v>23.5</v>
      </c>
    </row>
    <row r="19" spans="2:5" x14ac:dyDescent="0.25">
      <c r="B19" s="14" t="s">
        <v>552</v>
      </c>
      <c r="C19" s="177">
        <f>Scénario!K29</f>
        <v>16</v>
      </c>
      <c r="D19" s="177">
        <f t="shared" si="0"/>
        <v>16</v>
      </c>
    </row>
    <row r="20" spans="2:5" x14ac:dyDescent="0.25">
      <c r="B20" s="14" t="s">
        <v>553</v>
      </c>
      <c r="C20" s="177">
        <f>Scénario!K30</f>
        <v>0</v>
      </c>
      <c r="D20" s="177">
        <f t="shared" si="0"/>
        <v>0</v>
      </c>
    </row>
    <row r="21" spans="2:5" x14ac:dyDescent="0.25">
      <c r="B21" s="14" t="s">
        <v>554</v>
      </c>
      <c r="C21" s="177">
        <f>Scénario!K31</f>
        <v>10</v>
      </c>
      <c r="D21" s="177">
        <f t="shared" si="0"/>
        <v>10</v>
      </c>
    </row>
    <row r="22" spans="2:5" x14ac:dyDescent="0.25">
      <c r="B22" s="14" t="s">
        <v>1390</v>
      </c>
      <c r="C22" s="177" t="str">
        <f>Scénario!K53</f>
        <v>OL</v>
      </c>
      <c r="D22" s="177" t="str">
        <f t="shared" si="0"/>
        <v>OL</v>
      </c>
    </row>
    <row r="23" spans="2:5" x14ac:dyDescent="0.25">
      <c r="B23" s="14" t="s">
        <v>569</v>
      </c>
      <c r="C23" s="177">
        <f>Scénario!K54</f>
        <v>3.5</v>
      </c>
      <c r="D23" s="177">
        <f t="shared" si="0"/>
        <v>3.5</v>
      </c>
    </row>
    <row r="24" spans="2:5" x14ac:dyDescent="0.25">
      <c r="B24" s="14" t="s">
        <v>570</v>
      </c>
      <c r="C24" s="177">
        <f>Scénario!K55</f>
        <v>36</v>
      </c>
      <c r="D24" s="177">
        <f t="shared" si="0"/>
        <v>36</v>
      </c>
    </row>
    <row r="25" spans="2:5" x14ac:dyDescent="0.25">
      <c r="B25" s="14" t="s">
        <v>571</v>
      </c>
      <c r="C25" s="177">
        <f>Scénario!K56</f>
        <v>5</v>
      </c>
      <c r="D25" s="177">
        <f t="shared" si="0"/>
        <v>5</v>
      </c>
    </row>
    <row r="26" spans="2:5" x14ac:dyDescent="0.25">
      <c r="B26" s="14" t="s">
        <v>574</v>
      </c>
      <c r="C26" s="177" t="str">
        <f>Scénario!K57</f>
        <v>4. présence 1 éleveur</v>
      </c>
      <c r="D26" s="177" t="str">
        <f t="shared" si="0"/>
        <v>4. présence 1 éleveur</v>
      </c>
    </row>
    <row r="27" spans="2:5" x14ac:dyDescent="0.25">
      <c r="B27" s="14" t="s">
        <v>577</v>
      </c>
      <c r="C27" s="177">
        <f>Scénario!K58</f>
        <v>2</v>
      </c>
      <c r="D27" s="177">
        <f t="shared" si="0"/>
        <v>2</v>
      </c>
    </row>
    <row r="28" spans="2:5" x14ac:dyDescent="0.25">
      <c r="B28" s="14" t="s">
        <v>579</v>
      </c>
      <c r="C28" s="177">
        <f>Scénario!K59</f>
        <v>1</v>
      </c>
      <c r="D28" s="177">
        <f t="shared" si="0"/>
        <v>1</v>
      </c>
    </row>
    <row r="29" spans="2:5" x14ac:dyDescent="0.25">
      <c r="B29" s="14" t="s">
        <v>1380</v>
      </c>
      <c r="C29" s="177">
        <f>Scénario!K51</f>
        <v>0</v>
      </c>
      <c r="D29" s="177">
        <f t="shared" si="0"/>
        <v>0</v>
      </c>
    </row>
    <row r="30" spans="2:5" x14ac:dyDescent="0.25">
      <c r="B30" s="14" t="s">
        <v>601</v>
      </c>
      <c r="C30" s="177" t="str">
        <f>Scénario!K60</f>
        <v>BV</v>
      </c>
      <c r="D30" s="177" t="str">
        <f t="shared" si="0"/>
        <v>BV</v>
      </c>
    </row>
    <row r="31" spans="2:5" x14ac:dyDescent="0.25">
      <c r="B31" s="14" t="s">
        <v>582</v>
      </c>
      <c r="C31" s="177">
        <f>Scénario!K61</f>
        <v>0</v>
      </c>
      <c r="D31" s="177">
        <f t="shared" si="0"/>
        <v>0</v>
      </c>
    </row>
    <row r="32" spans="2:5" x14ac:dyDescent="0.25">
      <c r="B32" s="14" t="s">
        <v>584</v>
      </c>
      <c r="C32" s="177">
        <f>Scénario!K62</f>
        <v>0</v>
      </c>
      <c r="D32" s="177">
        <f t="shared" si="0"/>
        <v>0</v>
      </c>
      <c r="E32" s="14"/>
    </row>
    <row r="33" spans="2:5" x14ac:dyDescent="0.25">
      <c r="B33" s="14" t="s">
        <v>585</v>
      </c>
      <c r="C33" s="177" t="str">
        <f>Scénario!K64</f>
        <v>1. 1 visite par semaine</v>
      </c>
      <c r="D33" s="177" t="str">
        <f t="shared" si="0"/>
        <v>1. 1 visite par semaine</v>
      </c>
    </row>
    <row r="34" spans="2:5" x14ac:dyDescent="0.25">
      <c r="B34" s="14" t="s">
        <v>1391</v>
      </c>
      <c r="C34" s="177">
        <f>Scénario!K65</f>
        <v>0</v>
      </c>
      <c r="D34" s="177">
        <f t="shared" si="0"/>
        <v>0</v>
      </c>
    </row>
    <row r="35" spans="2:5" x14ac:dyDescent="0.25">
      <c r="B35" s="14" t="s">
        <v>586</v>
      </c>
      <c r="C35" s="177">
        <f>Scénario!K66</f>
        <v>0</v>
      </c>
      <c r="D35" s="177">
        <f t="shared" si="0"/>
        <v>0</v>
      </c>
    </row>
    <row r="36" spans="2:5" x14ac:dyDescent="0.25">
      <c r="B36" s="14" t="s">
        <v>587</v>
      </c>
      <c r="C36" s="177">
        <f>Scénario!K67</f>
        <v>0</v>
      </c>
      <c r="D36" s="177">
        <f t="shared" si="0"/>
        <v>0</v>
      </c>
    </row>
    <row r="37" spans="2:5" x14ac:dyDescent="0.25">
      <c r="B37" s="14" t="s">
        <v>588</v>
      </c>
      <c r="C37" s="177">
        <f>Scénario!K69</f>
        <v>0</v>
      </c>
      <c r="D37" s="177">
        <f t="shared" si="0"/>
        <v>0</v>
      </c>
    </row>
    <row r="38" spans="2:5" x14ac:dyDescent="0.25">
      <c r="B38" s="14" t="s">
        <v>589</v>
      </c>
      <c r="C38" s="177">
        <f>Scénario!K70</f>
        <v>0</v>
      </c>
      <c r="D38" s="177">
        <f t="shared" si="0"/>
        <v>0</v>
      </c>
      <c r="E38" s="14"/>
    </row>
    <row r="39" spans="2:5" x14ac:dyDescent="0.25">
      <c r="B39" s="14" t="s">
        <v>590</v>
      </c>
      <c r="C39" s="177">
        <f>Scénario!K71</f>
        <v>0</v>
      </c>
      <c r="D39" s="177">
        <f t="shared" si="0"/>
        <v>0</v>
      </c>
      <c r="E39" s="14"/>
    </row>
    <row r="40" spans="2:5" x14ac:dyDescent="0.25">
      <c r="B40" s="14" t="s">
        <v>591</v>
      </c>
      <c r="C40" s="177">
        <f>Scénario!K72</f>
        <v>0</v>
      </c>
      <c r="D40" s="177">
        <f t="shared" si="0"/>
        <v>0</v>
      </c>
      <c r="E40" s="14"/>
    </row>
    <row r="41" spans="2:5" x14ac:dyDescent="0.25">
      <c r="B41" s="14" t="s">
        <v>592</v>
      </c>
      <c r="C41" s="177">
        <f>Scénario!K73</f>
        <v>0</v>
      </c>
      <c r="D41" s="177">
        <f t="shared" si="0"/>
        <v>0</v>
      </c>
      <c r="E41" s="14"/>
    </row>
    <row r="42" spans="2:5" x14ac:dyDescent="0.25">
      <c r="B42" s="14" t="s">
        <v>1392</v>
      </c>
      <c r="C42" s="177" t="str">
        <f>Scénario!K75</f>
        <v>OL</v>
      </c>
      <c r="D42" s="177" t="str">
        <f t="shared" si="0"/>
        <v>OL</v>
      </c>
      <c r="E42" s="14"/>
    </row>
    <row r="43" spans="2:5" x14ac:dyDescent="0.25">
      <c r="B43" s="14" t="s">
        <v>597</v>
      </c>
      <c r="C43" s="177">
        <f>Scénario!K76</f>
        <v>0</v>
      </c>
      <c r="D43" s="177">
        <f t="shared" si="0"/>
        <v>0</v>
      </c>
      <c r="E43" s="14"/>
    </row>
    <row r="44" spans="2:5" x14ac:dyDescent="0.25">
      <c r="B44" s="14" t="s">
        <v>599</v>
      </c>
      <c r="C44" s="177">
        <f>Scénario!K77</f>
        <v>0</v>
      </c>
      <c r="D44" s="177">
        <f t="shared" si="0"/>
        <v>0</v>
      </c>
      <c r="E44" s="14"/>
    </row>
    <row r="45" spans="2:5" x14ac:dyDescent="0.25">
      <c r="B45" s="14" t="s">
        <v>1393</v>
      </c>
      <c r="C45" s="177" t="str">
        <f>Scénario!K78</f>
        <v>BV</v>
      </c>
      <c r="D45" s="177" t="str">
        <f t="shared" si="0"/>
        <v>BV</v>
      </c>
      <c r="E45" s="14"/>
    </row>
    <row r="46" spans="2:5" x14ac:dyDescent="0.25">
      <c r="B46" s="14" t="s">
        <v>603</v>
      </c>
      <c r="C46" s="177">
        <f>Scénario!K79</f>
        <v>0</v>
      </c>
      <c r="D46" s="177">
        <f t="shared" si="0"/>
        <v>0</v>
      </c>
      <c r="E46" s="14"/>
    </row>
    <row r="47" spans="2:5" x14ac:dyDescent="0.25">
      <c r="B47" s="14" t="s">
        <v>604</v>
      </c>
      <c r="C47" s="177">
        <f>Scénario!K80</f>
        <v>0</v>
      </c>
      <c r="D47" s="177">
        <f t="shared" si="0"/>
        <v>0</v>
      </c>
      <c r="E47" s="14"/>
    </row>
    <row r="48" spans="2:5" x14ac:dyDescent="0.25">
      <c r="B48" s="14" t="s">
        <v>1394</v>
      </c>
      <c r="C48" s="177">
        <f>Scénario!K81</f>
        <v>0</v>
      </c>
      <c r="D48" s="177">
        <f t="shared" si="0"/>
        <v>0</v>
      </c>
      <c r="E48" s="14"/>
    </row>
    <row r="49" spans="1:132" x14ac:dyDescent="0.25">
      <c r="B49" s="14" t="s">
        <v>605</v>
      </c>
      <c r="C49" s="177">
        <f>Scénario!K82</f>
        <v>0</v>
      </c>
      <c r="D49" s="177">
        <f t="shared" si="0"/>
        <v>0</v>
      </c>
      <c r="E49" s="14"/>
    </row>
    <row r="50" spans="1:132" x14ac:dyDescent="0.25">
      <c r="B50" s="14" t="s">
        <v>608</v>
      </c>
      <c r="C50" s="177">
        <f>Scénario!K83</f>
        <v>0</v>
      </c>
      <c r="D50" s="177">
        <f t="shared" si="0"/>
        <v>0</v>
      </c>
      <c r="E50" s="14"/>
    </row>
    <row r="51" spans="1:132" x14ac:dyDescent="0.25">
      <c r="B51" s="14" t="s">
        <v>618</v>
      </c>
      <c r="C51" s="177">
        <f>Scénario!K87</f>
        <v>1</v>
      </c>
      <c r="D51" s="177">
        <f t="shared" si="0"/>
        <v>1</v>
      </c>
      <c r="E51" s="14"/>
    </row>
    <row r="52" spans="1:132" x14ac:dyDescent="0.25">
      <c r="B52" s="19" t="s">
        <v>596</v>
      </c>
      <c r="C52" s="177">
        <f>Scénario!K84</f>
        <v>2</v>
      </c>
      <c r="D52" s="177">
        <f t="shared" si="0"/>
        <v>2</v>
      </c>
      <c r="E52" s="14"/>
    </row>
    <row r="53" spans="1:132" x14ac:dyDescent="0.25">
      <c r="B53" s="14" t="s">
        <v>606</v>
      </c>
      <c r="C53" s="177">
        <f>Scénario!K88</f>
        <v>1</v>
      </c>
      <c r="D53" s="177">
        <f t="shared" si="0"/>
        <v>1</v>
      </c>
      <c r="E53" s="14"/>
    </row>
    <row r="54" spans="1:132" x14ac:dyDescent="0.25">
      <c r="B54" s="14" t="s">
        <v>623</v>
      </c>
      <c r="C54" s="177">
        <f>Scénario!K89</f>
        <v>1</v>
      </c>
      <c r="D54" s="177">
        <f t="shared" si="0"/>
        <v>1</v>
      </c>
      <c r="E54" s="14"/>
    </row>
    <row r="55" spans="1:132" x14ac:dyDescent="0.25">
      <c r="B55" s="14" t="s">
        <v>623</v>
      </c>
      <c r="C55" s="177">
        <f>Scénario!K90</f>
        <v>0</v>
      </c>
      <c r="D55" s="177">
        <f t="shared" si="0"/>
        <v>0</v>
      </c>
      <c r="E55" s="14"/>
    </row>
    <row r="56" spans="1:132" x14ac:dyDescent="0.25">
      <c r="B56" s="14" t="s">
        <v>607</v>
      </c>
      <c r="C56" s="177">
        <f>Scénario!K91</f>
        <v>0</v>
      </c>
      <c r="D56" s="177">
        <f t="shared" si="0"/>
        <v>0</v>
      </c>
      <c r="E56" s="14"/>
    </row>
    <row r="57" spans="1:132" x14ac:dyDescent="0.25">
      <c r="B57" s="14" t="s">
        <v>625</v>
      </c>
      <c r="C57" s="177">
        <f>Scénario!K92</f>
        <v>0</v>
      </c>
      <c r="D57" s="177">
        <f t="shared" si="0"/>
        <v>0</v>
      </c>
      <c r="E57" s="14"/>
    </row>
    <row r="58" spans="1:132" x14ac:dyDescent="0.25">
      <c r="B58" s="14" t="s">
        <v>626</v>
      </c>
      <c r="C58" s="177">
        <f>Scénario!K93</f>
        <v>0</v>
      </c>
      <c r="D58" s="177">
        <f t="shared" si="0"/>
        <v>0</v>
      </c>
      <c r="E58" s="14"/>
    </row>
    <row r="59" spans="1:132" x14ac:dyDescent="0.25">
      <c r="B59" s="14" t="s">
        <v>627</v>
      </c>
      <c r="C59" s="177">
        <f>Scénario!K94</f>
        <v>2</v>
      </c>
      <c r="D59" s="177">
        <f t="shared" si="0"/>
        <v>2</v>
      </c>
      <c r="E59" s="14"/>
    </row>
    <row r="60" spans="1:132" x14ac:dyDescent="0.25">
      <c r="B60" s="14" t="s">
        <v>637</v>
      </c>
      <c r="C60" s="177">
        <f>Scénario!K127</f>
        <v>0</v>
      </c>
      <c r="D60" s="177">
        <f t="shared" si="0"/>
        <v>0</v>
      </c>
      <c r="E60" s="14"/>
    </row>
    <row r="61" spans="1:132" x14ac:dyDescent="0.25">
      <c r="B61" s="14" t="s">
        <v>638</v>
      </c>
      <c r="C61" s="177">
        <f>Scénario!K129</f>
        <v>1</v>
      </c>
      <c r="D61" s="177">
        <f t="shared" si="0"/>
        <v>1</v>
      </c>
      <c r="E61" s="14"/>
    </row>
    <row r="62" spans="1:132" x14ac:dyDescent="0.25">
      <c r="A62" s="2" t="s">
        <v>1142</v>
      </c>
      <c r="B62" s="14" t="s">
        <v>1143</v>
      </c>
      <c r="C62" s="173" t="str">
        <f>Scénario!K12</f>
        <v>OL/BV</v>
      </c>
      <c r="D62" s="173" t="str">
        <f>C62</f>
        <v>OL/BV</v>
      </c>
      <c r="AS62" s="40" t="s">
        <v>568</v>
      </c>
      <c r="AT62" s="173" t="str">
        <f>Troupeau!B3</f>
        <v>OL</v>
      </c>
      <c r="AU62" s="173">
        <f>IF(AT62="OL",1,IF(AT62="BV",2,IF(AT62="BL",3,IF(AT62="EQ",4,0))))</f>
        <v>1</v>
      </c>
      <c r="AV62" s="273"/>
      <c r="AW62" s="273"/>
      <c r="AX62" s="273"/>
      <c r="AY62" s="273"/>
      <c r="AZ62" s="273"/>
      <c r="BA62" s="273"/>
      <c r="BB62" s="273"/>
      <c r="BC62" s="273"/>
      <c r="BD62" s="273"/>
      <c r="BE62" s="273"/>
      <c r="BF62" s="273"/>
      <c r="BG62" s="273"/>
      <c r="BH62" s="273"/>
      <c r="BI62" s="273"/>
      <c r="BJ62" s="273"/>
      <c r="BK62" s="273"/>
      <c r="BL62" s="273"/>
      <c r="BM62" s="273"/>
      <c r="BN62" s="273"/>
      <c r="BO62" s="273"/>
      <c r="BP62" s="273"/>
      <c r="BQ62" s="273"/>
      <c r="BR62" s="273"/>
      <c r="BS62" s="273"/>
      <c r="BY62" s="40" t="s">
        <v>601</v>
      </c>
      <c r="BZ62" s="173" t="str">
        <f>Troupeau!C3</f>
        <v>BV</v>
      </c>
      <c r="CA62" s="173">
        <f>IF(BZ62="OL",1,IF(BZ62="BV",2,IF(BZ62="BL",3,IF(BZ62="EQ",4,0))))</f>
        <v>2</v>
      </c>
      <c r="CB62" s="273"/>
      <c r="CC62" s="273"/>
      <c r="CD62" s="273"/>
      <c r="CE62" s="273"/>
      <c r="CF62" s="273"/>
      <c r="CG62" s="273"/>
      <c r="CH62" s="273"/>
      <c r="CI62" s="273"/>
      <c r="CJ62" s="273"/>
      <c r="CK62" s="273"/>
      <c r="CL62" s="273"/>
      <c r="CM62" s="273"/>
      <c r="CN62" s="273"/>
      <c r="CO62" s="273"/>
      <c r="CP62" s="273"/>
      <c r="CQ62" s="273"/>
      <c r="CR62" s="273"/>
      <c r="CS62" s="273"/>
      <c r="CT62" s="273"/>
      <c r="CU62" s="273"/>
      <c r="CV62" s="273"/>
      <c r="CW62" s="273"/>
      <c r="CX62" s="273"/>
      <c r="CY62" s="273"/>
      <c r="DB62" s="40" t="s">
        <v>738</v>
      </c>
      <c r="DC62" s="173">
        <f>Troupeau!D3</f>
        <v>0</v>
      </c>
      <c r="DD62" s="173">
        <f>IF(DC62="OL",1,IF(DC62="BV",2,IF(DC62="BL",3,IF(DC62="EQ",4,0))))</f>
        <v>0</v>
      </c>
      <c r="DE62" s="273"/>
      <c r="DF62" s="273"/>
      <c r="DG62" s="273"/>
      <c r="DH62" s="273"/>
      <c r="DI62" s="273"/>
      <c r="DJ62" s="273"/>
      <c r="DK62" s="273"/>
      <c r="DL62" s="273"/>
      <c r="DM62" s="273"/>
      <c r="DN62" s="273"/>
      <c r="DO62" s="273"/>
      <c r="DP62" s="273"/>
      <c r="DQ62" s="273"/>
      <c r="DR62" s="273"/>
      <c r="DS62" s="273"/>
      <c r="DT62" s="273"/>
      <c r="DU62" s="273"/>
      <c r="DV62" s="273"/>
      <c r="DW62" s="273"/>
      <c r="DX62" s="273"/>
      <c r="DY62" s="273"/>
      <c r="DZ62" s="273"/>
      <c r="EA62" s="273"/>
      <c r="EB62" s="273"/>
    </row>
    <row r="63" spans="1:132" x14ac:dyDescent="0.25">
      <c r="B63" s="14" t="s">
        <v>1144</v>
      </c>
      <c r="C63" s="173">
        <f>IF(Troupeau!B3="OL",Troupeau!B17,0)</f>
        <v>304</v>
      </c>
      <c r="D63" s="258">
        <f>ROUND(C63*$D$82/$C$82,3)</f>
        <v>291.87</v>
      </c>
      <c r="F63" s="259" t="s">
        <v>1145</v>
      </c>
      <c r="G63">
        <f>D82/C82</f>
        <v>0.96009975062344133</v>
      </c>
      <c r="AT63" s="2" t="s">
        <v>749</v>
      </c>
      <c r="AU63" s="274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749</v>
      </c>
      <c r="CA63" s="274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749</v>
      </c>
      <c r="DD63" s="274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1146</v>
      </c>
      <c r="C64" s="173">
        <f>IF(Troupeau!B3="BL",Troupeau!B17,0)</f>
        <v>0</v>
      </c>
      <c r="D64" s="258">
        <f t="shared" ref="D64:D66" si="1">ROUND(C64*$D$82/$C$82,3)</f>
        <v>0</v>
      </c>
      <c r="F64" s="189" t="s">
        <v>1147</v>
      </c>
      <c r="AT64" s="189" t="str">
        <f>AT87</f>
        <v>brebis</v>
      </c>
      <c r="AU64" s="274"/>
      <c r="AV64" s="173">
        <f>CdTrp1!B15*$G$63</f>
        <v>253.80028190393577</v>
      </c>
      <c r="AW64" s="173">
        <f>CdTrp1!C15*$G$63</f>
        <v>251.26227908489645</v>
      </c>
      <c r="AX64" s="173">
        <f>CdTrp1!D15*$G$63</f>
        <v>248.72427626585707</v>
      </c>
      <c r="AY64" s="173">
        <f>CdTrp1!E15*$G$63</f>
        <v>247.45527485633741</v>
      </c>
      <c r="AZ64" s="173">
        <f>CdTrp1!F15*$G$63</f>
        <v>246.18627344681769</v>
      </c>
      <c r="BA64" s="173">
        <f>CdTrp1!G15*$G$63</f>
        <v>244.91727203729803</v>
      </c>
      <c r="BB64" s="173">
        <f>CdTrp1!H15*$G$63</f>
        <v>243.64827062777837</v>
      </c>
      <c r="BC64" s="173">
        <f>CdTrp1!I15*$G$63</f>
        <v>242.37926921825868</v>
      </c>
      <c r="BD64" s="173">
        <f>CdTrp1!J15*$G$63</f>
        <v>239.84126639921934</v>
      </c>
      <c r="BE64" s="173">
        <f>CdTrp1!K15*$G$63</f>
        <v>244.91727203729803</v>
      </c>
      <c r="BF64" s="173">
        <f>CdTrp1!L15*$G$63</f>
        <v>244.91727203729803</v>
      </c>
      <c r="BG64" s="173">
        <f>CdTrp1!M15*$G$63</f>
        <v>244.91727203729803</v>
      </c>
      <c r="BH64" s="173">
        <f>CdTrp1!N15*$G$63</f>
        <v>244.91727203729803</v>
      </c>
      <c r="BI64" s="173">
        <f>CdTrp1!O15*$G$63</f>
        <v>244.91727203729803</v>
      </c>
      <c r="BJ64" s="173">
        <f>CdTrp1!P15*$G$63</f>
        <v>244.91727203729803</v>
      </c>
      <c r="BK64" s="173">
        <f>CdTrp1!Q15*$G$63</f>
        <v>244.91727203729803</v>
      </c>
      <c r="BL64" s="173">
        <f>CdTrp1!R15*$G$63</f>
        <v>244.91727203729803</v>
      </c>
      <c r="BM64" s="173">
        <f>CdTrp1!S15*$G$63</f>
        <v>244.91727203729803</v>
      </c>
      <c r="BN64" s="173">
        <f>CdTrp1!T15*$G$63</f>
        <v>244.91727203729803</v>
      </c>
      <c r="BO64" s="173">
        <f>CdTrp1!U15*$G$63</f>
        <v>267.75929740865229</v>
      </c>
      <c r="BP64" s="173">
        <f>CdTrp1!V15*$G$63</f>
        <v>267.75929740865229</v>
      </c>
      <c r="BQ64" s="173">
        <f>CdTrp1!W15*$G$63</f>
        <v>253.80028190393577</v>
      </c>
      <c r="BR64" s="173">
        <f>CdTrp1!X15*$G$63</f>
        <v>253.80028190393577</v>
      </c>
      <c r="BS64" s="173">
        <f>CdTrp1!Y15*$G$63</f>
        <v>253.80028190393577</v>
      </c>
      <c r="BZ64" s="189" t="str">
        <f>+CdTrp2!A15</f>
        <v xml:space="preserve">vaches </v>
      </c>
      <c r="CA64" s="274"/>
      <c r="CB64" s="173">
        <f>CdTrp2!B15*$G$63</f>
        <v>13.863840399002493</v>
      </c>
      <c r="CC64" s="173">
        <f>CdTrp2!C15*$G$63</f>
        <v>13.863840399002493</v>
      </c>
      <c r="CD64" s="173">
        <f>CdTrp2!D15*$G$63</f>
        <v>13.863840399002493</v>
      </c>
      <c r="CE64" s="173">
        <f>CdTrp2!E15*$G$63</f>
        <v>13.863840399002493</v>
      </c>
      <c r="CF64" s="173">
        <f>CdTrp2!F15*$G$63</f>
        <v>13.863840399002493</v>
      </c>
      <c r="CG64" s="173">
        <f>CdTrp2!G15*$G$63</f>
        <v>13.863840399002493</v>
      </c>
      <c r="CH64" s="173">
        <f>CdTrp2!H15*$G$63</f>
        <v>13.863840399002493</v>
      </c>
      <c r="CI64" s="173">
        <f>CdTrp2!I15*$G$63</f>
        <v>13.863840399002493</v>
      </c>
      <c r="CJ64" s="173">
        <f>CdTrp2!J15*$G$63</f>
        <v>13.863840399002493</v>
      </c>
      <c r="CK64" s="173">
        <f>CdTrp2!K15*$G$63</f>
        <v>13.863840399002493</v>
      </c>
      <c r="CL64" s="173">
        <f>CdTrp2!L15*$G$63</f>
        <v>13.863840399002493</v>
      </c>
      <c r="CM64" s="173">
        <f>CdTrp2!M15*$G$63</f>
        <v>13.863840399002493</v>
      </c>
      <c r="CN64" s="173">
        <f>CdTrp2!N15*$G$63</f>
        <v>13.863840399002493</v>
      </c>
      <c r="CO64" s="173">
        <f>CdTrp2!O15*$G$63</f>
        <v>13.863840399002493</v>
      </c>
      <c r="CP64" s="173">
        <f>CdTrp2!P15*$G$63</f>
        <v>13.863840399002493</v>
      </c>
      <c r="CQ64" s="173">
        <f>CdTrp2!Q15*$G$63</f>
        <v>13.863840399002493</v>
      </c>
      <c r="CR64" s="173">
        <f>CdTrp2!R15*$G$63</f>
        <v>13.134164588528677</v>
      </c>
      <c r="CS64" s="173">
        <f>CdTrp2!S15*$G$63</f>
        <v>13.134164588528677</v>
      </c>
      <c r="CT64" s="173">
        <f>CdTrp2!T15*$G$63</f>
        <v>13.134164588528677</v>
      </c>
      <c r="CU64" s="173">
        <f>CdTrp2!U15*$G$63</f>
        <v>13.134164588528677</v>
      </c>
      <c r="CV64" s="173">
        <f>CdTrp2!V15*$G$63</f>
        <v>13.863840399002493</v>
      </c>
      <c r="CW64" s="173">
        <f>CdTrp2!W15*$G$63</f>
        <v>13.863840399002493</v>
      </c>
      <c r="CX64" s="173">
        <f>CdTrp2!X15*$G$63</f>
        <v>13.863840399002493</v>
      </c>
      <c r="CY64" s="173">
        <f>CdTrp2!Y15*$G$63</f>
        <v>13.863840399002493</v>
      </c>
      <c r="DC64" s="189" t="str">
        <f>+CdTrp3!A15</f>
        <v>lot1</v>
      </c>
      <c r="DD64" s="274"/>
      <c r="DE64" s="173">
        <f>CdTrp3!B15*$G$63</f>
        <v>0</v>
      </c>
      <c r="DF64" s="173">
        <f>CdTrp3!C15*$G$63</f>
        <v>0</v>
      </c>
      <c r="DG64" s="173">
        <f>CdTrp3!D15*$G$63</f>
        <v>0</v>
      </c>
      <c r="DH64" s="173">
        <f>CdTrp3!E15*$G$63</f>
        <v>0</v>
      </c>
      <c r="DI64" s="173">
        <f>CdTrp3!F15*$G$63</f>
        <v>0</v>
      </c>
      <c r="DJ64" s="173">
        <f>CdTrp3!G15*$G$63</f>
        <v>0</v>
      </c>
      <c r="DK64" s="173">
        <f>CdTrp3!H15*$G$63</f>
        <v>0</v>
      </c>
      <c r="DL64" s="173">
        <f>CdTrp3!I15*$G$63</f>
        <v>0</v>
      </c>
      <c r="DM64" s="173">
        <f>CdTrp3!J15*$G$63</f>
        <v>0</v>
      </c>
      <c r="DN64" s="173">
        <f>CdTrp3!K15*$G$63</f>
        <v>0</v>
      </c>
      <c r="DO64" s="173">
        <f>CdTrp3!L15*$G$63</f>
        <v>0</v>
      </c>
      <c r="DP64" s="173">
        <f>CdTrp3!M15*$G$63</f>
        <v>0</v>
      </c>
      <c r="DQ64" s="173">
        <f>CdTrp3!N15*$G$63</f>
        <v>0</v>
      </c>
      <c r="DR64" s="173">
        <f>CdTrp3!O15*$G$63</f>
        <v>0</v>
      </c>
      <c r="DS64" s="173">
        <f>CdTrp3!P15*$G$63</f>
        <v>0</v>
      </c>
      <c r="DT64" s="173">
        <f>CdTrp3!Q15*$G$63</f>
        <v>0</v>
      </c>
      <c r="DU64" s="173">
        <f>CdTrp3!R15*$G$63</f>
        <v>0</v>
      </c>
      <c r="DV64" s="173">
        <f>CdTrp3!S15*$G$63</f>
        <v>0</v>
      </c>
      <c r="DW64" s="173">
        <f>CdTrp3!T15*$G$63</f>
        <v>0</v>
      </c>
      <c r="DX64" s="173">
        <f>CdTrp3!U15*$G$63</f>
        <v>0</v>
      </c>
      <c r="DY64" s="173">
        <f>CdTrp3!V15*$G$63</f>
        <v>0</v>
      </c>
      <c r="DZ64" s="173">
        <f>CdTrp3!W15*$G$63</f>
        <v>0</v>
      </c>
      <c r="EA64" s="173">
        <f>CdTrp3!X15*$G$63</f>
        <v>0</v>
      </c>
      <c r="EB64" s="173">
        <f>CdTrp3!Y15*$G$63</f>
        <v>0</v>
      </c>
    </row>
    <row r="65" spans="2:132" x14ac:dyDescent="0.25">
      <c r="B65" s="14" t="s">
        <v>1148</v>
      </c>
      <c r="C65" s="173">
        <f>IF(Troupeau!B3="BV",Troupeau!B17,0)+IF(Troupeau!C3="BV",Troupeau!C17,0)</f>
        <v>19</v>
      </c>
      <c r="D65" s="258">
        <f t="shared" si="1"/>
        <v>18.242000000000001</v>
      </c>
      <c r="F65" s="260" t="s">
        <v>1149</v>
      </c>
      <c r="AT65" s="189" t="str">
        <f t="shared" ref="AT65:AT73" si="2">AT88</f>
        <v>vides</v>
      </c>
      <c r="AU65" s="274"/>
      <c r="AV65" s="173">
        <f>CdTrp1!B16*$G$63</f>
        <v>24.1110267808739</v>
      </c>
      <c r="AW65" s="173">
        <f>CdTrp1!C16*$G$63</f>
        <v>24.1110267808739</v>
      </c>
      <c r="AX65" s="173">
        <f>CdTrp1!D16*$G$63</f>
        <v>24.1110267808739</v>
      </c>
      <c r="AY65" s="173">
        <f>CdTrp1!E16*$G$63</f>
        <v>24.1110267808739</v>
      </c>
      <c r="AZ65" s="173">
        <f>CdTrp1!F16*$G$63</f>
        <v>24.1110267808739</v>
      </c>
      <c r="BA65" s="173">
        <f>CdTrp1!G16*$G$63</f>
        <v>24.1110267808739</v>
      </c>
      <c r="BB65" s="173">
        <f>CdTrp1!H16*$G$63</f>
        <v>24.1110267808739</v>
      </c>
      <c r="BC65" s="173">
        <f>CdTrp1!I16*$G$63</f>
        <v>24.1110267808739</v>
      </c>
      <c r="BD65" s="173">
        <f>CdTrp1!J16*$G$63</f>
        <v>24.1110267808739</v>
      </c>
      <c r="BE65" s="173">
        <f>CdTrp1!K16*$G$63</f>
        <v>0</v>
      </c>
      <c r="BF65" s="173">
        <f>CdTrp1!L16*$G$63</f>
        <v>0</v>
      </c>
      <c r="BG65" s="173">
        <f>CdTrp1!M16*$G$63</f>
        <v>0</v>
      </c>
      <c r="BH65" s="173">
        <f>CdTrp1!N16*$G$63</f>
        <v>0</v>
      </c>
      <c r="BI65" s="173">
        <f>CdTrp1!O16*$G$63</f>
        <v>0</v>
      </c>
      <c r="BJ65" s="173">
        <f>CdTrp1!P16*$G$63</f>
        <v>0</v>
      </c>
      <c r="BK65" s="173">
        <f>CdTrp1!Q16*$G$63</f>
        <v>0</v>
      </c>
      <c r="BL65" s="173">
        <f>CdTrp1!R16*$G$63</f>
        <v>0</v>
      </c>
      <c r="BM65" s="173">
        <f>CdTrp1!S16*$G$63</f>
        <v>0</v>
      </c>
      <c r="BN65" s="173">
        <f>CdTrp1!T16*$G$63</f>
        <v>0</v>
      </c>
      <c r="BO65" s="173">
        <f>CdTrp1!U16*$G$63</f>
        <v>24.1110267808739</v>
      </c>
      <c r="BP65" s="173">
        <f>CdTrp1!V16*$G$63</f>
        <v>24.1110267808739</v>
      </c>
      <c r="BQ65" s="173">
        <f>CdTrp1!W16*$G$63</f>
        <v>24.1110267808739</v>
      </c>
      <c r="BR65" s="173">
        <f>CdTrp1!X16*$G$63</f>
        <v>24.1110267808739</v>
      </c>
      <c r="BS65" s="173">
        <f>CdTrp1!Y16*$G$63</f>
        <v>24.1110267808739</v>
      </c>
      <c r="BZ65" s="189" t="str">
        <f>+CdTrp2!A16</f>
        <v>genisses -1an</v>
      </c>
      <c r="CA65" s="274"/>
      <c r="CB65" s="173">
        <f>CdTrp2!B16*$G$63</f>
        <v>0</v>
      </c>
      <c r="CC65" s="173">
        <f>CdTrp2!C16*$G$63</f>
        <v>0</v>
      </c>
      <c r="CD65" s="173">
        <f>CdTrp2!D16*$G$63</f>
        <v>0</v>
      </c>
      <c r="CE65" s="173">
        <f>CdTrp2!E16*$G$63</f>
        <v>0</v>
      </c>
      <c r="CF65" s="173">
        <f>CdTrp2!F16*$G$63</f>
        <v>0</v>
      </c>
      <c r="CG65" s="173">
        <f>CdTrp2!G16*$G$63</f>
        <v>1.4593516209476309</v>
      </c>
      <c r="CH65" s="173">
        <f>CdTrp2!H16*$G$63</f>
        <v>2.9187032418952619</v>
      </c>
      <c r="CI65" s="173">
        <f>CdTrp2!I16*$G$63</f>
        <v>4.3780548628428919</v>
      </c>
      <c r="CJ65" s="173">
        <f>CdTrp2!J16*$G$63</f>
        <v>4.3780548628428919</v>
      </c>
      <c r="CK65" s="173">
        <f>CdTrp2!K16*$G$63</f>
        <v>4.3780548628428919</v>
      </c>
      <c r="CL65" s="173">
        <f>CdTrp2!L16*$G$63</f>
        <v>4.3780548628428919</v>
      </c>
      <c r="CM65" s="173">
        <f>CdTrp2!M16*$G$63</f>
        <v>4.3780548628428919</v>
      </c>
      <c r="CN65" s="173">
        <f>CdTrp2!N16*$G$63</f>
        <v>4.3780548628428919</v>
      </c>
      <c r="CO65" s="173">
        <f>CdTrp2!O16*$G$63</f>
        <v>4.3780548628428919</v>
      </c>
      <c r="CP65" s="173">
        <f>CdTrp2!P16*$G$63</f>
        <v>4.3780548628428919</v>
      </c>
      <c r="CQ65" s="173">
        <f>CdTrp2!Q16*$G$63</f>
        <v>4.3780548628428919</v>
      </c>
      <c r="CR65" s="173">
        <f>CdTrp2!R16*$G$63</f>
        <v>4.3780548628428919</v>
      </c>
      <c r="CS65" s="173">
        <f>CdTrp2!S16*$G$63</f>
        <v>4.3780548628428919</v>
      </c>
      <c r="CT65" s="173">
        <f>CdTrp2!T16*$G$63</f>
        <v>3.6483790523690769</v>
      </c>
      <c r="CU65" s="173">
        <f>CdTrp2!U16*$G$63</f>
        <v>3.6483790523690769</v>
      </c>
      <c r="CV65" s="173">
        <f>CdTrp2!V16*$G$63</f>
        <v>1.4593516209476309</v>
      </c>
      <c r="CW65" s="173">
        <f>CdTrp2!W16*$G$63</f>
        <v>0.72967581047381547</v>
      </c>
      <c r="CX65" s="173">
        <f>CdTrp2!X16*$G$63</f>
        <v>0</v>
      </c>
      <c r="CY65" s="173">
        <f>CdTrp2!Y16*$G$63</f>
        <v>0</v>
      </c>
      <c r="DC65" s="189" t="str">
        <f>+CdTrp3!A16</f>
        <v>lot2</v>
      </c>
      <c r="DD65" s="274"/>
      <c r="DE65" s="173">
        <f>CdTrp3!B16*$G$63</f>
        <v>0</v>
      </c>
      <c r="DF65" s="173">
        <f>CdTrp3!C16*$G$63</f>
        <v>0</v>
      </c>
      <c r="DG65" s="173">
        <f>CdTrp3!D16*$G$63</f>
        <v>0</v>
      </c>
      <c r="DH65" s="173">
        <f>CdTrp3!E16*$G$63</f>
        <v>0</v>
      </c>
      <c r="DI65" s="173">
        <f>CdTrp3!F16*$G$63</f>
        <v>0</v>
      </c>
      <c r="DJ65" s="173">
        <f>CdTrp3!G16*$G$63</f>
        <v>0</v>
      </c>
      <c r="DK65" s="173">
        <f>CdTrp3!H16*$G$63</f>
        <v>0</v>
      </c>
      <c r="DL65" s="173">
        <f>CdTrp3!I16*$G$63</f>
        <v>0</v>
      </c>
      <c r="DM65" s="173">
        <f>CdTrp3!J16*$G$63</f>
        <v>0</v>
      </c>
      <c r="DN65" s="173">
        <f>CdTrp3!K16*$G$63</f>
        <v>0</v>
      </c>
      <c r="DO65" s="173">
        <f>CdTrp3!L16*$G$63</f>
        <v>0</v>
      </c>
      <c r="DP65" s="173">
        <f>CdTrp3!M16*$G$63</f>
        <v>0</v>
      </c>
      <c r="DQ65" s="173">
        <f>CdTrp3!N16*$G$63</f>
        <v>0</v>
      </c>
      <c r="DR65" s="173">
        <f>CdTrp3!O16*$G$63</f>
        <v>0</v>
      </c>
      <c r="DS65" s="173">
        <f>CdTrp3!P16*$G$63</f>
        <v>0</v>
      </c>
      <c r="DT65" s="173">
        <f>CdTrp3!Q16*$G$63</f>
        <v>0</v>
      </c>
      <c r="DU65" s="173">
        <f>CdTrp3!R16*$G$63</f>
        <v>0</v>
      </c>
      <c r="DV65" s="173">
        <f>CdTrp3!S16*$G$63</f>
        <v>0</v>
      </c>
      <c r="DW65" s="173">
        <f>CdTrp3!T16*$G$63</f>
        <v>0</v>
      </c>
      <c r="DX65" s="173">
        <f>CdTrp3!U16*$G$63</f>
        <v>0</v>
      </c>
      <c r="DY65" s="173">
        <f>CdTrp3!V16*$G$63</f>
        <v>0</v>
      </c>
      <c r="DZ65" s="173">
        <f>CdTrp3!W16*$G$63</f>
        <v>0</v>
      </c>
      <c r="EA65" s="173">
        <f>CdTrp3!X16*$G$63</f>
        <v>0</v>
      </c>
      <c r="EB65" s="173">
        <f>CdTrp3!Y16*$G$63</f>
        <v>0</v>
      </c>
    </row>
    <row r="66" spans="2:132" x14ac:dyDescent="0.25">
      <c r="B66" s="14" t="s">
        <v>1150</v>
      </c>
      <c r="C66" s="173">
        <f>IF(Troupeau!D3="EQ",Troupeau!D17,0)+IF(Troupeau!C3="EQ",Troupeau!C17,0)</f>
        <v>0</v>
      </c>
      <c r="D66" s="258">
        <f t="shared" si="1"/>
        <v>0</v>
      </c>
      <c r="AT66" s="189" t="str">
        <f t="shared" si="2"/>
        <v>agnelles</v>
      </c>
      <c r="AU66" s="274"/>
      <c r="AV66" s="173">
        <f>CdTrp1!B17*$G$63</f>
        <v>65.988073295023312</v>
      </c>
      <c r="AW66" s="173">
        <f>CdTrp1!C17*$G$63</f>
        <v>65.988073295023312</v>
      </c>
      <c r="AX66" s="173">
        <f>CdTrp1!D17*$G$63</f>
        <v>65.988073295023312</v>
      </c>
      <c r="AY66" s="173">
        <f>CdTrp1!E17*$G$63</f>
        <v>65.988073295023312</v>
      </c>
      <c r="AZ66" s="173">
        <f>CdTrp1!F17*$G$63</f>
        <v>65.988073295023312</v>
      </c>
      <c r="BA66" s="173">
        <f>CdTrp1!G17*$G$63</f>
        <v>65.988073295023312</v>
      </c>
      <c r="BB66" s="173">
        <f>CdTrp1!H17*$G$63</f>
        <v>65.988073295023312</v>
      </c>
      <c r="BC66" s="173">
        <f>CdTrp1!I17*$G$63</f>
        <v>65.988073295023312</v>
      </c>
      <c r="BD66" s="173">
        <f>CdTrp1!J17*$G$63</f>
        <v>65.988073295023312</v>
      </c>
      <c r="BE66" s="173">
        <f>CdTrp1!K17*$G$63</f>
        <v>65.988073295023312</v>
      </c>
      <c r="BF66" s="173">
        <f>CdTrp1!L17*$G$63</f>
        <v>65.988073295023312</v>
      </c>
      <c r="BG66" s="173">
        <f>CdTrp1!M17*$G$63</f>
        <v>65.988073295023312</v>
      </c>
      <c r="BH66" s="173">
        <f>CdTrp1!N17*$G$63</f>
        <v>65.988073295023312</v>
      </c>
      <c r="BI66" s="173">
        <f>CdTrp1!O17*$G$63</f>
        <v>65.988073295023312</v>
      </c>
      <c r="BJ66" s="173">
        <f>CdTrp1!P17*$G$63</f>
        <v>65.988073295023312</v>
      </c>
      <c r="BK66" s="173">
        <f>CdTrp1!Q17*$G$63</f>
        <v>65.988073295023312</v>
      </c>
      <c r="BL66" s="173">
        <f>CdTrp1!R17*$G$63</f>
        <v>65.988073295023312</v>
      </c>
      <c r="BM66" s="173">
        <f>CdTrp1!S17*$G$63</f>
        <v>65.988073295023312</v>
      </c>
      <c r="BN66" s="173">
        <f>CdTrp1!T17*$G$63</f>
        <v>65.988073295023312</v>
      </c>
      <c r="BO66" s="173">
        <f>CdTrp1!U17*$G$63</f>
        <v>0</v>
      </c>
      <c r="BP66" s="173">
        <f>CdTrp1!V17*$G$63</f>
        <v>0</v>
      </c>
      <c r="BQ66" s="173">
        <f>CdTrp1!W17*$G$63</f>
        <v>65.988073295023312</v>
      </c>
      <c r="BR66" s="173">
        <f>CdTrp1!X17*$G$63</f>
        <v>65.988073295023312</v>
      </c>
      <c r="BS66" s="173">
        <f>CdTrp1!Y17*$G$63</f>
        <v>65.988073295023312</v>
      </c>
      <c r="BZ66" s="189" t="str">
        <f>+CdTrp2!A17</f>
        <v>genisses +1an</v>
      </c>
      <c r="CA66" s="274"/>
      <c r="CB66" s="173">
        <f>CdTrp2!B17*$G$63</f>
        <v>8.7561097256857838</v>
      </c>
      <c r="CC66" s="173">
        <f>CdTrp2!C17*$G$63</f>
        <v>8.7561097256857838</v>
      </c>
      <c r="CD66" s="173">
        <f>CdTrp2!D17*$G$63</f>
        <v>8.7561097256857838</v>
      </c>
      <c r="CE66" s="173">
        <f>CdTrp2!E17*$G$63</f>
        <v>8.7561097256857838</v>
      </c>
      <c r="CF66" s="173">
        <f>CdTrp2!F17*$G$63</f>
        <v>8.7561097256857838</v>
      </c>
      <c r="CG66" s="173">
        <f>CdTrp2!G17*$G$63</f>
        <v>8.7561097256857838</v>
      </c>
      <c r="CH66" s="173">
        <f>CdTrp2!H17*$G$63</f>
        <v>8.7561097256857838</v>
      </c>
      <c r="CI66" s="173">
        <f>CdTrp2!I17*$G$63</f>
        <v>8.7561097256857838</v>
      </c>
      <c r="CJ66" s="173">
        <f>CdTrp2!J17*$G$63</f>
        <v>8.7561097256857838</v>
      </c>
      <c r="CK66" s="173">
        <f>CdTrp2!K17*$G$63</f>
        <v>8.7561097256857838</v>
      </c>
      <c r="CL66" s="173">
        <f>CdTrp2!L17*$G$63</f>
        <v>8.7561097256857838</v>
      </c>
      <c r="CM66" s="173">
        <f>CdTrp2!M17*$G$63</f>
        <v>8.7561097256857838</v>
      </c>
      <c r="CN66" s="173">
        <f>CdTrp2!N17*$G$63</f>
        <v>8.7561097256857838</v>
      </c>
      <c r="CO66" s="173">
        <f>CdTrp2!O17*$G$63</f>
        <v>8.7561097256857838</v>
      </c>
      <c r="CP66" s="173">
        <f>CdTrp2!P17*$G$63</f>
        <v>8.7561097256857838</v>
      </c>
      <c r="CQ66" s="173">
        <f>CdTrp2!Q17*$G$63</f>
        <v>8.7561097256857838</v>
      </c>
      <c r="CR66" s="173">
        <f>CdTrp2!R17*$G$63</f>
        <v>8.7561097256857838</v>
      </c>
      <c r="CS66" s="173">
        <f>CdTrp2!S17*$G$63</f>
        <v>8.7561097256857838</v>
      </c>
      <c r="CT66" s="173">
        <f>CdTrp2!T17*$G$63</f>
        <v>8.7561097256857838</v>
      </c>
      <c r="CU66" s="173">
        <f>CdTrp2!U17*$G$63</f>
        <v>8.7561097256857838</v>
      </c>
      <c r="CV66" s="173">
        <f>CdTrp2!V17*$G$63</f>
        <v>8.7561097256857838</v>
      </c>
      <c r="CW66" s="173">
        <f>CdTrp2!W17*$G$63</f>
        <v>8.7561097256857838</v>
      </c>
      <c r="CX66" s="173">
        <f>CdTrp2!X17*$G$63</f>
        <v>8.7561097256857838</v>
      </c>
      <c r="CY66" s="173">
        <f>CdTrp2!Y17*$G$63</f>
        <v>8.7561097256857838</v>
      </c>
      <c r="DC66" s="189" t="str">
        <f>+CdTrp3!A17</f>
        <v>lot3</v>
      </c>
      <c r="DD66" s="274"/>
      <c r="DE66" s="173">
        <f>CdTrp3!B17*$G$63</f>
        <v>0</v>
      </c>
      <c r="DF66" s="173">
        <f>CdTrp3!C17*$G$63</f>
        <v>0</v>
      </c>
      <c r="DG66" s="173">
        <f>CdTrp3!D17*$G$63</f>
        <v>0</v>
      </c>
      <c r="DH66" s="173">
        <f>CdTrp3!E17*$G$63</f>
        <v>0</v>
      </c>
      <c r="DI66" s="173">
        <f>CdTrp3!F17*$G$63</f>
        <v>0</v>
      </c>
      <c r="DJ66" s="173">
        <f>CdTrp3!G17*$G$63</f>
        <v>0</v>
      </c>
      <c r="DK66" s="173">
        <f>CdTrp3!H17*$G$63</f>
        <v>0</v>
      </c>
      <c r="DL66" s="173">
        <f>CdTrp3!I17*$G$63</f>
        <v>0</v>
      </c>
      <c r="DM66" s="173">
        <f>CdTrp3!J17*$G$63</f>
        <v>0</v>
      </c>
      <c r="DN66" s="173">
        <f>CdTrp3!K17*$G$63</f>
        <v>0</v>
      </c>
      <c r="DO66" s="173">
        <f>CdTrp3!L17*$G$63</f>
        <v>0</v>
      </c>
      <c r="DP66" s="173">
        <f>CdTrp3!M17*$G$63</f>
        <v>0</v>
      </c>
      <c r="DQ66" s="173">
        <f>CdTrp3!N17*$G$63</f>
        <v>0</v>
      </c>
      <c r="DR66" s="173">
        <f>CdTrp3!O17*$G$63</f>
        <v>0</v>
      </c>
      <c r="DS66" s="173">
        <f>CdTrp3!P17*$G$63</f>
        <v>0</v>
      </c>
      <c r="DT66" s="173">
        <f>CdTrp3!Q17*$G$63</f>
        <v>0</v>
      </c>
      <c r="DU66" s="173">
        <f>CdTrp3!R17*$G$63</f>
        <v>0</v>
      </c>
      <c r="DV66" s="173">
        <f>CdTrp3!S17*$G$63</f>
        <v>0</v>
      </c>
      <c r="DW66" s="173">
        <f>CdTrp3!T17*$G$63</f>
        <v>0</v>
      </c>
      <c r="DX66" s="173">
        <f>CdTrp3!U17*$G$63</f>
        <v>0</v>
      </c>
      <c r="DY66" s="173">
        <f>CdTrp3!V17*$G$63</f>
        <v>0</v>
      </c>
      <c r="DZ66" s="173">
        <f>CdTrp3!W17*$G$63</f>
        <v>0</v>
      </c>
      <c r="EA66" s="173">
        <f>CdTrp3!X17*$G$63</f>
        <v>0</v>
      </c>
      <c r="EB66" s="173">
        <f>CdTrp3!Y17*$G$63</f>
        <v>0</v>
      </c>
    </row>
    <row r="67" spans="2:132" x14ac:dyDescent="0.25">
      <c r="B67" s="14" t="s">
        <v>1151</v>
      </c>
      <c r="C67" s="173">
        <f>CdTrp1!AA49</f>
        <v>42.023373913043486</v>
      </c>
      <c r="D67" s="258">
        <f>ROUND(C67*$D$82/$C$82,3)</f>
        <v>40.347000000000001</v>
      </c>
      <c r="AT67" s="189" t="str">
        <f t="shared" si="2"/>
        <v>beliers</v>
      </c>
      <c r="AU67" s="274"/>
      <c r="AV67" s="173">
        <f>CdTrp1!B18*$G$63</f>
        <v>7.6140084571180742</v>
      </c>
      <c r="AW67" s="173">
        <f>CdTrp1!C18*$G$63</f>
        <v>7.6140084571180742</v>
      </c>
      <c r="AX67" s="173">
        <f>CdTrp1!D18*$G$63</f>
        <v>7.6140084571180742</v>
      </c>
      <c r="AY67" s="173">
        <f>CdTrp1!E18*$G$63</f>
        <v>7.6140084571180742</v>
      </c>
      <c r="AZ67" s="173">
        <f>CdTrp1!F18*$G$63</f>
        <v>7.6140084571180742</v>
      </c>
      <c r="BA67" s="173">
        <f>CdTrp1!G18*$G$63</f>
        <v>7.6140084571180742</v>
      </c>
      <c r="BB67" s="173">
        <f>CdTrp1!H18*$G$63</f>
        <v>7.6140084571180742</v>
      </c>
      <c r="BC67" s="173">
        <f>CdTrp1!I18*$G$63</f>
        <v>7.6140084571180742</v>
      </c>
      <c r="BD67" s="173">
        <f>CdTrp1!J18*$G$63</f>
        <v>7.6140084571180742</v>
      </c>
      <c r="BE67" s="173">
        <f>CdTrp1!K18*$G$63</f>
        <v>0</v>
      </c>
      <c r="BF67" s="173">
        <f>CdTrp1!L18*$G$63</f>
        <v>0</v>
      </c>
      <c r="BG67" s="173">
        <f>CdTrp1!M18*$G$63</f>
        <v>0</v>
      </c>
      <c r="BH67" s="173">
        <f>CdTrp1!N18*$G$63</f>
        <v>0</v>
      </c>
      <c r="BI67" s="173">
        <f>CdTrp1!O18*$G$63</f>
        <v>0</v>
      </c>
      <c r="BJ67" s="173">
        <f>CdTrp1!P18*$G$63</f>
        <v>0</v>
      </c>
      <c r="BK67" s="173">
        <f>CdTrp1!Q18*$G$63</f>
        <v>0</v>
      </c>
      <c r="BL67" s="173">
        <f>CdTrp1!R18*$G$63</f>
        <v>0</v>
      </c>
      <c r="BM67" s="173">
        <f>CdTrp1!S18*$G$63</f>
        <v>0</v>
      </c>
      <c r="BN67" s="173">
        <f>CdTrp1!T18*$G$63</f>
        <v>0</v>
      </c>
      <c r="BO67" s="173">
        <f>CdTrp1!U18*$G$63</f>
        <v>7.6140084571180742</v>
      </c>
      <c r="BP67" s="173">
        <f>CdTrp1!V18*$G$63</f>
        <v>7.6140084571180742</v>
      </c>
      <c r="BQ67" s="173">
        <f>CdTrp1!W18*$G$63</f>
        <v>7.6140084571180742</v>
      </c>
      <c r="BR67" s="173">
        <f>CdTrp1!X18*$G$63</f>
        <v>7.6140084571180742</v>
      </c>
      <c r="BS67" s="173">
        <f>CdTrp1!Y18*$G$63</f>
        <v>7.6140084571180742</v>
      </c>
      <c r="BZ67" s="189" t="str">
        <f>+CdTrp2!A18</f>
        <v>lot4</v>
      </c>
      <c r="CA67" s="274"/>
      <c r="CB67" s="173">
        <f>CdTrp2!B18*$G$63</f>
        <v>0</v>
      </c>
      <c r="CC67" s="173">
        <f>CdTrp2!C18*$G$63</f>
        <v>0</v>
      </c>
      <c r="CD67" s="173">
        <f>CdTrp2!D18*$G$63</f>
        <v>0</v>
      </c>
      <c r="CE67" s="173">
        <f>CdTrp2!E18*$G$63</f>
        <v>0</v>
      </c>
      <c r="CF67" s="173">
        <f>CdTrp2!F18*$G$63</f>
        <v>0</v>
      </c>
      <c r="CG67" s="173">
        <f>CdTrp2!G18*$G$63</f>
        <v>0</v>
      </c>
      <c r="CH67" s="173">
        <f>CdTrp2!H18*$G$63</f>
        <v>0</v>
      </c>
      <c r="CI67" s="173">
        <f>CdTrp2!I18*$G$63</f>
        <v>0</v>
      </c>
      <c r="CJ67" s="173">
        <f>CdTrp2!J18*$G$63</f>
        <v>0</v>
      </c>
      <c r="CK67" s="173">
        <f>CdTrp2!K18*$G$63</f>
        <v>0</v>
      </c>
      <c r="CL67" s="173">
        <f>CdTrp2!L18*$G$63</f>
        <v>0</v>
      </c>
      <c r="CM67" s="173">
        <f>CdTrp2!M18*$G$63</f>
        <v>0</v>
      </c>
      <c r="CN67" s="173">
        <f>CdTrp2!N18*$G$63</f>
        <v>0</v>
      </c>
      <c r="CO67" s="173">
        <f>CdTrp2!O18*$G$63</f>
        <v>0</v>
      </c>
      <c r="CP67" s="173">
        <f>CdTrp2!P18*$G$63</f>
        <v>0</v>
      </c>
      <c r="CQ67" s="173">
        <f>CdTrp2!Q18*$G$63</f>
        <v>0</v>
      </c>
      <c r="CR67" s="173">
        <f>CdTrp2!R18*$G$63</f>
        <v>0</v>
      </c>
      <c r="CS67" s="173">
        <f>CdTrp2!S18*$G$63</f>
        <v>0</v>
      </c>
      <c r="CT67" s="173">
        <f>CdTrp2!T18*$G$63</f>
        <v>0</v>
      </c>
      <c r="CU67" s="173">
        <f>CdTrp2!U18*$G$63</f>
        <v>0</v>
      </c>
      <c r="CV67" s="173">
        <f>CdTrp2!V18*$G$63</f>
        <v>0</v>
      </c>
      <c r="CW67" s="173">
        <f>CdTrp2!W18*$G$63</f>
        <v>0</v>
      </c>
      <c r="CX67" s="173">
        <f>CdTrp2!X18*$G$63</f>
        <v>0</v>
      </c>
      <c r="CY67" s="173">
        <f>CdTrp2!Y18*$G$63</f>
        <v>0</v>
      </c>
      <c r="DC67" s="189" t="str">
        <f>+CdTrp3!A18</f>
        <v>lot4</v>
      </c>
      <c r="DD67" s="274"/>
      <c r="DE67" s="173">
        <f>CdTrp3!B18*$G$63</f>
        <v>0</v>
      </c>
      <c r="DF67" s="173">
        <f>CdTrp3!C18*$G$63</f>
        <v>0</v>
      </c>
      <c r="DG67" s="173">
        <f>CdTrp3!D18*$G$63</f>
        <v>0</v>
      </c>
      <c r="DH67" s="173">
        <f>CdTrp3!E18*$G$63</f>
        <v>0</v>
      </c>
      <c r="DI67" s="173">
        <f>CdTrp3!F18*$G$63</f>
        <v>0</v>
      </c>
      <c r="DJ67" s="173">
        <f>CdTrp3!G18*$G$63</f>
        <v>0</v>
      </c>
      <c r="DK67" s="173">
        <f>CdTrp3!H18*$G$63</f>
        <v>0</v>
      </c>
      <c r="DL67" s="173">
        <f>CdTrp3!I18*$G$63</f>
        <v>0</v>
      </c>
      <c r="DM67" s="173">
        <f>CdTrp3!J18*$G$63</f>
        <v>0</v>
      </c>
      <c r="DN67" s="173">
        <f>CdTrp3!K18*$G$63</f>
        <v>0</v>
      </c>
      <c r="DO67" s="173">
        <f>CdTrp3!L18*$G$63</f>
        <v>0</v>
      </c>
      <c r="DP67" s="173">
        <f>CdTrp3!M18*$G$63</f>
        <v>0</v>
      </c>
      <c r="DQ67" s="173">
        <f>CdTrp3!N18*$G$63</f>
        <v>0</v>
      </c>
      <c r="DR67" s="173">
        <f>CdTrp3!O18*$G$63</f>
        <v>0</v>
      </c>
      <c r="DS67" s="173">
        <f>CdTrp3!P18*$G$63</f>
        <v>0</v>
      </c>
      <c r="DT67" s="173">
        <f>CdTrp3!Q18*$G$63</f>
        <v>0</v>
      </c>
      <c r="DU67" s="173">
        <f>CdTrp3!R18*$G$63</f>
        <v>0</v>
      </c>
      <c r="DV67" s="173">
        <f>CdTrp3!S18*$G$63</f>
        <v>0</v>
      </c>
      <c r="DW67" s="173">
        <f>CdTrp3!T18*$G$63</f>
        <v>0</v>
      </c>
      <c r="DX67" s="173">
        <f>CdTrp3!U18*$G$63</f>
        <v>0</v>
      </c>
      <c r="DY67" s="173">
        <f>CdTrp3!V18*$G$63</f>
        <v>0</v>
      </c>
      <c r="DZ67" s="173">
        <f>CdTrp3!W18*$G$63</f>
        <v>0</v>
      </c>
      <c r="EA67" s="173">
        <f>CdTrp3!X18*$G$63</f>
        <v>0</v>
      </c>
      <c r="EB67" s="173">
        <f>CdTrp3!Y18*$G$63</f>
        <v>0</v>
      </c>
    </row>
    <row r="68" spans="2:132" x14ac:dyDescent="0.25">
      <c r="B68" s="14" t="s">
        <v>1152</v>
      </c>
      <c r="C68" s="173">
        <f>CdTrp2!AA49</f>
        <v>20.170019999999997</v>
      </c>
      <c r="D68" s="258">
        <f>ROUND(C68*$D$82/$C$82,3)</f>
        <v>19.364999999999998</v>
      </c>
      <c r="AT68" s="189" t="str">
        <f t="shared" si="2"/>
        <v>lot5</v>
      </c>
      <c r="AU68" s="274"/>
      <c r="AV68" s="173">
        <f>CdTrp1!B19*$G$63</f>
        <v>0</v>
      </c>
      <c r="AW68" s="173">
        <f>CdTrp1!C19*$G$63</f>
        <v>0</v>
      </c>
      <c r="AX68" s="173">
        <f>CdTrp1!D19*$G$63</f>
        <v>0</v>
      </c>
      <c r="AY68" s="173">
        <f>CdTrp1!E19*$G$63</f>
        <v>0</v>
      </c>
      <c r="AZ68" s="173">
        <f>CdTrp1!F19*$G$63</f>
        <v>0</v>
      </c>
      <c r="BA68" s="173">
        <f>CdTrp1!G19*$G$63</f>
        <v>0</v>
      </c>
      <c r="BB68" s="173">
        <f>CdTrp1!H19*$G$63</f>
        <v>0</v>
      </c>
      <c r="BC68" s="173">
        <f>CdTrp1!I19*$G$63</f>
        <v>0</v>
      </c>
      <c r="BD68" s="173">
        <f>CdTrp1!J19*$G$63</f>
        <v>0</v>
      </c>
      <c r="BE68" s="173">
        <f>CdTrp1!K19*$G$63</f>
        <v>0</v>
      </c>
      <c r="BF68" s="173">
        <f>CdTrp1!L19*$G$63</f>
        <v>0</v>
      </c>
      <c r="BG68" s="173">
        <f>CdTrp1!M19*$G$63</f>
        <v>0</v>
      </c>
      <c r="BH68" s="173">
        <f>CdTrp1!N19*$G$63</f>
        <v>0</v>
      </c>
      <c r="BI68" s="173">
        <f>CdTrp1!O19*$G$63</f>
        <v>0</v>
      </c>
      <c r="BJ68" s="173">
        <f>CdTrp1!P19*$G$63</f>
        <v>0</v>
      </c>
      <c r="BK68" s="173">
        <f>CdTrp1!Q19*$G$63</f>
        <v>0</v>
      </c>
      <c r="BL68" s="173">
        <f>CdTrp1!R19*$G$63</f>
        <v>0</v>
      </c>
      <c r="BM68" s="173">
        <f>CdTrp1!S19*$G$63</f>
        <v>0</v>
      </c>
      <c r="BN68" s="173">
        <f>CdTrp1!T19*$G$63</f>
        <v>0</v>
      </c>
      <c r="BO68" s="173">
        <f>CdTrp1!U19*$G$63</f>
        <v>0</v>
      </c>
      <c r="BP68" s="173">
        <f>CdTrp1!V19*$G$63</f>
        <v>0</v>
      </c>
      <c r="BQ68" s="173">
        <f>CdTrp1!W19*$G$63</f>
        <v>0</v>
      </c>
      <c r="BR68" s="173">
        <f>CdTrp1!X19*$G$63</f>
        <v>0</v>
      </c>
      <c r="BS68" s="173">
        <f>CdTrp1!Y19*$G$63</f>
        <v>0</v>
      </c>
      <c r="BZ68" s="189" t="str">
        <f>+CdTrp2!A19</f>
        <v>lot5</v>
      </c>
      <c r="CA68" s="274"/>
      <c r="CB68" s="173">
        <f>CdTrp2!B19*$G$63</f>
        <v>0</v>
      </c>
      <c r="CC68" s="173">
        <f>CdTrp2!C19*$G$63</f>
        <v>0</v>
      </c>
      <c r="CD68" s="173">
        <f>CdTrp2!D19*$G$63</f>
        <v>0</v>
      </c>
      <c r="CE68" s="173">
        <f>CdTrp2!E19*$G$63</f>
        <v>0</v>
      </c>
      <c r="CF68" s="173">
        <f>CdTrp2!F19*$G$63</f>
        <v>0</v>
      </c>
      <c r="CG68" s="173">
        <f>CdTrp2!G19*$G$63</f>
        <v>0</v>
      </c>
      <c r="CH68" s="173">
        <f>CdTrp2!H19*$G$63</f>
        <v>0</v>
      </c>
      <c r="CI68" s="173">
        <f>CdTrp2!I19*$G$63</f>
        <v>0</v>
      </c>
      <c r="CJ68" s="173">
        <f>CdTrp2!J19*$G$63</f>
        <v>0</v>
      </c>
      <c r="CK68" s="173">
        <f>CdTrp2!K19*$G$63</f>
        <v>0</v>
      </c>
      <c r="CL68" s="173">
        <f>CdTrp2!L19*$G$63</f>
        <v>0</v>
      </c>
      <c r="CM68" s="173">
        <f>CdTrp2!M19*$G$63</f>
        <v>0</v>
      </c>
      <c r="CN68" s="173">
        <f>CdTrp2!N19*$G$63</f>
        <v>0</v>
      </c>
      <c r="CO68" s="173">
        <f>CdTrp2!O19*$G$63</f>
        <v>0</v>
      </c>
      <c r="CP68" s="173">
        <f>CdTrp2!P19*$G$63</f>
        <v>0</v>
      </c>
      <c r="CQ68" s="173">
        <f>CdTrp2!Q19*$G$63</f>
        <v>0</v>
      </c>
      <c r="CR68" s="173">
        <f>CdTrp2!R19*$G$63</f>
        <v>0</v>
      </c>
      <c r="CS68" s="173">
        <f>CdTrp2!S19*$G$63</f>
        <v>0</v>
      </c>
      <c r="CT68" s="173">
        <f>CdTrp2!T19*$G$63</f>
        <v>0</v>
      </c>
      <c r="CU68" s="173">
        <f>CdTrp2!U19*$G$63</f>
        <v>0</v>
      </c>
      <c r="CV68" s="173">
        <f>CdTrp2!V19*$G$63</f>
        <v>0</v>
      </c>
      <c r="CW68" s="173">
        <f>CdTrp2!W19*$G$63</f>
        <v>0</v>
      </c>
      <c r="CX68" s="173">
        <f>CdTrp2!X19*$G$63</f>
        <v>0</v>
      </c>
      <c r="CY68" s="173">
        <f>CdTrp2!Y19*$G$63</f>
        <v>0</v>
      </c>
      <c r="DC68" s="189" t="str">
        <f>+CdTrp3!A19</f>
        <v>lot5</v>
      </c>
      <c r="DD68" s="274"/>
      <c r="DE68" s="173">
        <f>CdTrp3!B19*$G$63</f>
        <v>0</v>
      </c>
      <c r="DF68" s="173">
        <f>CdTrp3!C19*$G$63</f>
        <v>0</v>
      </c>
      <c r="DG68" s="173">
        <f>CdTrp3!D19*$G$63</f>
        <v>0</v>
      </c>
      <c r="DH68" s="173">
        <f>CdTrp3!E19*$G$63</f>
        <v>0</v>
      </c>
      <c r="DI68" s="173">
        <f>CdTrp3!F19*$G$63</f>
        <v>0</v>
      </c>
      <c r="DJ68" s="173">
        <f>CdTrp3!G19*$G$63</f>
        <v>0</v>
      </c>
      <c r="DK68" s="173">
        <f>CdTrp3!H19*$G$63</f>
        <v>0</v>
      </c>
      <c r="DL68" s="173">
        <f>CdTrp3!I19*$G$63</f>
        <v>0</v>
      </c>
      <c r="DM68" s="173">
        <f>CdTrp3!J19*$G$63</f>
        <v>0</v>
      </c>
      <c r="DN68" s="173">
        <f>CdTrp3!K19*$G$63</f>
        <v>0</v>
      </c>
      <c r="DO68" s="173">
        <f>CdTrp3!L19*$G$63</f>
        <v>0</v>
      </c>
      <c r="DP68" s="173">
        <f>CdTrp3!M19*$G$63</f>
        <v>0</v>
      </c>
      <c r="DQ68" s="173">
        <f>CdTrp3!N19*$G$63</f>
        <v>0</v>
      </c>
      <c r="DR68" s="173">
        <f>CdTrp3!O19*$G$63</f>
        <v>0</v>
      </c>
      <c r="DS68" s="173">
        <f>CdTrp3!P19*$G$63</f>
        <v>0</v>
      </c>
      <c r="DT68" s="173">
        <f>CdTrp3!Q19*$G$63</f>
        <v>0</v>
      </c>
      <c r="DU68" s="173">
        <f>CdTrp3!R19*$G$63</f>
        <v>0</v>
      </c>
      <c r="DV68" s="173">
        <f>CdTrp3!S19*$G$63</f>
        <v>0</v>
      </c>
      <c r="DW68" s="173">
        <f>CdTrp3!T19*$G$63</f>
        <v>0</v>
      </c>
      <c r="DX68" s="173">
        <f>CdTrp3!U19*$G$63</f>
        <v>0</v>
      </c>
      <c r="DY68" s="173">
        <f>CdTrp3!V19*$G$63</f>
        <v>0</v>
      </c>
      <c r="DZ68" s="173">
        <f>CdTrp3!W19*$G$63</f>
        <v>0</v>
      </c>
      <c r="EA68" s="173">
        <f>CdTrp3!X19*$G$63</f>
        <v>0</v>
      </c>
      <c r="EB68" s="173">
        <f>CdTrp3!Y19*$G$63</f>
        <v>0</v>
      </c>
    </row>
    <row r="69" spans="2:132" x14ac:dyDescent="0.25">
      <c r="B69" s="14" t="s">
        <v>1153</v>
      </c>
      <c r="C69" s="173">
        <f>CdTrp3!AA49</f>
        <v>0</v>
      </c>
      <c r="D69" s="258">
        <f>ROUND(C69*$D$82/$C$82,3)</f>
        <v>0</v>
      </c>
      <c r="AT69" s="189" t="str">
        <f t="shared" si="2"/>
        <v>lot6</v>
      </c>
      <c r="AU69" s="274"/>
      <c r="AV69" s="173">
        <f>CdTrp1!B20*$G$63</f>
        <v>0</v>
      </c>
      <c r="AW69" s="173">
        <f>CdTrp1!C20*$G$63</f>
        <v>0</v>
      </c>
      <c r="AX69" s="173">
        <f>CdTrp1!D20*$G$63</f>
        <v>0</v>
      </c>
      <c r="AY69" s="173">
        <f>CdTrp1!E20*$G$63</f>
        <v>0</v>
      </c>
      <c r="AZ69" s="173">
        <f>CdTrp1!F20*$G$63</f>
        <v>0</v>
      </c>
      <c r="BA69" s="173">
        <f>CdTrp1!G20*$G$63</f>
        <v>0</v>
      </c>
      <c r="BB69" s="173">
        <f>CdTrp1!H20*$G$63</f>
        <v>0</v>
      </c>
      <c r="BC69" s="173">
        <f>CdTrp1!I20*$G$63</f>
        <v>0</v>
      </c>
      <c r="BD69" s="173">
        <f>CdTrp1!J20*$G$63</f>
        <v>0</v>
      </c>
      <c r="BE69" s="173">
        <f>CdTrp1!K20*$G$63</f>
        <v>0</v>
      </c>
      <c r="BF69" s="173">
        <f>CdTrp1!L20*$G$63</f>
        <v>0</v>
      </c>
      <c r="BG69" s="173">
        <f>CdTrp1!M20*$G$63</f>
        <v>0</v>
      </c>
      <c r="BH69" s="173">
        <f>CdTrp1!N20*$G$63</f>
        <v>0</v>
      </c>
      <c r="BI69" s="173">
        <f>CdTrp1!O20*$G$63</f>
        <v>0</v>
      </c>
      <c r="BJ69" s="173">
        <f>CdTrp1!P20*$G$63</f>
        <v>0</v>
      </c>
      <c r="BK69" s="173">
        <f>CdTrp1!Q20*$G$63</f>
        <v>0</v>
      </c>
      <c r="BL69" s="173">
        <f>CdTrp1!R20*$G$63</f>
        <v>0</v>
      </c>
      <c r="BM69" s="173">
        <f>CdTrp1!S20*$G$63</f>
        <v>0</v>
      </c>
      <c r="BN69" s="173">
        <f>CdTrp1!T20*$G$63</f>
        <v>0</v>
      </c>
      <c r="BO69" s="173">
        <f>CdTrp1!U20*$G$63</f>
        <v>0</v>
      </c>
      <c r="BP69" s="173">
        <f>CdTrp1!V20*$G$63</f>
        <v>0</v>
      </c>
      <c r="BQ69" s="173">
        <f>CdTrp1!W20*$G$63</f>
        <v>0</v>
      </c>
      <c r="BR69" s="173">
        <f>CdTrp1!X20*$G$63</f>
        <v>0</v>
      </c>
      <c r="BS69" s="173">
        <f>CdTrp1!Y20*$G$63</f>
        <v>0</v>
      </c>
      <c r="BZ69" s="189" t="str">
        <f>+CdTrp2!A20</f>
        <v>lot6</v>
      </c>
      <c r="CA69" s="274"/>
      <c r="CB69" s="173">
        <f>CdTrp2!B20*$G$63</f>
        <v>0</v>
      </c>
      <c r="CC69" s="173">
        <f>CdTrp2!C20*$G$63</f>
        <v>0</v>
      </c>
      <c r="CD69" s="173">
        <f>CdTrp2!D20*$G$63</f>
        <v>0</v>
      </c>
      <c r="CE69" s="173">
        <f>CdTrp2!E20*$G$63</f>
        <v>0</v>
      </c>
      <c r="CF69" s="173">
        <f>CdTrp2!F20*$G$63</f>
        <v>0</v>
      </c>
      <c r="CG69" s="173">
        <f>CdTrp2!G20*$G$63</f>
        <v>0</v>
      </c>
      <c r="CH69" s="173">
        <f>CdTrp2!H20*$G$63</f>
        <v>0</v>
      </c>
      <c r="CI69" s="173">
        <f>CdTrp2!I20*$G$63</f>
        <v>0</v>
      </c>
      <c r="CJ69" s="173">
        <f>CdTrp2!J20*$G$63</f>
        <v>0</v>
      </c>
      <c r="CK69" s="173">
        <f>CdTrp2!K20*$G$63</f>
        <v>0</v>
      </c>
      <c r="CL69" s="173">
        <f>CdTrp2!L20*$G$63</f>
        <v>0</v>
      </c>
      <c r="CM69" s="173">
        <f>CdTrp2!M20*$G$63</f>
        <v>0</v>
      </c>
      <c r="CN69" s="173">
        <f>CdTrp2!N20*$G$63</f>
        <v>0</v>
      </c>
      <c r="CO69" s="173">
        <f>CdTrp2!O20*$G$63</f>
        <v>0</v>
      </c>
      <c r="CP69" s="173">
        <f>CdTrp2!P20*$G$63</f>
        <v>0</v>
      </c>
      <c r="CQ69" s="173">
        <f>CdTrp2!Q20*$G$63</f>
        <v>0</v>
      </c>
      <c r="CR69" s="173">
        <f>CdTrp2!R20*$G$63</f>
        <v>0</v>
      </c>
      <c r="CS69" s="173">
        <f>CdTrp2!S20*$G$63</f>
        <v>0</v>
      </c>
      <c r="CT69" s="173">
        <f>CdTrp2!T20*$G$63</f>
        <v>0</v>
      </c>
      <c r="CU69" s="173">
        <f>CdTrp2!U20*$G$63</f>
        <v>0</v>
      </c>
      <c r="CV69" s="173">
        <f>CdTrp2!V20*$G$63</f>
        <v>0</v>
      </c>
      <c r="CW69" s="173">
        <f>CdTrp2!W20*$G$63</f>
        <v>0</v>
      </c>
      <c r="CX69" s="173">
        <f>CdTrp2!X20*$G$63</f>
        <v>0</v>
      </c>
      <c r="CY69" s="173">
        <f>CdTrp2!Y20*$G$63</f>
        <v>0</v>
      </c>
      <c r="DC69" s="189" t="str">
        <f>+CdTrp3!A20</f>
        <v>lot6</v>
      </c>
      <c r="DD69" s="274"/>
      <c r="DE69" s="173">
        <f>CdTrp3!B20*$G$63</f>
        <v>0</v>
      </c>
      <c r="DF69" s="173">
        <f>CdTrp3!C20*$G$63</f>
        <v>0</v>
      </c>
      <c r="DG69" s="173">
        <f>CdTrp3!D20*$G$63</f>
        <v>0</v>
      </c>
      <c r="DH69" s="173">
        <f>CdTrp3!E20*$G$63</f>
        <v>0</v>
      </c>
      <c r="DI69" s="173">
        <f>CdTrp3!F20*$G$63</f>
        <v>0</v>
      </c>
      <c r="DJ69" s="173">
        <f>CdTrp3!G20*$G$63</f>
        <v>0</v>
      </c>
      <c r="DK69" s="173">
        <f>CdTrp3!H20*$G$63</f>
        <v>0</v>
      </c>
      <c r="DL69" s="173">
        <f>CdTrp3!I20*$G$63</f>
        <v>0</v>
      </c>
      <c r="DM69" s="173">
        <f>CdTrp3!J20*$G$63</f>
        <v>0</v>
      </c>
      <c r="DN69" s="173">
        <f>CdTrp3!K20*$G$63</f>
        <v>0</v>
      </c>
      <c r="DO69" s="173">
        <f>CdTrp3!L20*$G$63</f>
        <v>0</v>
      </c>
      <c r="DP69" s="173">
        <f>CdTrp3!M20*$G$63</f>
        <v>0</v>
      </c>
      <c r="DQ69" s="173">
        <f>CdTrp3!N20*$G$63</f>
        <v>0</v>
      </c>
      <c r="DR69" s="173">
        <f>CdTrp3!O20*$G$63</f>
        <v>0</v>
      </c>
      <c r="DS69" s="173">
        <f>CdTrp3!P20*$G$63</f>
        <v>0</v>
      </c>
      <c r="DT69" s="173">
        <f>CdTrp3!Q20*$G$63</f>
        <v>0</v>
      </c>
      <c r="DU69" s="173">
        <f>CdTrp3!R20*$G$63</f>
        <v>0</v>
      </c>
      <c r="DV69" s="173">
        <f>CdTrp3!S20*$G$63</f>
        <v>0</v>
      </c>
      <c r="DW69" s="173">
        <f>CdTrp3!T20*$G$63</f>
        <v>0</v>
      </c>
      <c r="DX69" s="173">
        <f>CdTrp3!U20*$G$63</f>
        <v>0</v>
      </c>
      <c r="DY69" s="173">
        <f>CdTrp3!V20*$G$63</f>
        <v>0</v>
      </c>
      <c r="DZ69" s="173">
        <f>CdTrp3!W20*$G$63</f>
        <v>0</v>
      </c>
      <c r="EA69" s="173">
        <f>CdTrp3!X20*$G$63</f>
        <v>0</v>
      </c>
      <c r="EB69" s="173">
        <f>CdTrp3!Y20*$G$63</f>
        <v>0</v>
      </c>
    </row>
    <row r="70" spans="2:132" x14ac:dyDescent="0.25">
      <c r="B70" s="14" t="s">
        <v>1154</v>
      </c>
      <c r="C70" s="173">
        <f>SUM(C67:C69)</f>
        <v>62.193393913043479</v>
      </c>
      <c r="D70" s="258">
        <f>ROUND(C70*$D$82/$C$82,3)</f>
        <v>59.712000000000003</v>
      </c>
      <c r="AT70" s="189" t="str">
        <f t="shared" si="2"/>
        <v>lot7</v>
      </c>
      <c r="AU70" s="274"/>
      <c r="AV70" s="173">
        <f>CdTrp1!B21*$G$63</f>
        <v>0</v>
      </c>
      <c r="AW70" s="173">
        <f>CdTrp1!C21*$G$63</f>
        <v>0</v>
      </c>
      <c r="AX70" s="173">
        <f>CdTrp1!D21*$G$63</f>
        <v>0</v>
      </c>
      <c r="AY70" s="173">
        <f>CdTrp1!E21*$G$63</f>
        <v>0</v>
      </c>
      <c r="AZ70" s="173">
        <f>CdTrp1!F21*$G$63</f>
        <v>0</v>
      </c>
      <c r="BA70" s="173">
        <f>CdTrp1!G21*$G$63</f>
        <v>0</v>
      </c>
      <c r="BB70" s="173">
        <f>CdTrp1!H21*$G$63</f>
        <v>0</v>
      </c>
      <c r="BC70" s="173">
        <f>CdTrp1!I21*$G$63</f>
        <v>0</v>
      </c>
      <c r="BD70" s="173">
        <f>CdTrp1!J21*$G$63</f>
        <v>0</v>
      </c>
      <c r="BE70" s="173">
        <f>CdTrp1!K21*$G$63</f>
        <v>0</v>
      </c>
      <c r="BF70" s="173">
        <f>CdTrp1!L21*$G$63</f>
        <v>0</v>
      </c>
      <c r="BG70" s="173">
        <f>CdTrp1!M21*$G$63</f>
        <v>0</v>
      </c>
      <c r="BH70" s="173">
        <f>CdTrp1!N21*$G$63</f>
        <v>0</v>
      </c>
      <c r="BI70" s="173">
        <f>CdTrp1!O21*$G$63</f>
        <v>0</v>
      </c>
      <c r="BJ70" s="173">
        <f>CdTrp1!P21*$G$63</f>
        <v>0</v>
      </c>
      <c r="BK70" s="173">
        <f>CdTrp1!Q21*$G$63</f>
        <v>0</v>
      </c>
      <c r="BL70" s="173">
        <f>CdTrp1!R21*$G$63</f>
        <v>0</v>
      </c>
      <c r="BM70" s="173">
        <f>CdTrp1!S21*$G$63</f>
        <v>0</v>
      </c>
      <c r="BN70" s="173">
        <f>CdTrp1!T21*$G$63</f>
        <v>0</v>
      </c>
      <c r="BO70" s="173">
        <f>CdTrp1!U21*$G$63</f>
        <v>0</v>
      </c>
      <c r="BP70" s="173">
        <f>CdTrp1!V21*$G$63</f>
        <v>0</v>
      </c>
      <c r="BQ70" s="173">
        <f>CdTrp1!W21*$G$63</f>
        <v>0</v>
      </c>
      <c r="BR70" s="173">
        <f>CdTrp1!X21*$G$63</f>
        <v>0</v>
      </c>
      <c r="BS70" s="173">
        <f>CdTrp1!Y21*$G$63</f>
        <v>0</v>
      </c>
      <c r="BZ70" s="189" t="str">
        <f>+CdTrp2!A21</f>
        <v>lot7</v>
      </c>
      <c r="CA70" s="274"/>
      <c r="CB70" s="173">
        <f>CdTrp2!B21*$G$63</f>
        <v>0</v>
      </c>
      <c r="CC70" s="173">
        <f>CdTrp2!C21*$G$63</f>
        <v>0</v>
      </c>
      <c r="CD70" s="173">
        <f>CdTrp2!D21*$G$63</f>
        <v>0</v>
      </c>
      <c r="CE70" s="173">
        <f>CdTrp2!E21*$G$63</f>
        <v>0</v>
      </c>
      <c r="CF70" s="173">
        <f>CdTrp2!F21*$G$63</f>
        <v>0</v>
      </c>
      <c r="CG70" s="173">
        <f>CdTrp2!G21*$G$63</f>
        <v>0</v>
      </c>
      <c r="CH70" s="173">
        <f>CdTrp2!H21*$G$63</f>
        <v>0</v>
      </c>
      <c r="CI70" s="173">
        <f>CdTrp2!I21*$G$63</f>
        <v>0</v>
      </c>
      <c r="CJ70" s="173">
        <f>CdTrp2!J21*$G$63</f>
        <v>0</v>
      </c>
      <c r="CK70" s="173">
        <f>CdTrp2!K21*$G$63</f>
        <v>0</v>
      </c>
      <c r="CL70" s="173">
        <f>CdTrp2!L21*$G$63</f>
        <v>0</v>
      </c>
      <c r="CM70" s="173">
        <f>CdTrp2!M21*$G$63</f>
        <v>0</v>
      </c>
      <c r="CN70" s="173">
        <f>CdTrp2!N21*$G$63</f>
        <v>0</v>
      </c>
      <c r="CO70" s="173">
        <f>CdTrp2!O21*$G$63</f>
        <v>0</v>
      </c>
      <c r="CP70" s="173">
        <f>CdTrp2!P21*$G$63</f>
        <v>0</v>
      </c>
      <c r="CQ70" s="173">
        <f>CdTrp2!Q21*$G$63</f>
        <v>0</v>
      </c>
      <c r="CR70" s="173">
        <f>CdTrp2!R21*$G$63</f>
        <v>0</v>
      </c>
      <c r="CS70" s="173">
        <f>CdTrp2!S21*$G$63</f>
        <v>0</v>
      </c>
      <c r="CT70" s="173">
        <f>CdTrp2!T21*$G$63</f>
        <v>0</v>
      </c>
      <c r="CU70" s="173">
        <f>CdTrp2!U21*$G$63</f>
        <v>0</v>
      </c>
      <c r="CV70" s="173">
        <f>CdTrp2!V21*$G$63</f>
        <v>0</v>
      </c>
      <c r="CW70" s="173">
        <f>CdTrp2!W21*$G$63</f>
        <v>0</v>
      </c>
      <c r="CX70" s="173">
        <f>CdTrp2!X21*$G$63</f>
        <v>0</v>
      </c>
      <c r="CY70" s="173">
        <f>CdTrp2!Y21*$G$63</f>
        <v>0</v>
      </c>
      <c r="DC70" s="189" t="str">
        <f>+CdTrp3!A21</f>
        <v>lot7</v>
      </c>
      <c r="DD70" s="274"/>
      <c r="DE70" s="173">
        <f>CdTrp3!B21*$G$63</f>
        <v>0</v>
      </c>
      <c r="DF70" s="173">
        <f>CdTrp3!C21*$G$63</f>
        <v>0</v>
      </c>
      <c r="DG70" s="173">
        <f>CdTrp3!D21*$G$63</f>
        <v>0</v>
      </c>
      <c r="DH70" s="173">
        <f>CdTrp3!E21*$G$63</f>
        <v>0</v>
      </c>
      <c r="DI70" s="173">
        <f>CdTrp3!F21*$G$63</f>
        <v>0</v>
      </c>
      <c r="DJ70" s="173">
        <f>CdTrp3!G21*$G$63</f>
        <v>0</v>
      </c>
      <c r="DK70" s="173">
        <f>CdTrp3!H21*$G$63</f>
        <v>0</v>
      </c>
      <c r="DL70" s="173">
        <f>CdTrp3!I21*$G$63</f>
        <v>0</v>
      </c>
      <c r="DM70" s="173">
        <f>CdTrp3!J21*$G$63</f>
        <v>0</v>
      </c>
      <c r="DN70" s="173">
        <f>CdTrp3!K21*$G$63</f>
        <v>0</v>
      </c>
      <c r="DO70" s="173">
        <f>CdTrp3!L21*$G$63</f>
        <v>0</v>
      </c>
      <c r="DP70" s="173">
        <f>CdTrp3!M21*$G$63</f>
        <v>0</v>
      </c>
      <c r="DQ70" s="173">
        <f>CdTrp3!N21*$G$63</f>
        <v>0</v>
      </c>
      <c r="DR70" s="173">
        <f>CdTrp3!O21*$G$63</f>
        <v>0</v>
      </c>
      <c r="DS70" s="173">
        <f>CdTrp3!P21*$G$63</f>
        <v>0</v>
      </c>
      <c r="DT70" s="173">
        <f>CdTrp3!Q21*$G$63</f>
        <v>0</v>
      </c>
      <c r="DU70" s="173">
        <f>CdTrp3!R21*$G$63</f>
        <v>0</v>
      </c>
      <c r="DV70" s="173">
        <f>CdTrp3!S21*$G$63</f>
        <v>0</v>
      </c>
      <c r="DW70" s="173">
        <f>CdTrp3!T21*$G$63</f>
        <v>0</v>
      </c>
      <c r="DX70" s="173">
        <f>CdTrp3!U21*$G$63</f>
        <v>0</v>
      </c>
      <c r="DY70" s="173">
        <f>CdTrp3!V21*$G$63</f>
        <v>0</v>
      </c>
      <c r="DZ70" s="173">
        <f>CdTrp3!W21*$G$63</f>
        <v>0</v>
      </c>
      <c r="EA70" s="173">
        <f>CdTrp3!X21*$G$63</f>
        <v>0</v>
      </c>
      <c r="EB70" s="173">
        <f>CdTrp3!Y21*$G$63</f>
        <v>0</v>
      </c>
    </row>
    <row r="71" spans="2:132" x14ac:dyDescent="0.25">
      <c r="B71" s="14" t="s">
        <v>1155</v>
      </c>
      <c r="C71" s="173">
        <f>Scénario!K33</f>
        <v>1</v>
      </c>
      <c r="D71" s="258">
        <f t="shared" ref="D71:D80" si="3">ROUND(C71*$D$82/$C$82,3)</f>
        <v>0.96</v>
      </c>
      <c r="AT71" s="189" t="str">
        <f t="shared" si="2"/>
        <v>lot8</v>
      </c>
      <c r="AU71" s="274"/>
      <c r="AV71" s="173">
        <f>CdTrp1!B22*$G$63</f>
        <v>0</v>
      </c>
      <c r="AW71" s="173">
        <f>CdTrp1!C22*$G$63</f>
        <v>0</v>
      </c>
      <c r="AX71" s="173">
        <f>CdTrp1!D22*$G$63</f>
        <v>0</v>
      </c>
      <c r="AY71" s="173">
        <f>CdTrp1!E22*$G$63</f>
        <v>0</v>
      </c>
      <c r="AZ71" s="173">
        <f>CdTrp1!F22*$G$63</f>
        <v>0</v>
      </c>
      <c r="BA71" s="173">
        <f>CdTrp1!G22*$G$63</f>
        <v>0</v>
      </c>
      <c r="BB71" s="173">
        <f>CdTrp1!H22*$G$63</f>
        <v>0</v>
      </c>
      <c r="BC71" s="173">
        <f>CdTrp1!I22*$G$63</f>
        <v>0</v>
      </c>
      <c r="BD71" s="173">
        <f>CdTrp1!J22*$G$63</f>
        <v>0</v>
      </c>
      <c r="BE71" s="173">
        <f>CdTrp1!K22*$G$63</f>
        <v>0</v>
      </c>
      <c r="BF71" s="173">
        <f>CdTrp1!L22*$G$63</f>
        <v>0</v>
      </c>
      <c r="BG71" s="173">
        <f>CdTrp1!M22*$G$63</f>
        <v>0</v>
      </c>
      <c r="BH71" s="173">
        <f>CdTrp1!N22*$G$63</f>
        <v>0</v>
      </c>
      <c r="BI71" s="173">
        <f>CdTrp1!O22*$G$63</f>
        <v>0</v>
      </c>
      <c r="BJ71" s="173">
        <f>CdTrp1!P22*$G$63</f>
        <v>0</v>
      </c>
      <c r="BK71" s="173">
        <f>CdTrp1!Q22*$G$63</f>
        <v>0</v>
      </c>
      <c r="BL71" s="173">
        <f>CdTrp1!R22*$G$63</f>
        <v>0</v>
      </c>
      <c r="BM71" s="173">
        <f>CdTrp1!S22*$G$63</f>
        <v>0</v>
      </c>
      <c r="BN71" s="173">
        <f>CdTrp1!T22*$G$63</f>
        <v>0</v>
      </c>
      <c r="BO71" s="173">
        <f>CdTrp1!U22*$G$63</f>
        <v>0</v>
      </c>
      <c r="BP71" s="173">
        <f>CdTrp1!V22*$G$63</f>
        <v>0</v>
      </c>
      <c r="BQ71" s="173">
        <f>CdTrp1!W22*$G$63</f>
        <v>0</v>
      </c>
      <c r="BR71" s="173">
        <f>CdTrp1!X22*$G$63</f>
        <v>0</v>
      </c>
      <c r="BS71" s="173">
        <f>CdTrp1!Y22*$G$63</f>
        <v>0</v>
      </c>
      <c r="BZ71" s="189" t="str">
        <f>+CdTrp2!A22</f>
        <v>lot8</v>
      </c>
      <c r="CA71" s="274"/>
      <c r="CB71" s="173">
        <f>CdTrp2!B22*$G$63</f>
        <v>0</v>
      </c>
      <c r="CC71" s="173">
        <f>CdTrp2!C22*$G$63</f>
        <v>0</v>
      </c>
      <c r="CD71" s="173">
        <f>CdTrp2!D22*$G$63</f>
        <v>0</v>
      </c>
      <c r="CE71" s="173">
        <f>CdTrp2!E22*$G$63</f>
        <v>0</v>
      </c>
      <c r="CF71" s="173">
        <f>CdTrp2!F22*$G$63</f>
        <v>0</v>
      </c>
      <c r="CG71" s="173">
        <f>CdTrp2!G22*$G$63</f>
        <v>0</v>
      </c>
      <c r="CH71" s="173">
        <f>CdTrp2!H22*$G$63</f>
        <v>0</v>
      </c>
      <c r="CI71" s="173">
        <f>CdTrp2!I22*$G$63</f>
        <v>0</v>
      </c>
      <c r="CJ71" s="173">
        <f>CdTrp2!J22*$G$63</f>
        <v>0</v>
      </c>
      <c r="CK71" s="173">
        <f>CdTrp2!K22*$G$63</f>
        <v>0</v>
      </c>
      <c r="CL71" s="173">
        <f>CdTrp2!L22*$G$63</f>
        <v>0</v>
      </c>
      <c r="CM71" s="173">
        <f>CdTrp2!M22*$G$63</f>
        <v>0</v>
      </c>
      <c r="CN71" s="173">
        <f>CdTrp2!N22*$G$63</f>
        <v>0</v>
      </c>
      <c r="CO71" s="173">
        <f>CdTrp2!O22*$G$63</f>
        <v>0</v>
      </c>
      <c r="CP71" s="173">
        <f>CdTrp2!P22*$G$63</f>
        <v>0</v>
      </c>
      <c r="CQ71" s="173">
        <f>CdTrp2!Q22*$G$63</f>
        <v>0</v>
      </c>
      <c r="CR71" s="173">
        <f>CdTrp2!R22*$G$63</f>
        <v>0</v>
      </c>
      <c r="CS71" s="173">
        <f>CdTrp2!S22*$G$63</f>
        <v>0</v>
      </c>
      <c r="CT71" s="173">
        <f>CdTrp2!T22*$G$63</f>
        <v>0</v>
      </c>
      <c r="CU71" s="173">
        <f>CdTrp2!U22*$G$63</f>
        <v>0</v>
      </c>
      <c r="CV71" s="173">
        <f>CdTrp2!V22*$G$63</f>
        <v>0</v>
      </c>
      <c r="CW71" s="173">
        <f>CdTrp2!W22*$G$63</f>
        <v>0</v>
      </c>
      <c r="CX71" s="173">
        <f>CdTrp2!X22*$G$63</f>
        <v>0</v>
      </c>
      <c r="CY71" s="173">
        <f>CdTrp2!Y22*$G$63</f>
        <v>0</v>
      </c>
      <c r="DC71" s="189" t="str">
        <f>+CdTrp3!A22</f>
        <v>lot8</v>
      </c>
      <c r="DD71" s="274"/>
      <c r="DE71" s="173">
        <f>CdTrp3!B22*$G$63</f>
        <v>0</v>
      </c>
      <c r="DF71" s="173">
        <f>CdTrp3!C22*$G$63</f>
        <v>0</v>
      </c>
      <c r="DG71" s="173">
        <f>CdTrp3!D22*$G$63</f>
        <v>0</v>
      </c>
      <c r="DH71" s="173">
        <f>CdTrp3!E22*$G$63</f>
        <v>0</v>
      </c>
      <c r="DI71" s="173">
        <f>CdTrp3!F22*$G$63</f>
        <v>0</v>
      </c>
      <c r="DJ71" s="173">
        <f>CdTrp3!G22*$G$63</f>
        <v>0</v>
      </c>
      <c r="DK71" s="173">
        <f>CdTrp3!H22*$G$63</f>
        <v>0</v>
      </c>
      <c r="DL71" s="173">
        <f>CdTrp3!I22*$G$63</f>
        <v>0</v>
      </c>
      <c r="DM71" s="173">
        <f>CdTrp3!J22*$G$63</f>
        <v>0</v>
      </c>
      <c r="DN71" s="173">
        <f>CdTrp3!K22*$G$63</f>
        <v>0</v>
      </c>
      <c r="DO71" s="173">
        <f>CdTrp3!L22*$G$63</f>
        <v>0</v>
      </c>
      <c r="DP71" s="173">
        <f>CdTrp3!M22*$G$63</f>
        <v>0</v>
      </c>
      <c r="DQ71" s="173">
        <f>CdTrp3!N22*$G$63</f>
        <v>0</v>
      </c>
      <c r="DR71" s="173">
        <f>CdTrp3!O22*$G$63</f>
        <v>0</v>
      </c>
      <c r="DS71" s="173">
        <f>CdTrp3!P22*$G$63</f>
        <v>0</v>
      </c>
      <c r="DT71" s="173">
        <f>CdTrp3!Q22*$G$63</f>
        <v>0</v>
      </c>
      <c r="DU71" s="173">
        <f>CdTrp3!R22*$G$63</f>
        <v>0</v>
      </c>
      <c r="DV71" s="173">
        <f>CdTrp3!S22*$G$63</f>
        <v>0</v>
      </c>
      <c r="DW71" s="173">
        <f>CdTrp3!T22*$G$63</f>
        <v>0</v>
      </c>
      <c r="DX71" s="173">
        <f>CdTrp3!U22*$G$63</f>
        <v>0</v>
      </c>
      <c r="DY71" s="173">
        <f>CdTrp3!V22*$G$63</f>
        <v>0</v>
      </c>
      <c r="DZ71" s="173">
        <f>CdTrp3!W22*$G$63</f>
        <v>0</v>
      </c>
      <c r="EA71" s="173">
        <f>CdTrp3!X22*$G$63</f>
        <v>0</v>
      </c>
      <c r="EB71" s="173">
        <f>CdTrp3!Y22*$G$63</f>
        <v>0</v>
      </c>
    </row>
    <row r="72" spans="2:132" x14ac:dyDescent="0.25">
      <c r="B72" s="14" t="s">
        <v>1156</v>
      </c>
      <c r="C72" s="173">
        <f>'Calcul éco'!$AA$228</f>
        <v>0</v>
      </c>
      <c r="D72" s="258">
        <f t="shared" si="3"/>
        <v>0</v>
      </c>
      <c r="AT72" s="189" t="str">
        <f t="shared" si="2"/>
        <v>lot9</v>
      </c>
      <c r="AU72" s="274"/>
      <c r="AV72" s="173">
        <f>CdTrp1!B23*$G$63</f>
        <v>0</v>
      </c>
      <c r="AW72" s="173">
        <f>CdTrp1!C23*$G$63</f>
        <v>0</v>
      </c>
      <c r="AX72" s="173">
        <f>CdTrp1!D23*$G$63</f>
        <v>0</v>
      </c>
      <c r="AY72" s="173">
        <f>CdTrp1!E23*$G$63</f>
        <v>0</v>
      </c>
      <c r="AZ72" s="173">
        <f>CdTrp1!F23*$G$63</f>
        <v>0</v>
      </c>
      <c r="BA72" s="173">
        <f>CdTrp1!G23*$G$63</f>
        <v>0</v>
      </c>
      <c r="BB72" s="173">
        <f>CdTrp1!H23*$G$63</f>
        <v>0</v>
      </c>
      <c r="BC72" s="173">
        <f>CdTrp1!I23*$G$63</f>
        <v>0</v>
      </c>
      <c r="BD72" s="173">
        <f>CdTrp1!J23*$G$63</f>
        <v>0</v>
      </c>
      <c r="BE72" s="173">
        <f>CdTrp1!K23*$G$63</f>
        <v>0</v>
      </c>
      <c r="BF72" s="173">
        <f>CdTrp1!L23*$G$63</f>
        <v>0</v>
      </c>
      <c r="BG72" s="173">
        <f>CdTrp1!M23*$G$63</f>
        <v>0</v>
      </c>
      <c r="BH72" s="173">
        <f>CdTrp1!N23*$G$63</f>
        <v>0</v>
      </c>
      <c r="BI72" s="173">
        <f>CdTrp1!O23*$G$63</f>
        <v>0</v>
      </c>
      <c r="BJ72" s="173">
        <f>CdTrp1!P23*$G$63</f>
        <v>0</v>
      </c>
      <c r="BK72" s="173">
        <f>CdTrp1!Q23*$G$63</f>
        <v>0</v>
      </c>
      <c r="BL72" s="173">
        <f>CdTrp1!R23*$G$63</f>
        <v>0</v>
      </c>
      <c r="BM72" s="173">
        <f>CdTrp1!S23*$G$63</f>
        <v>0</v>
      </c>
      <c r="BN72" s="173">
        <f>CdTrp1!T23*$G$63</f>
        <v>0</v>
      </c>
      <c r="BO72" s="173">
        <f>CdTrp1!U23*$G$63</f>
        <v>0</v>
      </c>
      <c r="BP72" s="173">
        <f>CdTrp1!V23*$G$63</f>
        <v>0</v>
      </c>
      <c r="BQ72" s="173">
        <f>CdTrp1!W23*$G$63</f>
        <v>0</v>
      </c>
      <c r="BR72" s="173">
        <f>CdTrp1!X23*$G$63</f>
        <v>0</v>
      </c>
      <c r="BS72" s="173">
        <f>CdTrp1!Y23*$G$63</f>
        <v>0</v>
      </c>
      <c r="BZ72" s="189" t="str">
        <f>+CdTrp2!A23</f>
        <v>lot9</v>
      </c>
      <c r="CA72" s="274"/>
      <c r="CB72" s="173">
        <f>CdTrp2!B23*$G$63</f>
        <v>0</v>
      </c>
      <c r="CC72" s="173">
        <f>CdTrp2!C23*$G$63</f>
        <v>0</v>
      </c>
      <c r="CD72" s="173">
        <f>CdTrp2!D23*$G$63</f>
        <v>0</v>
      </c>
      <c r="CE72" s="173">
        <f>CdTrp2!E23*$G$63</f>
        <v>0</v>
      </c>
      <c r="CF72" s="173">
        <f>CdTrp2!F23*$G$63</f>
        <v>0</v>
      </c>
      <c r="CG72" s="173">
        <f>CdTrp2!G23*$G$63</f>
        <v>0</v>
      </c>
      <c r="CH72" s="173">
        <f>CdTrp2!H23*$G$63</f>
        <v>0</v>
      </c>
      <c r="CI72" s="173">
        <f>CdTrp2!I23*$G$63</f>
        <v>0</v>
      </c>
      <c r="CJ72" s="173">
        <f>CdTrp2!J23*$G$63</f>
        <v>0</v>
      </c>
      <c r="CK72" s="173">
        <f>CdTrp2!K23*$G$63</f>
        <v>0</v>
      </c>
      <c r="CL72" s="173">
        <f>CdTrp2!L23*$G$63</f>
        <v>0</v>
      </c>
      <c r="CM72" s="173">
        <f>CdTrp2!M23*$G$63</f>
        <v>0</v>
      </c>
      <c r="CN72" s="173">
        <f>CdTrp2!N23*$G$63</f>
        <v>0</v>
      </c>
      <c r="CO72" s="173">
        <f>CdTrp2!O23*$G$63</f>
        <v>0</v>
      </c>
      <c r="CP72" s="173">
        <f>CdTrp2!P23*$G$63</f>
        <v>0</v>
      </c>
      <c r="CQ72" s="173">
        <f>CdTrp2!Q23*$G$63</f>
        <v>0</v>
      </c>
      <c r="CR72" s="173">
        <f>CdTrp2!R23*$G$63</f>
        <v>0</v>
      </c>
      <c r="CS72" s="173">
        <f>CdTrp2!S23*$G$63</f>
        <v>0</v>
      </c>
      <c r="CT72" s="173">
        <f>CdTrp2!T23*$G$63</f>
        <v>0</v>
      </c>
      <c r="CU72" s="173">
        <f>CdTrp2!U23*$G$63</f>
        <v>0</v>
      </c>
      <c r="CV72" s="173">
        <f>CdTrp2!V23*$G$63</f>
        <v>0</v>
      </c>
      <c r="CW72" s="173">
        <f>CdTrp2!W23*$G$63</f>
        <v>0</v>
      </c>
      <c r="CX72" s="173">
        <f>CdTrp2!X23*$G$63</f>
        <v>0</v>
      </c>
      <c r="CY72" s="173">
        <f>CdTrp2!Y23*$G$63</f>
        <v>0</v>
      </c>
      <c r="DC72" s="189" t="str">
        <f>+CdTrp3!A23</f>
        <v>lot9</v>
      </c>
      <c r="DD72" s="274"/>
      <c r="DE72" s="173">
        <f>CdTrp3!B23*$G$63</f>
        <v>0</v>
      </c>
      <c r="DF72" s="173">
        <f>CdTrp3!C23*$G$63</f>
        <v>0</v>
      </c>
      <c r="DG72" s="173">
        <f>CdTrp3!D23*$G$63</f>
        <v>0</v>
      </c>
      <c r="DH72" s="173">
        <f>CdTrp3!E23*$G$63</f>
        <v>0</v>
      </c>
      <c r="DI72" s="173">
        <f>CdTrp3!F23*$G$63</f>
        <v>0</v>
      </c>
      <c r="DJ72" s="173">
        <f>CdTrp3!G23*$G$63</f>
        <v>0</v>
      </c>
      <c r="DK72" s="173">
        <f>CdTrp3!H23*$G$63</f>
        <v>0</v>
      </c>
      <c r="DL72" s="173">
        <f>CdTrp3!I23*$G$63</f>
        <v>0</v>
      </c>
      <c r="DM72" s="173">
        <f>CdTrp3!J23*$G$63</f>
        <v>0</v>
      </c>
      <c r="DN72" s="173">
        <f>CdTrp3!K23*$G$63</f>
        <v>0</v>
      </c>
      <c r="DO72" s="173">
        <f>CdTrp3!L23*$G$63</f>
        <v>0</v>
      </c>
      <c r="DP72" s="173">
        <f>CdTrp3!M23*$G$63</f>
        <v>0</v>
      </c>
      <c r="DQ72" s="173">
        <f>CdTrp3!N23*$G$63</f>
        <v>0</v>
      </c>
      <c r="DR72" s="173">
        <f>CdTrp3!O23*$G$63</f>
        <v>0</v>
      </c>
      <c r="DS72" s="173">
        <f>CdTrp3!P23*$G$63</f>
        <v>0</v>
      </c>
      <c r="DT72" s="173">
        <f>CdTrp3!Q23*$G$63</f>
        <v>0</v>
      </c>
      <c r="DU72" s="173">
        <f>CdTrp3!R23*$G$63</f>
        <v>0</v>
      </c>
      <c r="DV72" s="173">
        <f>CdTrp3!S23*$G$63</f>
        <v>0</v>
      </c>
      <c r="DW72" s="173">
        <f>CdTrp3!T23*$G$63</f>
        <v>0</v>
      </c>
      <c r="DX72" s="173">
        <f>CdTrp3!U23*$G$63</f>
        <v>0</v>
      </c>
      <c r="DY72" s="173">
        <f>CdTrp3!V23*$G$63</f>
        <v>0</v>
      </c>
      <c r="DZ72" s="173">
        <f>CdTrp3!W23*$G$63</f>
        <v>0</v>
      </c>
      <c r="EA72" s="173">
        <f>CdTrp3!X23*$G$63</f>
        <v>0</v>
      </c>
      <c r="EB72" s="173">
        <f>CdTrp3!Y23*$G$63</f>
        <v>0</v>
      </c>
    </row>
    <row r="73" spans="2:132" x14ac:dyDescent="0.25">
      <c r="B73" s="14" t="s">
        <v>1157</v>
      </c>
      <c r="C73" s="173">
        <f>'Calcul éco'!$AC$228</f>
        <v>5</v>
      </c>
      <c r="D73" s="258">
        <f t="shared" si="3"/>
        <v>4.8</v>
      </c>
      <c r="AT73" s="189" t="str">
        <f t="shared" si="2"/>
        <v>lot10</v>
      </c>
      <c r="AU73" s="274"/>
      <c r="AV73" s="173">
        <f>CdTrp1!B24*$G$63</f>
        <v>0</v>
      </c>
      <c r="AW73" s="173">
        <f>CdTrp1!C24*$G$63</f>
        <v>0</v>
      </c>
      <c r="AX73" s="173">
        <f>CdTrp1!D24*$G$63</f>
        <v>0</v>
      </c>
      <c r="AY73" s="173">
        <f>CdTrp1!E24*$G$63</f>
        <v>0</v>
      </c>
      <c r="AZ73" s="173">
        <f>CdTrp1!F24*$G$63</f>
        <v>0</v>
      </c>
      <c r="BA73" s="173">
        <f>CdTrp1!G24*$G$63</f>
        <v>0</v>
      </c>
      <c r="BB73" s="173">
        <f>CdTrp1!H24*$G$63</f>
        <v>0</v>
      </c>
      <c r="BC73" s="173">
        <f>CdTrp1!I24*$G$63</f>
        <v>0</v>
      </c>
      <c r="BD73" s="173">
        <f>CdTrp1!J24*$G$63</f>
        <v>0</v>
      </c>
      <c r="BE73" s="173">
        <f>CdTrp1!K24*$G$63</f>
        <v>0</v>
      </c>
      <c r="BF73" s="173">
        <f>CdTrp1!L24*$G$63</f>
        <v>0</v>
      </c>
      <c r="BG73" s="173">
        <f>CdTrp1!M24*$G$63</f>
        <v>0</v>
      </c>
      <c r="BH73" s="173">
        <f>CdTrp1!N24*$G$63</f>
        <v>0</v>
      </c>
      <c r="BI73" s="173">
        <f>CdTrp1!O24*$G$63</f>
        <v>0</v>
      </c>
      <c r="BJ73" s="173">
        <f>CdTrp1!P24*$G$63</f>
        <v>0</v>
      </c>
      <c r="BK73" s="173">
        <f>CdTrp1!Q24*$G$63</f>
        <v>0</v>
      </c>
      <c r="BL73" s="173">
        <f>CdTrp1!R24*$G$63</f>
        <v>0</v>
      </c>
      <c r="BM73" s="173">
        <f>CdTrp1!S24*$G$63</f>
        <v>0</v>
      </c>
      <c r="BN73" s="173">
        <f>CdTrp1!T24*$G$63</f>
        <v>0</v>
      </c>
      <c r="BO73" s="173">
        <f>CdTrp1!U24*$G$63</f>
        <v>0</v>
      </c>
      <c r="BP73" s="173">
        <f>CdTrp1!V24*$G$63</f>
        <v>0</v>
      </c>
      <c r="BQ73" s="173">
        <f>CdTrp1!W24*$G$63</f>
        <v>0</v>
      </c>
      <c r="BR73" s="173">
        <f>CdTrp1!X24*$G$63</f>
        <v>0</v>
      </c>
      <c r="BS73" s="173">
        <f>CdTrp1!Y24*$G$63</f>
        <v>0</v>
      </c>
      <c r="BZ73" s="189" t="str">
        <f>+CdTrp2!A24</f>
        <v>lot10</v>
      </c>
      <c r="CA73" s="274"/>
      <c r="CB73" s="173">
        <f>CdTrp2!B24*$G$63</f>
        <v>0</v>
      </c>
      <c r="CC73" s="173">
        <f>CdTrp2!C24*$G$63</f>
        <v>0</v>
      </c>
      <c r="CD73" s="173">
        <f>CdTrp2!D24*$G$63</f>
        <v>0</v>
      </c>
      <c r="CE73" s="173">
        <f>CdTrp2!E24*$G$63</f>
        <v>0</v>
      </c>
      <c r="CF73" s="173">
        <f>CdTrp2!F24*$G$63</f>
        <v>0</v>
      </c>
      <c r="CG73" s="173">
        <f>CdTrp2!G24*$G$63</f>
        <v>0</v>
      </c>
      <c r="CH73" s="173">
        <f>CdTrp2!H24*$G$63</f>
        <v>0</v>
      </c>
      <c r="CI73" s="173">
        <f>CdTrp2!I24*$G$63</f>
        <v>0</v>
      </c>
      <c r="CJ73" s="173">
        <f>CdTrp2!J24*$G$63</f>
        <v>0</v>
      </c>
      <c r="CK73" s="173">
        <f>CdTrp2!K24*$G$63</f>
        <v>0</v>
      </c>
      <c r="CL73" s="173">
        <f>CdTrp2!L24*$G$63</f>
        <v>0</v>
      </c>
      <c r="CM73" s="173">
        <f>CdTrp2!M24*$G$63</f>
        <v>0</v>
      </c>
      <c r="CN73" s="173">
        <f>CdTrp2!N24*$G$63</f>
        <v>0</v>
      </c>
      <c r="CO73" s="173">
        <f>CdTrp2!O24*$G$63</f>
        <v>0</v>
      </c>
      <c r="CP73" s="173">
        <f>CdTrp2!P24*$G$63</f>
        <v>0</v>
      </c>
      <c r="CQ73" s="173">
        <f>CdTrp2!Q24*$G$63</f>
        <v>0</v>
      </c>
      <c r="CR73" s="173">
        <f>CdTrp2!R24*$G$63</f>
        <v>0</v>
      </c>
      <c r="CS73" s="173">
        <f>CdTrp2!S24*$G$63</f>
        <v>0</v>
      </c>
      <c r="CT73" s="173">
        <f>CdTrp2!T24*$G$63</f>
        <v>0</v>
      </c>
      <c r="CU73" s="173">
        <f>CdTrp2!U24*$G$63</f>
        <v>0</v>
      </c>
      <c r="CV73" s="173">
        <f>CdTrp2!V24*$G$63</f>
        <v>0</v>
      </c>
      <c r="CW73" s="173">
        <f>CdTrp2!W24*$G$63</f>
        <v>0</v>
      </c>
      <c r="CX73" s="173">
        <f>CdTrp2!X24*$G$63</f>
        <v>0</v>
      </c>
      <c r="CY73" s="173">
        <f>CdTrp2!Y24*$G$63</f>
        <v>0</v>
      </c>
      <c r="DC73" s="189" t="str">
        <f>+CdTrp3!A24</f>
        <v>lot10</v>
      </c>
      <c r="DD73" s="274"/>
      <c r="DE73" s="173">
        <f>CdTrp3!B24*$G$63</f>
        <v>0</v>
      </c>
      <c r="DF73" s="173">
        <f>CdTrp3!C24*$G$63</f>
        <v>0</v>
      </c>
      <c r="DG73" s="173">
        <f>CdTrp3!D24*$G$63</f>
        <v>0</v>
      </c>
      <c r="DH73" s="173">
        <f>CdTrp3!E24*$G$63</f>
        <v>0</v>
      </c>
      <c r="DI73" s="173">
        <f>CdTrp3!F24*$G$63</f>
        <v>0</v>
      </c>
      <c r="DJ73" s="173">
        <f>CdTrp3!G24*$G$63</f>
        <v>0</v>
      </c>
      <c r="DK73" s="173">
        <f>CdTrp3!H24*$G$63</f>
        <v>0</v>
      </c>
      <c r="DL73" s="173">
        <f>CdTrp3!I24*$G$63</f>
        <v>0</v>
      </c>
      <c r="DM73" s="173">
        <f>CdTrp3!J24*$G$63</f>
        <v>0</v>
      </c>
      <c r="DN73" s="173">
        <f>CdTrp3!K24*$G$63</f>
        <v>0</v>
      </c>
      <c r="DO73" s="173">
        <f>CdTrp3!L24*$G$63</f>
        <v>0</v>
      </c>
      <c r="DP73" s="173">
        <f>CdTrp3!M24*$G$63</f>
        <v>0</v>
      </c>
      <c r="DQ73" s="173">
        <f>CdTrp3!N24*$G$63</f>
        <v>0</v>
      </c>
      <c r="DR73" s="173">
        <f>CdTrp3!O24*$G$63</f>
        <v>0</v>
      </c>
      <c r="DS73" s="173">
        <f>CdTrp3!P24*$G$63</f>
        <v>0</v>
      </c>
      <c r="DT73" s="173">
        <f>CdTrp3!Q24*$G$63</f>
        <v>0</v>
      </c>
      <c r="DU73" s="173">
        <f>CdTrp3!R24*$G$63</f>
        <v>0</v>
      </c>
      <c r="DV73" s="173">
        <f>CdTrp3!S24*$G$63</f>
        <v>0</v>
      </c>
      <c r="DW73" s="173">
        <f>CdTrp3!T24*$G$63</f>
        <v>0</v>
      </c>
      <c r="DX73" s="173">
        <f>CdTrp3!U24*$G$63</f>
        <v>0</v>
      </c>
      <c r="DY73" s="173">
        <f>CdTrp3!V24*$G$63</f>
        <v>0</v>
      </c>
      <c r="DZ73" s="173">
        <f>CdTrp3!W24*$G$63</f>
        <v>0</v>
      </c>
      <c r="EA73" s="173">
        <f>CdTrp3!X24*$G$63</f>
        <v>0</v>
      </c>
      <c r="EB73" s="173">
        <f>CdTrp3!Y24*$G$63</f>
        <v>0</v>
      </c>
    </row>
    <row r="74" spans="2:132" x14ac:dyDescent="0.25">
      <c r="B74" s="14" t="s">
        <v>1158</v>
      </c>
      <c r="C74" s="173">
        <f>C71+C73</f>
        <v>6</v>
      </c>
      <c r="D74" s="258">
        <f t="shared" si="3"/>
        <v>5.7610000000000001</v>
      </c>
      <c r="AT74" s="2" t="s">
        <v>753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753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753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1159</v>
      </c>
      <c r="C75" s="173">
        <f>Alim_Surf!$O$7+Alim_Surf!$O$29-C72-C73</f>
        <v>23</v>
      </c>
      <c r="D75" s="258">
        <f t="shared" si="3"/>
        <v>22.082000000000001</v>
      </c>
      <c r="AT75" s="189" t="str">
        <f t="shared" ref="AT75:AT82" si="4">AT87</f>
        <v>brebis</v>
      </c>
      <c r="AV75" s="173">
        <f t="shared" ref="AV75:BS82" si="5">IF(AV64&gt;0,1,0)</f>
        <v>1</v>
      </c>
      <c r="AW75" s="173">
        <f t="shared" si="5"/>
        <v>1</v>
      </c>
      <c r="AX75" s="173">
        <f t="shared" si="5"/>
        <v>1</v>
      </c>
      <c r="AY75" s="173">
        <f t="shared" si="5"/>
        <v>1</v>
      </c>
      <c r="AZ75" s="173">
        <f t="shared" si="5"/>
        <v>1</v>
      </c>
      <c r="BA75" s="173">
        <f t="shared" si="5"/>
        <v>1</v>
      </c>
      <c r="BB75" s="173">
        <f t="shared" si="5"/>
        <v>1</v>
      </c>
      <c r="BC75" s="173">
        <f t="shared" si="5"/>
        <v>1</v>
      </c>
      <c r="BD75" s="173">
        <f t="shared" si="5"/>
        <v>1</v>
      </c>
      <c r="BE75" s="173">
        <f t="shared" si="5"/>
        <v>1</v>
      </c>
      <c r="BF75" s="173">
        <f t="shared" si="5"/>
        <v>1</v>
      </c>
      <c r="BG75" s="173">
        <f t="shared" si="5"/>
        <v>1</v>
      </c>
      <c r="BH75" s="173">
        <f t="shared" si="5"/>
        <v>1</v>
      </c>
      <c r="BI75" s="173">
        <f t="shared" si="5"/>
        <v>1</v>
      </c>
      <c r="BJ75" s="173">
        <f t="shared" si="5"/>
        <v>1</v>
      </c>
      <c r="BK75" s="173">
        <f t="shared" si="5"/>
        <v>1</v>
      </c>
      <c r="BL75" s="173">
        <f t="shared" si="5"/>
        <v>1</v>
      </c>
      <c r="BM75" s="173">
        <f t="shared" si="5"/>
        <v>1</v>
      </c>
      <c r="BN75" s="173">
        <f t="shared" si="5"/>
        <v>1</v>
      </c>
      <c r="BO75" s="173">
        <f t="shared" si="5"/>
        <v>1</v>
      </c>
      <c r="BP75" s="173">
        <f t="shared" si="5"/>
        <v>1</v>
      </c>
      <c r="BQ75" s="173">
        <f t="shared" si="5"/>
        <v>1</v>
      </c>
      <c r="BR75" s="173">
        <f t="shared" si="5"/>
        <v>1</v>
      </c>
      <c r="BS75" s="173">
        <f t="shared" si="5"/>
        <v>1</v>
      </c>
      <c r="BZ75" s="189" t="str">
        <f t="shared" ref="BZ75:BZ82" si="6">+BZ64</f>
        <v xml:space="preserve">vaches </v>
      </c>
      <c r="CB75" s="173">
        <f t="shared" ref="CB75:CY82" si="7">IF(CB64&gt;0,1,0)</f>
        <v>1</v>
      </c>
      <c r="CC75" s="173">
        <f t="shared" si="7"/>
        <v>1</v>
      </c>
      <c r="CD75" s="173">
        <f t="shared" si="7"/>
        <v>1</v>
      </c>
      <c r="CE75" s="173">
        <f t="shared" si="7"/>
        <v>1</v>
      </c>
      <c r="CF75" s="173">
        <f t="shared" si="7"/>
        <v>1</v>
      </c>
      <c r="CG75" s="173">
        <f t="shared" si="7"/>
        <v>1</v>
      </c>
      <c r="CH75" s="173">
        <f t="shared" si="7"/>
        <v>1</v>
      </c>
      <c r="CI75" s="173">
        <f t="shared" si="7"/>
        <v>1</v>
      </c>
      <c r="CJ75" s="173">
        <f t="shared" si="7"/>
        <v>1</v>
      </c>
      <c r="CK75" s="173">
        <f t="shared" si="7"/>
        <v>1</v>
      </c>
      <c r="CL75" s="173">
        <f t="shared" si="7"/>
        <v>1</v>
      </c>
      <c r="CM75" s="173">
        <f t="shared" si="7"/>
        <v>1</v>
      </c>
      <c r="CN75" s="173">
        <f t="shared" si="7"/>
        <v>1</v>
      </c>
      <c r="CO75" s="173">
        <f t="shared" si="7"/>
        <v>1</v>
      </c>
      <c r="CP75" s="173">
        <f t="shared" si="7"/>
        <v>1</v>
      </c>
      <c r="CQ75" s="173">
        <f t="shared" si="7"/>
        <v>1</v>
      </c>
      <c r="CR75" s="173">
        <f t="shared" si="7"/>
        <v>1</v>
      </c>
      <c r="CS75" s="173">
        <f t="shared" si="7"/>
        <v>1</v>
      </c>
      <c r="CT75" s="173">
        <f t="shared" si="7"/>
        <v>1</v>
      </c>
      <c r="CU75" s="173">
        <f t="shared" si="7"/>
        <v>1</v>
      </c>
      <c r="CV75" s="173">
        <f t="shared" si="7"/>
        <v>1</v>
      </c>
      <c r="CW75" s="173">
        <f t="shared" si="7"/>
        <v>1</v>
      </c>
      <c r="CX75" s="173">
        <f t="shared" si="7"/>
        <v>1</v>
      </c>
      <c r="CY75" s="173">
        <f t="shared" si="7"/>
        <v>1</v>
      </c>
      <c r="DC75" s="189" t="str">
        <f t="shared" ref="DC75:DC82" si="8">+DC64</f>
        <v>lot1</v>
      </c>
      <c r="DE75" s="173">
        <f t="shared" ref="DE75:EB82" si="9">IF(DE64&gt;0,1,0)</f>
        <v>0</v>
      </c>
      <c r="DF75" s="173">
        <f t="shared" si="9"/>
        <v>0</v>
      </c>
      <c r="DG75" s="173">
        <f t="shared" si="9"/>
        <v>0</v>
      </c>
      <c r="DH75" s="173">
        <f t="shared" si="9"/>
        <v>0</v>
      </c>
      <c r="DI75" s="173">
        <f t="shared" si="9"/>
        <v>0</v>
      </c>
      <c r="DJ75" s="173">
        <f t="shared" si="9"/>
        <v>0</v>
      </c>
      <c r="DK75" s="173">
        <f t="shared" si="9"/>
        <v>0</v>
      </c>
      <c r="DL75" s="173">
        <f t="shared" si="9"/>
        <v>0</v>
      </c>
      <c r="DM75" s="173">
        <f t="shared" si="9"/>
        <v>0</v>
      </c>
      <c r="DN75" s="173">
        <f t="shared" si="9"/>
        <v>0</v>
      </c>
      <c r="DO75" s="173">
        <f t="shared" si="9"/>
        <v>0</v>
      </c>
      <c r="DP75" s="173">
        <f t="shared" si="9"/>
        <v>0</v>
      </c>
      <c r="DQ75" s="173">
        <f t="shared" si="9"/>
        <v>0</v>
      </c>
      <c r="DR75" s="173">
        <f t="shared" si="9"/>
        <v>0</v>
      </c>
      <c r="DS75" s="173">
        <f t="shared" si="9"/>
        <v>0</v>
      </c>
      <c r="DT75" s="173">
        <f t="shared" si="9"/>
        <v>0</v>
      </c>
      <c r="DU75" s="173">
        <f t="shared" si="9"/>
        <v>0</v>
      </c>
      <c r="DV75" s="173">
        <f t="shared" si="9"/>
        <v>0</v>
      </c>
      <c r="DW75" s="173">
        <f t="shared" si="9"/>
        <v>0</v>
      </c>
      <c r="DX75" s="173">
        <f t="shared" si="9"/>
        <v>0</v>
      </c>
      <c r="DY75" s="173">
        <f t="shared" si="9"/>
        <v>0</v>
      </c>
      <c r="DZ75" s="173">
        <f t="shared" si="9"/>
        <v>0</v>
      </c>
      <c r="EA75" s="173">
        <f t="shared" si="9"/>
        <v>0</v>
      </c>
      <c r="EB75" s="173">
        <f t="shared" si="9"/>
        <v>0</v>
      </c>
    </row>
    <row r="76" spans="2:132" x14ac:dyDescent="0.25">
      <c r="B76" s="14" t="s">
        <v>1160</v>
      </c>
      <c r="C76" s="173">
        <f>'Calcul éco'!AO166</f>
        <v>0</v>
      </c>
      <c r="D76" s="258">
        <f t="shared" si="3"/>
        <v>0</v>
      </c>
      <c r="AT76" s="189" t="str">
        <f t="shared" si="4"/>
        <v>vides</v>
      </c>
      <c r="AV76" s="173">
        <f t="shared" si="5"/>
        <v>1</v>
      </c>
      <c r="AW76" s="173">
        <f t="shared" si="5"/>
        <v>1</v>
      </c>
      <c r="AX76" s="173">
        <f t="shared" si="5"/>
        <v>1</v>
      </c>
      <c r="AY76" s="173">
        <f t="shared" si="5"/>
        <v>1</v>
      </c>
      <c r="AZ76" s="173">
        <f t="shared" si="5"/>
        <v>1</v>
      </c>
      <c r="BA76" s="173">
        <f t="shared" si="5"/>
        <v>1</v>
      </c>
      <c r="BB76" s="173">
        <f t="shared" si="5"/>
        <v>1</v>
      </c>
      <c r="BC76" s="173">
        <f t="shared" si="5"/>
        <v>1</v>
      </c>
      <c r="BD76" s="173">
        <f t="shared" si="5"/>
        <v>1</v>
      </c>
      <c r="BE76" s="173">
        <f t="shared" si="5"/>
        <v>0</v>
      </c>
      <c r="BF76" s="173">
        <f t="shared" si="5"/>
        <v>0</v>
      </c>
      <c r="BG76" s="173">
        <f t="shared" si="5"/>
        <v>0</v>
      </c>
      <c r="BH76" s="173">
        <f t="shared" si="5"/>
        <v>0</v>
      </c>
      <c r="BI76" s="173">
        <f t="shared" si="5"/>
        <v>0</v>
      </c>
      <c r="BJ76" s="173">
        <f t="shared" si="5"/>
        <v>0</v>
      </c>
      <c r="BK76" s="173">
        <f t="shared" si="5"/>
        <v>0</v>
      </c>
      <c r="BL76" s="173">
        <f t="shared" si="5"/>
        <v>0</v>
      </c>
      <c r="BM76" s="173">
        <f t="shared" si="5"/>
        <v>0</v>
      </c>
      <c r="BN76" s="173">
        <f t="shared" si="5"/>
        <v>0</v>
      </c>
      <c r="BO76" s="173">
        <f t="shared" si="5"/>
        <v>1</v>
      </c>
      <c r="BP76" s="173">
        <f t="shared" si="5"/>
        <v>1</v>
      </c>
      <c r="BQ76" s="173">
        <f t="shared" si="5"/>
        <v>1</v>
      </c>
      <c r="BR76" s="173">
        <f t="shared" si="5"/>
        <v>1</v>
      </c>
      <c r="BS76" s="173">
        <f t="shared" si="5"/>
        <v>1</v>
      </c>
      <c r="BZ76" s="189" t="str">
        <f t="shared" si="6"/>
        <v>genisses -1an</v>
      </c>
      <c r="CB76" s="173">
        <f t="shared" si="7"/>
        <v>0</v>
      </c>
      <c r="CC76" s="173">
        <f t="shared" si="7"/>
        <v>0</v>
      </c>
      <c r="CD76" s="173">
        <f t="shared" si="7"/>
        <v>0</v>
      </c>
      <c r="CE76" s="173">
        <f t="shared" si="7"/>
        <v>0</v>
      </c>
      <c r="CF76" s="173">
        <f t="shared" si="7"/>
        <v>0</v>
      </c>
      <c r="CG76" s="173">
        <f t="shared" si="7"/>
        <v>1</v>
      </c>
      <c r="CH76" s="173">
        <f t="shared" si="7"/>
        <v>1</v>
      </c>
      <c r="CI76" s="173">
        <f t="shared" si="7"/>
        <v>1</v>
      </c>
      <c r="CJ76" s="173">
        <f t="shared" si="7"/>
        <v>1</v>
      </c>
      <c r="CK76" s="173">
        <f t="shared" si="7"/>
        <v>1</v>
      </c>
      <c r="CL76" s="173">
        <f t="shared" si="7"/>
        <v>1</v>
      </c>
      <c r="CM76" s="173">
        <f t="shared" si="7"/>
        <v>1</v>
      </c>
      <c r="CN76" s="173">
        <f t="shared" si="7"/>
        <v>1</v>
      </c>
      <c r="CO76" s="173">
        <f t="shared" si="7"/>
        <v>1</v>
      </c>
      <c r="CP76" s="173">
        <f t="shared" si="7"/>
        <v>1</v>
      </c>
      <c r="CQ76" s="173">
        <f t="shared" si="7"/>
        <v>1</v>
      </c>
      <c r="CR76" s="173">
        <f t="shared" si="7"/>
        <v>1</v>
      </c>
      <c r="CS76" s="173">
        <f t="shared" si="7"/>
        <v>1</v>
      </c>
      <c r="CT76" s="173">
        <f t="shared" si="7"/>
        <v>1</v>
      </c>
      <c r="CU76" s="173">
        <f t="shared" si="7"/>
        <v>1</v>
      </c>
      <c r="CV76" s="173">
        <f t="shared" si="7"/>
        <v>1</v>
      </c>
      <c r="CW76" s="173">
        <f t="shared" si="7"/>
        <v>1</v>
      </c>
      <c r="CX76" s="173">
        <f t="shared" si="7"/>
        <v>0</v>
      </c>
      <c r="CY76" s="173">
        <f t="shared" si="7"/>
        <v>0</v>
      </c>
      <c r="DC76" s="189" t="str">
        <f t="shared" si="8"/>
        <v>lot2</v>
      </c>
      <c r="DE76" s="173">
        <f t="shared" si="9"/>
        <v>0</v>
      </c>
      <c r="DF76" s="173">
        <f t="shared" si="9"/>
        <v>0</v>
      </c>
      <c r="DG76" s="173">
        <f t="shared" si="9"/>
        <v>0</v>
      </c>
      <c r="DH76" s="173">
        <f t="shared" si="9"/>
        <v>0</v>
      </c>
      <c r="DI76" s="173">
        <f t="shared" si="9"/>
        <v>0</v>
      </c>
      <c r="DJ76" s="173">
        <f t="shared" si="9"/>
        <v>0</v>
      </c>
      <c r="DK76" s="173">
        <f t="shared" si="9"/>
        <v>0</v>
      </c>
      <c r="DL76" s="173">
        <f t="shared" si="9"/>
        <v>0</v>
      </c>
      <c r="DM76" s="173">
        <f t="shared" si="9"/>
        <v>0</v>
      </c>
      <c r="DN76" s="173">
        <f t="shared" si="9"/>
        <v>0</v>
      </c>
      <c r="DO76" s="173">
        <f t="shared" si="9"/>
        <v>0</v>
      </c>
      <c r="DP76" s="173">
        <f t="shared" si="9"/>
        <v>0</v>
      </c>
      <c r="DQ76" s="173">
        <f t="shared" si="9"/>
        <v>0</v>
      </c>
      <c r="DR76" s="173">
        <f t="shared" si="9"/>
        <v>0</v>
      </c>
      <c r="DS76" s="173">
        <f t="shared" si="9"/>
        <v>0</v>
      </c>
      <c r="DT76" s="173">
        <f t="shared" si="9"/>
        <v>0</v>
      </c>
      <c r="DU76" s="173">
        <f t="shared" si="9"/>
        <v>0</v>
      </c>
      <c r="DV76" s="173">
        <f t="shared" si="9"/>
        <v>0</v>
      </c>
      <c r="DW76" s="173">
        <f t="shared" si="9"/>
        <v>0</v>
      </c>
      <c r="DX76" s="173">
        <f t="shared" si="9"/>
        <v>0</v>
      </c>
      <c r="DY76" s="173">
        <f t="shared" si="9"/>
        <v>0</v>
      </c>
      <c r="DZ76" s="173">
        <f t="shared" si="9"/>
        <v>0</v>
      </c>
      <c r="EA76" s="173">
        <f t="shared" si="9"/>
        <v>0</v>
      </c>
      <c r="EB76" s="173">
        <f t="shared" si="9"/>
        <v>0</v>
      </c>
    </row>
    <row r="77" spans="2:132" x14ac:dyDescent="0.25">
      <c r="B77" s="14" t="s">
        <v>1161</v>
      </c>
      <c r="C77" s="173">
        <f>'Calcul éco'!AO169</f>
        <v>5</v>
      </c>
      <c r="D77" s="258">
        <f t="shared" si="3"/>
        <v>4.8</v>
      </c>
      <c r="AT77" s="189" t="str">
        <f t="shared" si="4"/>
        <v>agnelles</v>
      </c>
      <c r="AV77" s="173">
        <f t="shared" si="5"/>
        <v>1</v>
      </c>
      <c r="AW77" s="173">
        <f t="shared" si="5"/>
        <v>1</v>
      </c>
      <c r="AX77" s="173">
        <f t="shared" si="5"/>
        <v>1</v>
      </c>
      <c r="AY77" s="173">
        <f t="shared" si="5"/>
        <v>1</v>
      </c>
      <c r="AZ77" s="173">
        <f t="shared" si="5"/>
        <v>1</v>
      </c>
      <c r="BA77" s="173">
        <f t="shared" si="5"/>
        <v>1</v>
      </c>
      <c r="BB77" s="173">
        <f t="shared" si="5"/>
        <v>1</v>
      </c>
      <c r="BC77" s="173">
        <f t="shared" si="5"/>
        <v>1</v>
      </c>
      <c r="BD77" s="173">
        <f t="shared" si="5"/>
        <v>1</v>
      </c>
      <c r="BE77" s="173">
        <f t="shared" si="5"/>
        <v>1</v>
      </c>
      <c r="BF77" s="173">
        <f t="shared" si="5"/>
        <v>1</v>
      </c>
      <c r="BG77" s="173">
        <f t="shared" si="5"/>
        <v>1</v>
      </c>
      <c r="BH77" s="173">
        <f t="shared" si="5"/>
        <v>1</v>
      </c>
      <c r="BI77" s="173">
        <f t="shared" si="5"/>
        <v>1</v>
      </c>
      <c r="BJ77" s="173">
        <f t="shared" si="5"/>
        <v>1</v>
      </c>
      <c r="BK77" s="173">
        <f t="shared" si="5"/>
        <v>1</v>
      </c>
      <c r="BL77" s="173">
        <f t="shared" si="5"/>
        <v>1</v>
      </c>
      <c r="BM77" s="173">
        <f t="shared" si="5"/>
        <v>1</v>
      </c>
      <c r="BN77" s="173">
        <f t="shared" si="5"/>
        <v>1</v>
      </c>
      <c r="BO77" s="173">
        <f t="shared" si="5"/>
        <v>0</v>
      </c>
      <c r="BP77" s="173">
        <f t="shared" si="5"/>
        <v>0</v>
      </c>
      <c r="BQ77" s="173">
        <f t="shared" si="5"/>
        <v>1</v>
      </c>
      <c r="BR77" s="173">
        <f t="shared" si="5"/>
        <v>1</v>
      </c>
      <c r="BS77" s="173">
        <f t="shared" si="5"/>
        <v>1</v>
      </c>
      <c r="BZ77" s="189" t="str">
        <f t="shared" si="6"/>
        <v>genisses +1an</v>
      </c>
      <c r="CB77" s="173">
        <f t="shared" si="7"/>
        <v>1</v>
      </c>
      <c r="CC77" s="173">
        <f t="shared" si="7"/>
        <v>1</v>
      </c>
      <c r="CD77" s="173">
        <f t="shared" si="7"/>
        <v>1</v>
      </c>
      <c r="CE77" s="173">
        <f t="shared" si="7"/>
        <v>1</v>
      </c>
      <c r="CF77" s="173">
        <f t="shared" si="7"/>
        <v>1</v>
      </c>
      <c r="CG77" s="173">
        <f t="shared" si="7"/>
        <v>1</v>
      </c>
      <c r="CH77" s="173">
        <f t="shared" si="7"/>
        <v>1</v>
      </c>
      <c r="CI77" s="173">
        <f t="shared" si="7"/>
        <v>1</v>
      </c>
      <c r="CJ77" s="173">
        <f t="shared" si="7"/>
        <v>1</v>
      </c>
      <c r="CK77" s="173">
        <f t="shared" si="7"/>
        <v>1</v>
      </c>
      <c r="CL77" s="173">
        <f t="shared" si="7"/>
        <v>1</v>
      </c>
      <c r="CM77" s="173">
        <f t="shared" si="7"/>
        <v>1</v>
      </c>
      <c r="CN77" s="173">
        <f t="shared" si="7"/>
        <v>1</v>
      </c>
      <c r="CO77" s="173">
        <f t="shared" si="7"/>
        <v>1</v>
      </c>
      <c r="CP77" s="173">
        <f t="shared" si="7"/>
        <v>1</v>
      </c>
      <c r="CQ77" s="173">
        <f t="shared" si="7"/>
        <v>1</v>
      </c>
      <c r="CR77" s="173">
        <f t="shared" si="7"/>
        <v>1</v>
      </c>
      <c r="CS77" s="173">
        <f t="shared" si="7"/>
        <v>1</v>
      </c>
      <c r="CT77" s="173">
        <f t="shared" si="7"/>
        <v>1</v>
      </c>
      <c r="CU77" s="173">
        <f t="shared" si="7"/>
        <v>1</v>
      </c>
      <c r="CV77" s="173">
        <f t="shared" si="7"/>
        <v>1</v>
      </c>
      <c r="CW77" s="173">
        <f t="shared" si="7"/>
        <v>1</v>
      </c>
      <c r="CX77" s="173">
        <f t="shared" si="7"/>
        <v>1</v>
      </c>
      <c r="CY77" s="173">
        <f t="shared" si="7"/>
        <v>1</v>
      </c>
      <c r="DC77" s="189" t="str">
        <f t="shared" si="8"/>
        <v>lot3</v>
      </c>
      <c r="DE77" s="173">
        <f t="shared" si="9"/>
        <v>0</v>
      </c>
      <c r="DF77" s="173">
        <f t="shared" si="9"/>
        <v>0</v>
      </c>
      <c r="DG77" s="173">
        <f t="shared" si="9"/>
        <v>0</v>
      </c>
      <c r="DH77" s="173">
        <f t="shared" si="9"/>
        <v>0</v>
      </c>
      <c r="DI77" s="173">
        <f t="shared" si="9"/>
        <v>0</v>
      </c>
      <c r="DJ77" s="173">
        <f t="shared" si="9"/>
        <v>0</v>
      </c>
      <c r="DK77" s="173">
        <f t="shared" si="9"/>
        <v>0</v>
      </c>
      <c r="DL77" s="173">
        <f t="shared" si="9"/>
        <v>0</v>
      </c>
      <c r="DM77" s="173">
        <f t="shared" si="9"/>
        <v>0</v>
      </c>
      <c r="DN77" s="173">
        <f t="shared" si="9"/>
        <v>0</v>
      </c>
      <c r="DO77" s="173">
        <f t="shared" si="9"/>
        <v>0</v>
      </c>
      <c r="DP77" s="173">
        <f t="shared" si="9"/>
        <v>0</v>
      </c>
      <c r="DQ77" s="173">
        <f t="shared" si="9"/>
        <v>0</v>
      </c>
      <c r="DR77" s="173">
        <f t="shared" si="9"/>
        <v>0</v>
      </c>
      <c r="DS77" s="173">
        <f t="shared" si="9"/>
        <v>0</v>
      </c>
      <c r="DT77" s="173">
        <f t="shared" si="9"/>
        <v>0</v>
      </c>
      <c r="DU77" s="173">
        <f t="shared" si="9"/>
        <v>0</v>
      </c>
      <c r="DV77" s="173">
        <f t="shared" si="9"/>
        <v>0</v>
      </c>
      <c r="DW77" s="173">
        <f t="shared" si="9"/>
        <v>0</v>
      </c>
      <c r="DX77" s="173">
        <f t="shared" si="9"/>
        <v>0</v>
      </c>
      <c r="DY77" s="173">
        <f t="shared" si="9"/>
        <v>0</v>
      </c>
      <c r="DZ77" s="173">
        <f t="shared" si="9"/>
        <v>0</v>
      </c>
      <c r="EA77" s="173">
        <f t="shared" si="9"/>
        <v>0</v>
      </c>
      <c r="EB77" s="173">
        <f t="shared" si="9"/>
        <v>0</v>
      </c>
    </row>
    <row r="78" spans="2:132" x14ac:dyDescent="0.25">
      <c r="B78" s="14" t="s">
        <v>1162</v>
      </c>
      <c r="C78" s="173">
        <f>'Calcul éco'!AO165</f>
        <v>18.7</v>
      </c>
      <c r="D78" s="258">
        <f t="shared" si="3"/>
        <v>17.954000000000001</v>
      </c>
      <c r="AT78" s="189" t="str">
        <f t="shared" si="4"/>
        <v>beliers</v>
      </c>
      <c r="AV78" s="173">
        <f t="shared" si="5"/>
        <v>1</v>
      </c>
      <c r="AW78" s="173">
        <f t="shared" si="5"/>
        <v>1</v>
      </c>
      <c r="AX78" s="173">
        <f t="shared" si="5"/>
        <v>1</v>
      </c>
      <c r="AY78" s="173">
        <f t="shared" si="5"/>
        <v>1</v>
      </c>
      <c r="AZ78" s="173">
        <f t="shared" si="5"/>
        <v>1</v>
      </c>
      <c r="BA78" s="173">
        <f t="shared" si="5"/>
        <v>1</v>
      </c>
      <c r="BB78" s="173">
        <f t="shared" si="5"/>
        <v>1</v>
      </c>
      <c r="BC78" s="173">
        <f t="shared" si="5"/>
        <v>1</v>
      </c>
      <c r="BD78" s="173">
        <f t="shared" si="5"/>
        <v>1</v>
      </c>
      <c r="BE78" s="173">
        <f t="shared" si="5"/>
        <v>0</v>
      </c>
      <c r="BF78" s="173">
        <f t="shared" si="5"/>
        <v>0</v>
      </c>
      <c r="BG78" s="173">
        <f t="shared" si="5"/>
        <v>0</v>
      </c>
      <c r="BH78" s="173">
        <f t="shared" si="5"/>
        <v>0</v>
      </c>
      <c r="BI78" s="173">
        <f t="shared" si="5"/>
        <v>0</v>
      </c>
      <c r="BJ78" s="173">
        <f t="shared" si="5"/>
        <v>0</v>
      </c>
      <c r="BK78" s="173">
        <f t="shared" si="5"/>
        <v>0</v>
      </c>
      <c r="BL78" s="173">
        <f t="shared" si="5"/>
        <v>0</v>
      </c>
      <c r="BM78" s="173">
        <f t="shared" si="5"/>
        <v>0</v>
      </c>
      <c r="BN78" s="173">
        <f t="shared" si="5"/>
        <v>0</v>
      </c>
      <c r="BO78" s="173">
        <f t="shared" si="5"/>
        <v>1</v>
      </c>
      <c r="BP78" s="173">
        <f t="shared" si="5"/>
        <v>1</v>
      </c>
      <c r="BQ78" s="173">
        <f t="shared" si="5"/>
        <v>1</v>
      </c>
      <c r="BR78" s="173">
        <f t="shared" si="5"/>
        <v>1</v>
      </c>
      <c r="BS78" s="173">
        <f t="shared" si="5"/>
        <v>1</v>
      </c>
      <c r="BZ78" s="189" t="str">
        <f t="shared" si="6"/>
        <v>lot4</v>
      </c>
      <c r="CB78" s="173">
        <f t="shared" si="7"/>
        <v>0</v>
      </c>
      <c r="CC78" s="173">
        <f t="shared" si="7"/>
        <v>0</v>
      </c>
      <c r="CD78" s="173">
        <f t="shared" si="7"/>
        <v>0</v>
      </c>
      <c r="CE78" s="173">
        <f t="shared" si="7"/>
        <v>0</v>
      </c>
      <c r="CF78" s="173">
        <f t="shared" si="7"/>
        <v>0</v>
      </c>
      <c r="CG78" s="173">
        <f t="shared" si="7"/>
        <v>0</v>
      </c>
      <c r="CH78" s="173">
        <f t="shared" si="7"/>
        <v>0</v>
      </c>
      <c r="CI78" s="173">
        <f t="shared" si="7"/>
        <v>0</v>
      </c>
      <c r="CJ78" s="173">
        <f t="shared" si="7"/>
        <v>0</v>
      </c>
      <c r="CK78" s="173">
        <f t="shared" si="7"/>
        <v>0</v>
      </c>
      <c r="CL78" s="173">
        <f t="shared" si="7"/>
        <v>0</v>
      </c>
      <c r="CM78" s="173">
        <f t="shared" si="7"/>
        <v>0</v>
      </c>
      <c r="CN78" s="173">
        <f t="shared" si="7"/>
        <v>0</v>
      </c>
      <c r="CO78" s="173">
        <f t="shared" si="7"/>
        <v>0</v>
      </c>
      <c r="CP78" s="173">
        <f t="shared" si="7"/>
        <v>0</v>
      </c>
      <c r="CQ78" s="173">
        <f t="shared" si="7"/>
        <v>0</v>
      </c>
      <c r="CR78" s="173">
        <f t="shared" si="7"/>
        <v>0</v>
      </c>
      <c r="CS78" s="173">
        <f t="shared" si="7"/>
        <v>0</v>
      </c>
      <c r="CT78" s="173">
        <f t="shared" si="7"/>
        <v>0</v>
      </c>
      <c r="CU78" s="173">
        <f t="shared" si="7"/>
        <v>0</v>
      </c>
      <c r="CV78" s="173">
        <f t="shared" si="7"/>
        <v>0</v>
      </c>
      <c r="CW78" s="173">
        <f t="shared" si="7"/>
        <v>0</v>
      </c>
      <c r="CX78" s="173">
        <f t="shared" si="7"/>
        <v>0</v>
      </c>
      <c r="CY78" s="173">
        <f t="shared" si="7"/>
        <v>0</v>
      </c>
      <c r="DC78" s="189" t="str">
        <f t="shared" si="8"/>
        <v>lot4</v>
      </c>
      <c r="DE78" s="173">
        <f t="shared" si="9"/>
        <v>0</v>
      </c>
      <c r="DF78" s="173">
        <f t="shared" si="9"/>
        <v>0</v>
      </c>
      <c r="DG78" s="173">
        <f t="shared" si="9"/>
        <v>0</v>
      </c>
      <c r="DH78" s="173">
        <f t="shared" si="9"/>
        <v>0</v>
      </c>
      <c r="DI78" s="173">
        <f t="shared" si="9"/>
        <v>0</v>
      </c>
      <c r="DJ78" s="173">
        <f t="shared" si="9"/>
        <v>0</v>
      </c>
      <c r="DK78" s="173">
        <f t="shared" si="9"/>
        <v>0</v>
      </c>
      <c r="DL78" s="173">
        <f t="shared" si="9"/>
        <v>0</v>
      </c>
      <c r="DM78" s="173">
        <f t="shared" si="9"/>
        <v>0</v>
      </c>
      <c r="DN78" s="173">
        <f t="shared" si="9"/>
        <v>0</v>
      </c>
      <c r="DO78" s="173">
        <f t="shared" si="9"/>
        <v>0</v>
      </c>
      <c r="DP78" s="173">
        <f t="shared" si="9"/>
        <v>0</v>
      </c>
      <c r="DQ78" s="173">
        <f t="shared" si="9"/>
        <v>0</v>
      </c>
      <c r="DR78" s="173">
        <f t="shared" si="9"/>
        <v>0</v>
      </c>
      <c r="DS78" s="173">
        <f t="shared" si="9"/>
        <v>0</v>
      </c>
      <c r="DT78" s="173">
        <f t="shared" si="9"/>
        <v>0</v>
      </c>
      <c r="DU78" s="173">
        <f t="shared" si="9"/>
        <v>0</v>
      </c>
      <c r="DV78" s="173">
        <f t="shared" si="9"/>
        <v>0</v>
      </c>
      <c r="DW78" s="173">
        <f t="shared" si="9"/>
        <v>0</v>
      </c>
      <c r="DX78" s="173">
        <f t="shared" si="9"/>
        <v>0</v>
      </c>
      <c r="DY78" s="173">
        <f t="shared" si="9"/>
        <v>0</v>
      </c>
      <c r="DZ78" s="173">
        <f t="shared" si="9"/>
        <v>0</v>
      </c>
      <c r="EA78" s="173">
        <f t="shared" si="9"/>
        <v>0</v>
      </c>
      <c r="EB78" s="173">
        <f t="shared" si="9"/>
        <v>0</v>
      </c>
    </row>
    <row r="79" spans="2:132" x14ac:dyDescent="0.25">
      <c r="B79" s="14" t="s">
        <v>1163</v>
      </c>
      <c r="C79" s="173">
        <f>'Calcul éco'!AO168</f>
        <v>4.3</v>
      </c>
      <c r="D79" s="258">
        <f t="shared" si="3"/>
        <v>4.1280000000000001</v>
      </c>
      <c r="AT79" s="189" t="str">
        <f t="shared" si="4"/>
        <v>lot5</v>
      </c>
      <c r="AV79" s="173">
        <f t="shared" si="5"/>
        <v>0</v>
      </c>
      <c r="AW79" s="173">
        <f t="shared" si="5"/>
        <v>0</v>
      </c>
      <c r="AX79" s="173">
        <f t="shared" si="5"/>
        <v>0</v>
      </c>
      <c r="AY79" s="173">
        <f t="shared" si="5"/>
        <v>0</v>
      </c>
      <c r="AZ79" s="173">
        <f t="shared" si="5"/>
        <v>0</v>
      </c>
      <c r="BA79" s="173">
        <f t="shared" si="5"/>
        <v>0</v>
      </c>
      <c r="BB79" s="173">
        <f t="shared" si="5"/>
        <v>0</v>
      </c>
      <c r="BC79" s="173">
        <f t="shared" si="5"/>
        <v>0</v>
      </c>
      <c r="BD79" s="173">
        <f t="shared" si="5"/>
        <v>0</v>
      </c>
      <c r="BE79" s="173">
        <f t="shared" si="5"/>
        <v>0</v>
      </c>
      <c r="BF79" s="173">
        <f t="shared" si="5"/>
        <v>0</v>
      </c>
      <c r="BG79" s="173">
        <f t="shared" si="5"/>
        <v>0</v>
      </c>
      <c r="BH79" s="173">
        <f t="shared" si="5"/>
        <v>0</v>
      </c>
      <c r="BI79" s="173">
        <f t="shared" si="5"/>
        <v>0</v>
      </c>
      <c r="BJ79" s="173">
        <f t="shared" si="5"/>
        <v>0</v>
      </c>
      <c r="BK79" s="173">
        <f t="shared" si="5"/>
        <v>0</v>
      </c>
      <c r="BL79" s="173">
        <f t="shared" si="5"/>
        <v>0</v>
      </c>
      <c r="BM79" s="173">
        <f t="shared" si="5"/>
        <v>0</v>
      </c>
      <c r="BN79" s="173">
        <f t="shared" si="5"/>
        <v>0</v>
      </c>
      <c r="BO79" s="173">
        <f t="shared" si="5"/>
        <v>0</v>
      </c>
      <c r="BP79" s="173">
        <f t="shared" si="5"/>
        <v>0</v>
      </c>
      <c r="BQ79" s="173">
        <f t="shared" si="5"/>
        <v>0</v>
      </c>
      <c r="BR79" s="173">
        <f t="shared" si="5"/>
        <v>0</v>
      </c>
      <c r="BS79" s="173">
        <f t="shared" si="5"/>
        <v>0</v>
      </c>
      <c r="BZ79" s="189" t="str">
        <f t="shared" si="6"/>
        <v>lot5</v>
      </c>
      <c r="CB79" s="173">
        <f t="shared" si="7"/>
        <v>0</v>
      </c>
      <c r="CC79" s="173">
        <f t="shared" si="7"/>
        <v>0</v>
      </c>
      <c r="CD79" s="173">
        <f t="shared" si="7"/>
        <v>0</v>
      </c>
      <c r="CE79" s="173">
        <f t="shared" si="7"/>
        <v>0</v>
      </c>
      <c r="CF79" s="173">
        <f t="shared" si="7"/>
        <v>0</v>
      </c>
      <c r="CG79" s="173">
        <f t="shared" si="7"/>
        <v>0</v>
      </c>
      <c r="CH79" s="173">
        <f t="shared" si="7"/>
        <v>0</v>
      </c>
      <c r="CI79" s="173">
        <f t="shared" si="7"/>
        <v>0</v>
      </c>
      <c r="CJ79" s="173">
        <f t="shared" si="7"/>
        <v>0</v>
      </c>
      <c r="CK79" s="173">
        <f t="shared" si="7"/>
        <v>0</v>
      </c>
      <c r="CL79" s="173">
        <f t="shared" si="7"/>
        <v>0</v>
      </c>
      <c r="CM79" s="173">
        <f t="shared" si="7"/>
        <v>0</v>
      </c>
      <c r="CN79" s="173">
        <f t="shared" si="7"/>
        <v>0</v>
      </c>
      <c r="CO79" s="173">
        <f t="shared" si="7"/>
        <v>0</v>
      </c>
      <c r="CP79" s="173">
        <f t="shared" si="7"/>
        <v>0</v>
      </c>
      <c r="CQ79" s="173">
        <f t="shared" si="7"/>
        <v>0</v>
      </c>
      <c r="CR79" s="173">
        <f t="shared" si="7"/>
        <v>0</v>
      </c>
      <c r="CS79" s="173">
        <f t="shared" si="7"/>
        <v>0</v>
      </c>
      <c r="CT79" s="173">
        <f t="shared" si="7"/>
        <v>0</v>
      </c>
      <c r="CU79" s="173">
        <f t="shared" si="7"/>
        <v>0</v>
      </c>
      <c r="CV79" s="173">
        <f t="shared" si="7"/>
        <v>0</v>
      </c>
      <c r="CW79" s="173">
        <f t="shared" si="7"/>
        <v>0</v>
      </c>
      <c r="CX79" s="173">
        <f t="shared" si="7"/>
        <v>0</v>
      </c>
      <c r="CY79" s="173">
        <f t="shared" si="7"/>
        <v>0</v>
      </c>
      <c r="DC79" s="189" t="str">
        <f t="shared" si="8"/>
        <v>lot5</v>
      </c>
      <c r="DE79" s="173">
        <f t="shared" si="9"/>
        <v>0</v>
      </c>
      <c r="DF79" s="173">
        <f t="shared" si="9"/>
        <v>0</v>
      </c>
      <c r="DG79" s="173">
        <f t="shared" si="9"/>
        <v>0</v>
      </c>
      <c r="DH79" s="173">
        <f t="shared" si="9"/>
        <v>0</v>
      </c>
      <c r="DI79" s="173">
        <f t="shared" si="9"/>
        <v>0</v>
      </c>
      <c r="DJ79" s="173">
        <f t="shared" si="9"/>
        <v>0</v>
      </c>
      <c r="DK79" s="173">
        <f t="shared" si="9"/>
        <v>0</v>
      </c>
      <c r="DL79" s="173">
        <f t="shared" si="9"/>
        <v>0</v>
      </c>
      <c r="DM79" s="173">
        <f t="shared" si="9"/>
        <v>0</v>
      </c>
      <c r="DN79" s="173">
        <f t="shared" si="9"/>
        <v>0</v>
      </c>
      <c r="DO79" s="173">
        <f t="shared" si="9"/>
        <v>0</v>
      </c>
      <c r="DP79" s="173">
        <f t="shared" si="9"/>
        <v>0</v>
      </c>
      <c r="DQ79" s="173">
        <f t="shared" si="9"/>
        <v>0</v>
      </c>
      <c r="DR79" s="173">
        <f t="shared" si="9"/>
        <v>0</v>
      </c>
      <c r="DS79" s="173">
        <f t="shared" si="9"/>
        <v>0</v>
      </c>
      <c r="DT79" s="173">
        <f t="shared" si="9"/>
        <v>0</v>
      </c>
      <c r="DU79" s="173">
        <f t="shared" si="9"/>
        <v>0</v>
      </c>
      <c r="DV79" s="173">
        <f t="shared" si="9"/>
        <v>0</v>
      </c>
      <c r="DW79" s="173">
        <f t="shared" si="9"/>
        <v>0</v>
      </c>
      <c r="DX79" s="173">
        <f t="shared" si="9"/>
        <v>0</v>
      </c>
      <c r="DY79" s="173">
        <f t="shared" si="9"/>
        <v>0</v>
      </c>
      <c r="DZ79" s="173">
        <f t="shared" si="9"/>
        <v>0</v>
      </c>
      <c r="EA79" s="173">
        <f t="shared" si="9"/>
        <v>0</v>
      </c>
      <c r="EB79" s="173">
        <f t="shared" si="9"/>
        <v>0</v>
      </c>
    </row>
    <row r="80" spans="2:132" x14ac:dyDescent="0.25">
      <c r="B80" s="14" t="s">
        <v>1164</v>
      </c>
      <c r="C80" s="173">
        <f>'Calcul éco'!AO171</f>
        <v>11.1</v>
      </c>
      <c r="D80" s="258">
        <f t="shared" si="3"/>
        <v>10.657</v>
      </c>
      <c r="AT80" s="189" t="str">
        <f t="shared" si="4"/>
        <v>lot6</v>
      </c>
      <c r="AV80" s="173">
        <f t="shared" si="5"/>
        <v>0</v>
      </c>
      <c r="AW80" s="173">
        <f t="shared" si="5"/>
        <v>0</v>
      </c>
      <c r="AX80" s="173">
        <f t="shared" si="5"/>
        <v>0</v>
      </c>
      <c r="AY80" s="173">
        <f t="shared" si="5"/>
        <v>0</v>
      </c>
      <c r="AZ80" s="173">
        <f t="shared" si="5"/>
        <v>0</v>
      </c>
      <c r="BA80" s="173">
        <f t="shared" si="5"/>
        <v>0</v>
      </c>
      <c r="BB80" s="173">
        <f t="shared" si="5"/>
        <v>0</v>
      </c>
      <c r="BC80" s="173">
        <f t="shared" si="5"/>
        <v>0</v>
      </c>
      <c r="BD80" s="173">
        <f t="shared" si="5"/>
        <v>0</v>
      </c>
      <c r="BE80" s="173">
        <f t="shared" si="5"/>
        <v>0</v>
      </c>
      <c r="BF80" s="173">
        <f t="shared" si="5"/>
        <v>0</v>
      </c>
      <c r="BG80" s="173">
        <f t="shared" si="5"/>
        <v>0</v>
      </c>
      <c r="BH80" s="173">
        <f t="shared" si="5"/>
        <v>0</v>
      </c>
      <c r="BI80" s="173">
        <f t="shared" si="5"/>
        <v>0</v>
      </c>
      <c r="BJ80" s="173">
        <f t="shared" si="5"/>
        <v>0</v>
      </c>
      <c r="BK80" s="173">
        <f t="shared" si="5"/>
        <v>0</v>
      </c>
      <c r="BL80" s="173">
        <f t="shared" si="5"/>
        <v>0</v>
      </c>
      <c r="BM80" s="173">
        <f t="shared" si="5"/>
        <v>0</v>
      </c>
      <c r="BN80" s="173">
        <f t="shared" si="5"/>
        <v>0</v>
      </c>
      <c r="BO80" s="173">
        <f t="shared" si="5"/>
        <v>0</v>
      </c>
      <c r="BP80" s="173">
        <f t="shared" si="5"/>
        <v>0</v>
      </c>
      <c r="BQ80" s="173">
        <f t="shared" si="5"/>
        <v>0</v>
      </c>
      <c r="BR80" s="173">
        <f t="shared" si="5"/>
        <v>0</v>
      </c>
      <c r="BS80" s="173">
        <f t="shared" si="5"/>
        <v>0</v>
      </c>
      <c r="BZ80" s="189" t="str">
        <f t="shared" si="6"/>
        <v>lot6</v>
      </c>
      <c r="CB80" s="173">
        <f t="shared" si="7"/>
        <v>0</v>
      </c>
      <c r="CC80" s="173">
        <f t="shared" si="7"/>
        <v>0</v>
      </c>
      <c r="CD80" s="173">
        <f t="shared" si="7"/>
        <v>0</v>
      </c>
      <c r="CE80" s="173">
        <f t="shared" si="7"/>
        <v>0</v>
      </c>
      <c r="CF80" s="173">
        <f t="shared" si="7"/>
        <v>0</v>
      </c>
      <c r="CG80" s="173">
        <f t="shared" si="7"/>
        <v>0</v>
      </c>
      <c r="CH80" s="173">
        <f t="shared" si="7"/>
        <v>0</v>
      </c>
      <c r="CI80" s="173">
        <f t="shared" si="7"/>
        <v>0</v>
      </c>
      <c r="CJ80" s="173">
        <f t="shared" si="7"/>
        <v>0</v>
      </c>
      <c r="CK80" s="173">
        <f t="shared" si="7"/>
        <v>0</v>
      </c>
      <c r="CL80" s="173">
        <f t="shared" si="7"/>
        <v>0</v>
      </c>
      <c r="CM80" s="173">
        <f t="shared" si="7"/>
        <v>0</v>
      </c>
      <c r="CN80" s="173">
        <f t="shared" si="7"/>
        <v>0</v>
      </c>
      <c r="CO80" s="173">
        <f t="shared" si="7"/>
        <v>0</v>
      </c>
      <c r="CP80" s="173">
        <f t="shared" si="7"/>
        <v>0</v>
      </c>
      <c r="CQ80" s="173">
        <f t="shared" si="7"/>
        <v>0</v>
      </c>
      <c r="CR80" s="173">
        <f t="shared" si="7"/>
        <v>0</v>
      </c>
      <c r="CS80" s="173">
        <f t="shared" si="7"/>
        <v>0</v>
      </c>
      <c r="CT80" s="173">
        <f t="shared" si="7"/>
        <v>0</v>
      </c>
      <c r="CU80" s="173">
        <f t="shared" si="7"/>
        <v>0</v>
      </c>
      <c r="CV80" s="173">
        <f t="shared" si="7"/>
        <v>0</v>
      </c>
      <c r="CW80" s="173">
        <f t="shared" si="7"/>
        <v>0</v>
      </c>
      <c r="CX80" s="173">
        <f t="shared" si="7"/>
        <v>0</v>
      </c>
      <c r="CY80" s="173">
        <f t="shared" si="7"/>
        <v>0</v>
      </c>
      <c r="DC80" s="189" t="str">
        <f t="shared" si="8"/>
        <v>lot6</v>
      </c>
      <c r="DE80" s="173">
        <f t="shared" si="9"/>
        <v>0</v>
      </c>
      <c r="DF80" s="173">
        <f t="shared" si="9"/>
        <v>0</v>
      </c>
      <c r="DG80" s="173">
        <f t="shared" si="9"/>
        <v>0</v>
      </c>
      <c r="DH80" s="173">
        <f t="shared" si="9"/>
        <v>0</v>
      </c>
      <c r="DI80" s="173">
        <f t="shared" si="9"/>
        <v>0</v>
      </c>
      <c r="DJ80" s="173">
        <f t="shared" si="9"/>
        <v>0</v>
      </c>
      <c r="DK80" s="173">
        <f t="shared" si="9"/>
        <v>0</v>
      </c>
      <c r="DL80" s="173">
        <f t="shared" si="9"/>
        <v>0</v>
      </c>
      <c r="DM80" s="173">
        <f t="shared" si="9"/>
        <v>0</v>
      </c>
      <c r="DN80" s="173">
        <f t="shared" si="9"/>
        <v>0</v>
      </c>
      <c r="DO80" s="173">
        <f t="shared" si="9"/>
        <v>0</v>
      </c>
      <c r="DP80" s="173">
        <f t="shared" si="9"/>
        <v>0</v>
      </c>
      <c r="DQ80" s="173">
        <f t="shared" si="9"/>
        <v>0</v>
      </c>
      <c r="DR80" s="173">
        <f t="shared" si="9"/>
        <v>0</v>
      </c>
      <c r="DS80" s="173">
        <f t="shared" si="9"/>
        <v>0</v>
      </c>
      <c r="DT80" s="173">
        <f t="shared" si="9"/>
        <v>0</v>
      </c>
      <c r="DU80" s="173">
        <f t="shared" si="9"/>
        <v>0</v>
      </c>
      <c r="DV80" s="173">
        <f t="shared" si="9"/>
        <v>0</v>
      </c>
      <c r="DW80" s="173">
        <f t="shared" si="9"/>
        <v>0</v>
      </c>
      <c r="DX80" s="173">
        <f t="shared" si="9"/>
        <v>0</v>
      </c>
      <c r="DY80" s="173">
        <f t="shared" si="9"/>
        <v>0</v>
      </c>
      <c r="DZ80" s="173">
        <f t="shared" si="9"/>
        <v>0</v>
      </c>
      <c r="EA80" s="173">
        <f t="shared" si="9"/>
        <v>0</v>
      </c>
      <c r="EB80" s="173">
        <f t="shared" si="9"/>
        <v>0</v>
      </c>
    </row>
    <row r="81" spans="1:132" x14ac:dyDescent="0.25">
      <c r="B81" s="14" t="s">
        <v>1165</v>
      </c>
      <c r="C81" s="173">
        <f>C74+C75</f>
        <v>29</v>
      </c>
      <c r="D81" s="258">
        <f>ROUND(C81*$D$82/$C$82,3)</f>
        <v>27.843</v>
      </c>
      <c r="AT81" s="189" t="str">
        <f t="shared" si="4"/>
        <v>lot7</v>
      </c>
      <c r="AV81" s="173">
        <f t="shared" si="5"/>
        <v>0</v>
      </c>
      <c r="AW81" s="173">
        <f t="shared" si="5"/>
        <v>0</v>
      </c>
      <c r="AX81" s="173">
        <f t="shared" si="5"/>
        <v>0</v>
      </c>
      <c r="AY81" s="173">
        <f t="shared" si="5"/>
        <v>0</v>
      </c>
      <c r="AZ81" s="173">
        <f t="shared" si="5"/>
        <v>0</v>
      </c>
      <c r="BA81" s="173">
        <f t="shared" si="5"/>
        <v>0</v>
      </c>
      <c r="BB81" s="173">
        <f t="shared" si="5"/>
        <v>0</v>
      </c>
      <c r="BC81" s="173">
        <f t="shared" si="5"/>
        <v>0</v>
      </c>
      <c r="BD81" s="173">
        <f t="shared" si="5"/>
        <v>0</v>
      </c>
      <c r="BE81" s="173">
        <f t="shared" si="5"/>
        <v>0</v>
      </c>
      <c r="BF81" s="173">
        <f t="shared" si="5"/>
        <v>0</v>
      </c>
      <c r="BG81" s="173">
        <f t="shared" si="5"/>
        <v>0</v>
      </c>
      <c r="BH81" s="173">
        <f t="shared" si="5"/>
        <v>0</v>
      </c>
      <c r="BI81" s="173">
        <f t="shared" si="5"/>
        <v>0</v>
      </c>
      <c r="BJ81" s="173">
        <f t="shared" si="5"/>
        <v>0</v>
      </c>
      <c r="BK81" s="173">
        <f t="shared" si="5"/>
        <v>0</v>
      </c>
      <c r="BL81" s="173">
        <f t="shared" si="5"/>
        <v>0</v>
      </c>
      <c r="BM81" s="173">
        <f t="shared" si="5"/>
        <v>0</v>
      </c>
      <c r="BN81" s="173">
        <f t="shared" si="5"/>
        <v>0</v>
      </c>
      <c r="BO81" s="173">
        <f t="shared" si="5"/>
        <v>0</v>
      </c>
      <c r="BP81" s="173">
        <f t="shared" si="5"/>
        <v>0</v>
      </c>
      <c r="BQ81" s="173">
        <f t="shared" si="5"/>
        <v>0</v>
      </c>
      <c r="BR81" s="173">
        <f t="shared" si="5"/>
        <v>0</v>
      </c>
      <c r="BS81" s="173">
        <f t="shared" si="5"/>
        <v>0</v>
      </c>
      <c r="BZ81" s="189" t="str">
        <f t="shared" si="6"/>
        <v>lot7</v>
      </c>
      <c r="CB81" s="173">
        <f t="shared" si="7"/>
        <v>0</v>
      </c>
      <c r="CC81" s="173">
        <f t="shared" si="7"/>
        <v>0</v>
      </c>
      <c r="CD81" s="173">
        <f t="shared" si="7"/>
        <v>0</v>
      </c>
      <c r="CE81" s="173">
        <f t="shared" si="7"/>
        <v>0</v>
      </c>
      <c r="CF81" s="173">
        <f t="shared" si="7"/>
        <v>0</v>
      </c>
      <c r="CG81" s="173">
        <f t="shared" si="7"/>
        <v>0</v>
      </c>
      <c r="CH81" s="173">
        <f t="shared" si="7"/>
        <v>0</v>
      </c>
      <c r="CI81" s="173">
        <f t="shared" si="7"/>
        <v>0</v>
      </c>
      <c r="CJ81" s="173">
        <f t="shared" si="7"/>
        <v>0</v>
      </c>
      <c r="CK81" s="173">
        <f t="shared" si="7"/>
        <v>0</v>
      </c>
      <c r="CL81" s="173">
        <f t="shared" si="7"/>
        <v>0</v>
      </c>
      <c r="CM81" s="173">
        <f t="shared" si="7"/>
        <v>0</v>
      </c>
      <c r="CN81" s="173">
        <f t="shared" si="7"/>
        <v>0</v>
      </c>
      <c r="CO81" s="173">
        <f t="shared" si="7"/>
        <v>0</v>
      </c>
      <c r="CP81" s="173">
        <f t="shared" si="7"/>
        <v>0</v>
      </c>
      <c r="CQ81" s="173">
        <f t="shared" si="7"/>
        <v>0</v>
      </c>
      <c r="CR81" s="173">
        <f t="shared" si="7"/>
        <v>0</v>
      </c>
      <c r="CS81" s="173">
        <f t="shared" si="7"/>
        <v>0</v>
      </c>
      <c r="CT81" s="173">
        <f t="shared" si="7"/>
        <v>0</v>
      </c>
      <c r="CU81" s="173">
        <f t="shared" si="7"/>
        <v>0</v>
      </c>
      <c r="CV81" s="173">
        <f t="shared" si="7"/>
        <v>0</v>
      </c>
      <c r="CW81" s="173">
        <f t="shared" si="7"/>
        <v>0</v>
      </c>
      <c r="CX81" s="173">
        <f t="shared" si="7"/>
        <v>0</v>
      </c>
      <c r="CY81" s="173">
        <f t="shared" si="7"/>
        <v>0</v>
      </c>
      <c r="DC81" s="189" t="str">
        <f t="shared" si="8"/>
        <v>lot7</v>
      </c>
      <c r="DE81" s="173">
        <f t="shared" si="9"/>
        <v>0</v>
      </c>
      <c r="DF81" s="173">
        <f t="shared" si="9"/>
        <v>0</v>
      </c>
      <c r="DG81" s="173">
        <f t="shared" si="9"/>
        <v>0</v>
      </c>
      <c r="DH81" s="173">
        <f t="shared" si="9"/>
        <v>0</v>
      </c>
      <c r="DI81" s="173">
        <f t="shared" si="9"/>
        <v>0</v>
      </c>
      <c r="DJ81" s="173">
        <f t="shared" si="9"/>
        <v>0</v>
      </c>
      <c r="DK81" s="173">
        <f t="shared" si="9"/>
        <v>0</v>
      </c>
      <c r="DL81" s="173">
        <f t="shared" si="9"/>
        <v>0</v>
      </c>
      <c r="DM81" s="173">
        <f t="shared" si="9"/>
        <v>0</v>
      </c>
      <c r="DN81" s="173">
        <f t="shared" si="9"/>
        <v>0</v>
      </c>
      <c r="DO81" s="173">
        <f t="shared" si="9"/>
        <v>0</v>
      </c>
      <c r="DP81" s="173">
        <f t="shared" si="9"/>
        <v>0</v>
      </c>
      <c r="DQ81" s="173">
        <f t="shared" si="9"/>
        <v>0</v>
      </c>
      <c r="DR81" s="173">
        <f t="shared" si="9"/>
        <v>0</v>
      </c>
      <c r="DS81" s="173">
        <f t="shared" si="9"/>
        <v>0</v>
      </c>
      <c r="DT81" s="173">
        <f t="shared" si="9"/>
        <v>0</v>
      </c>
      <c r="DU81" s="173">
        <f t="shared" si="9"/>
        <v>0</v>
      </c>
      <c r="DV81" s="173">
        <f t="shared" si="9"/>
        <v>0</v>
      </c>
      <c r="DW81" s="173">
        <f t="shared" si="9"/>
        <v>0</v>
      </c>
      <c r="DX81" s="173">
        <f t="shared" si="9"/>
        <v>0</v>
      </c>
      <c r="DY81" s="173">
        <f t="shared" si="9"/>
        <v>0</v>
      </c>
      <c r="DZ81" s="173">
        <f t="shared" si="9"/>
        <v>0</v>
      </c>
      <c r="EA81" s="173">
        <f t="shared" si="9"/>
        <v>0</v>
      </c>
      <c r="EB81" s="173">
        <f t="shared" si="9"/>
        <v>0</v>
      </c>
    </row>
    <row r="82" spans="1:132" x14ac:dyDescent="0.25">
      <c r="B82" s="14" t="s">
        <v>1166</v>
      </c>
      <c r="C82" s="173">
        <f>C81+C80</f>
        <v>40.1</v>
      </c>
      <c r="D82" s="80">
        <v>38.5</v>
      </c>
      <c r="E82" s="85" t="s">
        <v>1167</v>
      </c>
      <c r="AT82" s="189" t="str">
        <f t="shared" si="4"/>
        <v>lot8</v>
      </c>
      <c r="AV82" s="173">
        <f t="shared" si="5"/>
        <v>0</v>
      </c>
      <c r="AW82" s="173">
        <f t="shared" si="5"/>
        <v>0</v>
      </c>
      <c r="AX82" s="173">
        <f t="shared" si="5"/>
        <v>0</v>
      </c>
      <c r="AY82" s="173">
        <f t="shared" si="5"/>
        <v>0</v>
      </c>
      <c r="AZ82" s="173">
        <f t="shared" si="5"/>
        <v>0</v>
      </c>
      <c r="BA82" s="173">
        <f t="shared" si="5"/>
        <v>0</v>
      </c>
      <c r="BB82" s="173">
        <f t="shared" si="5"/>
        <v>0</v>
      </c>
      <c r="BC82" s="173">
        <f t="shared" si="5"/>
        <v>0</v>
      </c>
      <c r="BD82" s="173">
        <f t="shared" si="5"/>
        <v>0</v>
      </c>
      <c r="BE82" s="173">
        <f t="shared" si="5"/>
        <v>0</v>
      </c>
      <c r="BF82" s="173">
        <f t="shared" si="5"/>
        <v>0</v>
      </c>
      <c r="BG82" s="173">
        <f t="shared" si="5"/>
        <v>0</v>
      </c>
      <c r="BH82" s="173">
        <f t="shared" si="5"/>
        <v>0</v>
      </c>
      <c r="BI82" s="173">
        <f t="shared" si="5"/>
        <v>0</v>
      </c>
      <c r="BJ82" s="173">
        <f t="shared" si="5"/>
        <v>0</v>
      </c>
      <c r="BK82" s="173">
        <f t="shared" si="5"/>
        <v>0</v>
      </c>
      <c r="BL82" s="173">
        <f t="shared" si="5"/>
        <v>0</v>
      </c>
      <c r="BM82" s="173">
        <f t="shared" si="5"/>
        <v>0</v>
      </c>
      <c r="BN82" s="173">
        <f t="shared" si="5"/>
        <v>0</v>
      </c>
      <c r="BO82" s="173">
        <f t="shared" si="5"/>
        <v>0</v>
      </c>
      <c r="BP82" s="173">
        <f t="shared" si="5"/>
        <v>0</v>
      </c>
      <c r="BQ82" s="173">
        <f t="shared" si="5"/>
        <v>0</v>
      </c>
      <c r="BR82" s="173">
        <f t="shared" si="5"/>
        <v>0</v>
      </c>
      <c r="BS82" s="173">
        <f t="shared" si="5"/>
        <v>0</v>
      </c>
      <c r="BZ82" s="189" t="str">
        <f t="shared" si="6"/>
        <v>lot8</v>
      </c>
      <c r="CB82" s="173">
        <f t="shared" si="7"/>
        <v>0</v>
      </c>
      <c r="CC82" s="173">
        <f t="shared" si="7"/>
        <v>0</v>
      </c>
      <c r="CD82" s="173">
        <f t="shared" si="7"/>
        <v>0</v>
      </c>
      <c r="CE82" s="173">
        <f t="shared" si="7"/>
        <v>0</v>
      </c>
      <c r="CF82" s="173">
        <f t="shared" si="7"/>
        <v>0</v>
      </c>
      <c r="CG82" s="173">
        <f t="shared" si="7"/>
        <v>0</v>
      </c>
      <c r="CH82" s="173">
        <f t="shared" si="7"/>
        <v>0</v>
      </c>
      <c r="CI82" s="173">
        <f t="shared" si="7"/>
        <v>0</v>
      </c>
      <c r="CJ82" s="173">
        <f t="shared" si="7"/>
        <v>0</v>
      </c>
      <c r="CK82" s="173">
        <f t="shared" si="7"/>
        <v>0</v>
      </c>
      <c r="CL82" s="173">
        <f t="shared" si="7"/>
        <v>0</v>
      </c>
      <c r="CM82" s="173">
        <f t="shared" si="7"/>
        <v>0</v>
      </c>
      <c r="CN82" s="173">
        <f t="shared" si="7"/>
        <v>0</v>
      </c>
      <c r="CO82" s="173">
        <f t="shared" si="7"/>
        <v>0</v>
      </c>
      <c r="CP82" s="173">
        <f t="shared" si="7"/>
        <v>0</v>
      </c>
      <c r="CQ82" s="173">
        <f t="shared" si="7"/>
        <v>0</v>
      </c>
      <c r="CR82" s="173">
        <f t="shared" si="7"/>
        <v>0</v>
      </c>
      <c r="CS82" s="173">
        <f t="shared" si="7"/>
        <v>0</v>
      </c>
      <c r="CT82" s="173">
        <f t="shared" si="7"/>
        <v>0</v>
      </c>
      <c r="CU82" s="173">
        <f t="shared" si="7"/>
        <v>0</v>
      </c>
      <c r="CV82" s="173">
        <f t="shared" si="7"/>
        <v>0</v>
      </c>
      <c r="CW82" s="173">
        <f t="shared" si="7"/>
        <v>0</v>
      </c>
      <c r="CX82" s="173">
        <f t="shared" si="7"/>
        <v>0</v>
      </c>
      <c r="CY82" s="173">
        <f t="shared" si="7"/>
        <v>0</v>
      </c>
      <c r="DC82" s="189" t="str">
        <f t="shared" si="8"/>
        <v>lot8</v>
      </c>
      <c r="DE82" s="173">
        <f t="shared" si="9"/>
        <v>0</v>
      </c>
      <c r="DF82" s="173">
        <f t="shared" si="9"/>
        <v>0</v>
      </c>
      <c r="DG82" s="173">
        <f t="shared" si="9"/>
        <v>0</v>
      </c>
      <c r="DH82" s="173">
        <f t="shared" si="9"/>
        <v>0</v>
      </c>
      <c r="DI82" s="173">
        <f t="shared" si="9"/>
        <v>0</v>
      </c>
      <c r="DJ82" s="173">
        <f t="shared" si="9"/>
        <v>0</v>
      </c>
      <c r="DK82" s="173">
        <f t="shared" si="9"/>
        <v>0</v>
      </c>
      <c r="DL82" s="173">
        <f t="shared" si="9"/>
        <v>0</v>
      </c>
      <c r="DM82" s="173">
        <f t="shared" si="9"/>
        <v>0</v>
      </c>
      <c r="DN82" s="173">
        <f t="shared" si="9"/>
        <v>0</v>
      </c>
      <c r="DO82" s="173">
        <f t="shared" si="9"/>
        <v>0</v>
      </c>
      <c r="DP82" s="173">
        <f t="shared" si="9"/>
        <v>0</v>
      </c>
      <c r="DQ82" s="173">
        <f t="shared" si="9"/>
        <v>0</v>
      </c>
      <c r="DR82" s="173">
        <f t="shared" si="9"/>
        <v>0</v>
      </c>
      <c r="DS82" s="173">
        <f t="shared" si="9"/>
        <v>0</v>
      </c>
      <c r="DT82" s="173">
        <f t="shared" si="9"/>
        <v>0</v>
      </c>
      <c r="DU82" s="173">
        <f t="shared" si="9"/>
        <v>0</v>
      </c>
      <c r="DV82" s="173">
        <f t="shared" si="9"/>
        <v>0</v>
      </c>
      <c r="DW82" s="173">
        <f t="shared" si="9"/>
        <v>0</v>
      </c>
      <c r="DX82" s="173">
        <f t="shared" si="9"/>
        <v>0</v>
      </c>
      <c r="DY82" s="173">
        <f t="shared" si="9"/>
        <v>0</v>
      </c>
      <c r="DZ82" s="173">
        <f t="shared" si="9"/>
        <v>0</v>
      </c>
      <c r="EA82" s="173">
        <f t="shared" si="9"/>
        <v>0</v>
      </c>
      <c r="EB82" s="173">
        <f t="shared" si="9"/>
        <v>0</v>
      </c>
    </row>
    <row r="83" spans="1:132" x14ac:dyDescent="0.25">
      <c r="B83" s="14" t="s">
        <v>1395</v>
      </c>
      <c r="C83" s="173">
        <f>Scénario!K4+Scénario!K6</f>
        <v>2</v>
      </c>
      <c r="D83" s="80">
        <v>2</v>
      </c>
      <c r="E83" s="85"/>
      <c r="AT83" s="189"/>
      <c r="AV83" s="173"/>
      <c r="AW83" s="173"/>
      <c r="AX83" s="173"/>
      <c r="AY83" s="173"/>
      <c r="AZ83" s="173"/>
      <c r="BA83" s="173"/>
      <c r="BB83" s="173"/>
      <c r="BC83" s="173"/>
      <c r="BD83" s="173"/>
      <c r="BE83" s="173"/>
      <c r="BF83" s="173"/>
      <c r="BG83" s="173"/>
      <c r="BH83" s="173"/>
      <c r="BI83" s="173"/>
      <c r="BJ83" s="173"/>
      <c r="BK83" s="173"/>
      <c r="BL83" s="173"/>
      <c r="BM83" s="173"/>
      <c r="BN83" s="173"/>
      <c r="BO83" s="173"/>
      <c r="BP83" s="173"/>
      <c r="BQ83" s="173"/>
      <c r="BR83" s="173"/>
      <c r="BS83" s="173"/>
      <c r="BZ83" s="189"/>
      <c r="CB83" s="173"/>
      <c r="CC83" s="173"/>
      <c r="CD83" s="173"/>
      <c r="CE83" s="173"/>
      <c r="CF83" s="173"/>
      <c r="CG83" s="173"/>
      <c r="CH83" s="173"/>
      <c r="CI83" s="173"/>
      <c r="CJ83" s="173"/>
      <c r="CK83" s="173"/>
      <c r="CL83" s="173"/>
      <c r="CM83" s="173"/>
      <c r="CN83" s="173"/>
      <c r="CO83" s="173"/>
      <c r="CP83" s="173"/>
      <c r="CQ83" s="173"/>
      <c r="CR83" s="173"/>
      <c r="CS83" s="173"/>
      <c r="CT83" s="173"/>
      <c r="CU83" s="173"/>
      <c r="CV83" s="173"/>
      <c r="CW83" s="173"/>
      <c r="CX83" s="173"/>
      <c r="CY83" s="173"/>
      <c r="DC83" s="189"/>
      <c r="DE83" s="173"/>
      <c r="DF83" s="173"/>
      <c r="DG83" s="173"/>
      <c r="DH83" s="173"/>
      <c r="DI83" s="173"/>
      <c r="DJ83" s="173"/>
      <c r="DK83" s="173"/>
      <c r="DL83" s="173"/>
      <c r="DM83" s="173"/>
      <c r="DN83" s="173"/>
      <c r="DO83" s="173"/>
      <c r="DP83" s="173"/>
      <c r="DQ83" s="173"/>
      <c r="DR83" s="173"/>
      <c r="DS83" s="173"/>
      <c r="DT83" s="173"/>
      <c r="DU83" s="173"/>
      <c r="DV83" s="173"/>
      <c r="DW83" s="173"/>
      <c r="DX83" s="173"/>
      <c r="DY83" s="173"/>
      <c r="DZ83" s="173"/>
      <c r="EA83" s="173"/>
      <c r="EB83" s="173"/>
    </row>
    <row r="84" spans="1:132" x14ac:dyDescent="0.25">
      <c r="B84" s="14" t="s">
        <v>1168</v>
      </c>
      <c r="C84" s="173">
        <f>ROUND(C70/C82,3)</f>
        <v>1.5509999999999999</v>
      </c>
      <c r="D84" s="173">
        <f>ROUND(D70/D82,3)</f>
        <v>1.5509999999999999</v>
      </c>
      <c r="AT84" s="189" t="str">
        <f t="shared" ref="AT84:AT85" si="10">AT95</f>
        <v>lot9</v>
      </c>
      <c r="AV84" s="173">
        <f t="shared" ref="AV84:BS85" si="11">IF(AV72&gt;0,1,0)</f>
        <v>0</v>
      </c>
      <c r="AW84" s="173">
        <f t="shared" si="11"/>
        <v>0</v>
      </c>
      <c r="AX84" s="173">
        <f t="shared" si="11"/>
        <v>0</v>
      </c>
      <c r="AY84" s="173">
        <f t="shared" si="11"/>
        <v>0</v>
      </c>
      <c r="AZ84" s="173">
        <f t="shared" si="11"/>
        <v>0</v>
      </c>
      <c r="BA84" s="173">
        <f t="shared" si="11"/>
        <v>0</v>
      </c>
      <c r="BB84" s="173">
        <f t="shared" si="11"/>
        <v>0</v>
      </c>
      <c r="BC84" s="173">
        <f t="shared" si="11"/>
        <v>0</v>
      </c>
      <c r="BD84" s="173">
        <f t="shared" si="11"/>
        <v>0</v>
      </c>
      <c r="BE84" s="173">
        <f t="shared" si="11"/>
        <v>0</v>
      </c>
      <c r="BF84" s="173">
        <f t="shared" si="11"/>
        <v>0</v>
      </c>
      <c r="BG84" s="173">
        <f t="shared" si="11"/>
        <v>0</v>
      </c>
      <c r="BH84" s="173">
        <f t="shared" si="11"/>
        <v>0</v>
      </c>
      <c r="BI84" s="173">
        <f t="shared" si="11"/>
        <v>0</v>
      </c>
      <c r="BJ84" s="173">
        <f t="shared" si="11"/>
        <v>0</v>
      </c>
      <c r="BK84" s="173">
        <f t="shared" si="11"/>
        <v>0</v>
      </c>
      <c r="BL84" s="173">
        <f t="shared" si="11"/>
        <v>0</v>
      </c>
      <c r="BM84" s="173">
        <f t="shared" si="11"/>
        <v>0</v>
      </c>
      <c r="BN84" s="173">
        <f t="shared" si="11"/>
        <v>0</v>
      </c>
      <c r="BO84" s="173">
        <f t="shared" si="11"/>
        <v>0</v>
      </c>
      <c r="BP84" s="173">
        <f t="shared" si="11"/>
        <v>0</v>
      </c>
      <c r="BQ84" s="173">
        <f t="shared" si="11"/>
        <v>0</v>
      </c>
      <c r="BR84" s="173">
        <f t="shared" si="11"/>
        <v>0</v>
      </c>
      <c r="BS84" s="173">
        <f t="shared" si="11"/>
        <v>0</v>
      </c>
      <c r="BZ84" s="189" t="str">
        <f>+BZ72</f>
        <v>lot9</v>
      </c>
      <c r="CB84" s="173">
        <f t="shared" ref="CB84:CY85" si="12">IF(CB72&gt;0,1,0)</f>
        <v>0</v>
      </c>
      <c r="CC84" s="173">
        <f t="shared" si="12"/>
        <v>0</v>
      </c>
      <c r="CD84" s="173">
        <f t="shared" si="12"/>
        <v>0</v>
      </c>
      <c r="CE84" s="173">
        <f t="shared" si="12"/>
        <v>0</v>
      </c>
      <c r="CF84" s="173">
        <f t="shared" si="12"/>
        <v>0</v>
      </c>
      <c r="CG84" s="173">
        <f t="shared" si="12"/>
        <v>0</v>
      </c>
      <c r="CH84" s="173">
        <f t="shared" si="12"/>
        <v>0</v>
      </c>
      <c r="CI84" s="173">
        <f t="shared" si="12"/>
        <v>0</v>
      </c>
      <c r="CJ84" s="173">
        <f t="shared" si="12"/>
        <v>0</v>
      </c>
      <c r="CK84" s="173">
        <f t="shared" si="12"/>
        <v>0</v>
      </c>
      <c r="CL84" s="173">
        <f t="shared" si="12"/>
        <v>0</v>
      </c>
      <c r="CM84" s="173">
        <f t="shared" si="12"/>
        <v>0</v>
      </c>
      <c r="CN84" s="173">
        <f t="shared" si="12"/>
        <v>0</v>
      </c>
      <c r="CO84" s="173">
        <f t="shared" si="12"/>
        <v>0</v>
      </c>
      <c r="CP84" s="173">
        <f t="shared" si="12"/>
        <v>0</v>
      </c>
      <c r="CQ84" s="173">
        <f t="shared" si="12"/>
        <v>0</v>
      </c>
      <c r="CR84" s="173">
        <f t="shared" si="12"/>
        <v>0</v>
      </c>
      <c r="CS84" s="173">
        <f t="shared" si="12"/>
        <v>0</v>
      </c>
      <c r="CT84" s="173">
        <f t="shared" si="12"/>
        <v>0</v>
      </c>
      <c r="CU84" s="173">
        <f t="shared" si="12"/>
        <v>0</v>
      </c>
      <c r="CV84" s="173">
        <f t="shared" si="12"/>
        <v>0</v>
      </c>
      <c r="CW84" s="173">
        <f t="shared" si="12"/>
        <v>0</v>
      </c>
      <c r="CX84" s="173">
        <f t="shared" si="12"/>
        <v>0</v>
      </c>
      <c r="CY84" s="173">
        <f t="shared" si="12"/>
        <v>0</v>
      </c>
      <c r="DC84" s="189" t="str">
        <f>+DC72</f>
        <v>lot9</v>
      </c>
      <c r="DE84" s="173">
        <f t="shared" ref="DE84:EB85" si="13">IF(DE72&gt;0,1,0)</f>
        <v>0</v>
      </c>
      <c r="DF84" s="173">
        <f t="shared" si="13"/>
        <v>0</v>
      </c>
      <c r="DG84" s="173">
        <f t="shared" si="13"/>
        <v>0</v>
      </c>
      <c r="DH84" s="173">
        <f t="shared" si="13"/>
        <v>0</v>
      </c>
      <c r="DI84" s="173">
        <f t="shared" si="13"/>
        <v>0</v>
      </c>
      <c r="DJ84" s="173">
        <f t="shared" si="13"/>
        <v>0</v>
      </c>
      <c r="DK84" s="173">
        <f t="shared" si="13"/>
        <v>0</v>
      </c>
      <c r="DL84" s="173">
        <f t="shared" si="13"/>
        <v>0</v>
      </c>
      <c r="DM84" s="173">
        <f t="shared" si="13"/>
        <v>0</v>
      </c>
      <c r="DN84" s="173">
        <f t="shared" si="13"/>
        <v>0</v>
      </c>
      <c r="DO84" s="173">
        <f t="shared" si="13"/>
        <v>0</v>
      </c>
      <c r="DP84" s="173">
        <f t="shared" si="13"/>
        <v>0</v>
      </c>
      <c r="DQ84" s="173">
        <f t="shared" si="13"/>
        <v>0</v>
      </c>
      <c r="DR84" s="173">
        <f t="shared" si="13"/>
        <v>0</v>
      </c>
      <c r="DS84" s="173">
        <f t="shared" si="13"/>
        <v>0</v>
      </c>
      <c r="DT84" s="173">
        <f t="shared" si="13"/>
        <v>0</v>
      </c>
      <c r="DU84" s="173">
        <f t="shared" si="13"/>
        <v>0</v>
      </c>
      <c r="DV84" s="173">
        <f t="shared" si="13"/>
        <v>0</v>
      </c>
      <c r="DW84" s="173">
        <f t="shared" si="13"/>
        <v>0</v>
      </c>
      <c r="DX84" s="173">
        <f t="shared" si="13"/>
        <v>0</v>
      </c>
      <c r="DY84" s="173">
        <f t="shared" si="13"/>
        <v>0</v>
      </c>
      <c r="DZ84" s="173">
        <f t="shared" si="13"/>
        <v>0</v>
      </c>
      <c r="EA84" s="173">
        <f t="shared" si="13"/>
        <v>0</v>
      </c>
      <c r="EB84" s="173">
        <f t="shared" si="13"/>
        <v>0</v>
      </c>
    </row>
    <row r="85" spans="1:132" x14ac:dyDescent="0.25">
      <c r="A85" s="2" t="s">
        <v>1169</v>
      </c>
      <c r="B85" s="14" t="s">
        <v>1170</v>
      </c>
      <c r="C85" s="173">
        <f>'Calcul éco'!$U$228</f>
        <v>19.3</v>
      </c>
      <c r="D85" s="261">
        <f>ROUND(C85*$D$82/$C$82,3)</f>
        <v>18.53</v>
      </c>
      <c r="AT85" s="189" t="str">
        <f t="shared" si="10"/>
        <v>lot10</v>
      </c>
      <c r="AV85" s="173">
        <f t="shared" si="11"/>
        <v>0</v>
      </c>
      <c r="AW85" s="173">
        <f t="shared" si="11"/>
        <v>0</v>
      </c>
      <c r="AX85" s="173">
        <f t="shared" si="11"/>
        <v>0</v>
      </c>
      <c r="AY85" s="173">
        <f t="shared" si="11"/>
        <v>0</v>
      </c>
      <c r="AZ85" s="173">
        <f t="shared" si="11"/>
        <v>0</v>
      </c>
      <c r="BA85" s="173">
        <f t="shared" si="11"/>
        <v>0</v>
      </c>
      <c r="BB85" s="173">
        <f t="shared" si="11"/>
        <v>0</v>
      </c>
      <c r="BC85" s="173">
        <f t="shared" si="11"/>
        <v>0</v>
      </c>
      <c r="BD85" s="173">
        <f t="shared" si="11"/>
        <v>0</v>
      </c>
      <c r="BE85" s="173">
        <f t="shared" si="11"/>
        <v>0</v>
      </c>
      <c r="BF85" s="173">
        <f t="shared" si="11"/>
        <v>0</v>
      </c>
      <c r="BG85" s="173">
        <f t="shared" si="11"/>
        <v>0</v>
      </c>
      <c r="BH85" s="173">
        <f t="shared" si="11"/>
        <v>0</v>
      </c>
      <c r="BI85" s="173">
        <f t="shared" si="11"/>
        <v>0</v>
      </c>
      <c r="BJ85" s="173">
        <f t="shared" si="11"/>
        <v>0</v>
      </c>
      <c r="BK85" s="173">
        <f t="shared" si="11"/>
        <v>0</v>
      </c>
      <c r="BL85" s="173">
        <f t="shared" si="11"/>
        <v>0</v>
      </c>
      <c r="BM85" s="173">
        <f t="shared" si="11"/>
        <v>0</v>
      </c>
      <c r="BN85" s="173">
        <f t="shared" si="11"/>
        <v>0</v>
      </c>
      <c r="BO85" s="173">
        <f t="shared" si="11"/>
        <v>0</v>
      </c>
      <c r="BP85" s="173">
        <f t="shared" si="11"/>
        <v>0</v>
      </c>
      <c r="BQ85" s="173">
        <f t="shared" si="11"/>
        <v>0</v>
      </c>
      <c r="BR85" s="173">
        <f t="shared" si="11"/>
        <v>0</v>
      </c>
      <c r="BS85" s="173">
        <f t="shared" si="11"/>
        <v>0</v>
      </c>
      <c r="BZ85" s="189" t="str">
        <f>+BZ73</f>
        <v>lot10</v>
      </c>
      <c r="CB85" s="173">
        <f t="shared" si="12"/>
        <v>0</v>
      </c>
      <c r="CC85" s="173">
        <f t="shared" si="12"/>
        <v>0</v>
      </c>
      <c r="CD85" s="173">
        <f t="shared" si="12"/>
        <v>0</v>
      </c>
      <c r="CE85" s="173">
        <f t="shared" si="12"/>
        <v>0</v>
      </c>
      <c r="CF85" s="173">
        <f t="shared" si="12"/>
        <v>0</v>
      </c>
      <c r="CG85" s="173">
        <f t="shared" si="12"/>
        <v>0</v>
      </c>
      <c r="CH85" s="173">
        <f t="shared" si="12"/>
        <v>0</v>
      </c>
      <c r="CI85" s="173">
        <f t="shared" si="12"/>
        <v>0</v>
      </c>
      <c r="CJ85" s="173">
        <f t="shared" si="12"/>
        <v>0</v>
      </c>
      <c r="CK85" s="173">
        <f t="shared" si="12"/>
        <v>0</v>
      </c>
      <c r="CL85" s="173">
        <f t="shared" si="12"/>
        <v>0</v>
      </c>
      <c r="CM85" s="173">
        <f t="shared" si="12"/>
        <v>0</v>
      </c>
      <c r="CN85" s="173">
        <f t="shared" si="12"/>
        <v>0</v>
      </c>
      <c r="CO85" s="173">
        <f t="shared" si="12"/>
        <v>0</v>
      </c>
      <c r="CP85" s="173">
        <f t="shared" si="12"/>
        <v>0</v>
      </c>
      <c r="CQ85" s="173">
        <f t="shared" si="12"/>
        <v>0</v>
      </c>
      <c r="CR85" s="173">
        <f t="shared" si="12"/>
        <v>0</v>
      </c>
      <c r="CS85" s="173">
        <f t="shared" si="12"/>
        <v>0</v>
      </c>
      <c r="CT85" s="173">
        <f t="shared" si="12"/>
        <v>0</v>
      </c>
      <c r="CU85" s="173">
        <f t="shared" si="12"/>
        <v>0</v>
      </c>
      <c r="CV85" s="173">
        <f t="shared" si="12"/>
        <v>0</v>
      </c>
      <c r="CW85" s="173">
        <f t="shared" si="12"/>
        <v>0</v>
      </c>
      <c r="CX85" s="173">
        <f t="shared" si="12"/>
        <v>0</v>
      </c>
      <c r="CY85" s="173">
        <f t="shared" si="12"/>
        <v>0</v>
      </c>
      <c r="DC85" s="189" t="str">
        <f>+DC73</f>
        <v>lot10</v>
      </c>
      <c r="DE85" s="173">
        <f t="shared" si="13"/>
        <v>0</v>
      </c>
      <c r="DF85" s="173">
        <f t="shared" si="13"/>
        <v>0</v>
      </c>
      <c r="DG85" s="173">
        <f t="shared" si="13"/>
        <v>0</v>
      </c>
      <c r="DH85" s="173">
        <f t="shared" si="13"/>
        <v>0</v>
      </c>
      <c r="DI85" s="173">
        <f t="shared" si="13"/>
        <v>0</v>
      </c>
      <c r="DJ85" s="173">
        <f t="shared" si="13"/>
        <v>0</v>
      </c>
      <c r="DK85" s="173">
        <f t="shared" si="13"/>
        <v>0</v>
      </c>
      <c r="DL85" s="173">
        <f t="shared" si="13"/>
        <v>0</v>
      </c>
      <c r="DM85" s="173">
        <f t="shared" si="13"/>
        <v>0</v>
      </c>
      <c r="DN85" s="173">
        <f t="shared" si="13"/>
        <v>0</v>
      </c>
      <c r="DO85" s="173">
        <f t="shared" si="13"/>
        <v>0</v>
      </c>
      <c r="DP85" s="173">
        <f t="shared" si="13"/>
        <v>0</v>
      </c>
      <c r="DQ85" s="173">
        <f t="shared" si="13"/>
        <v>0</v>
      </c>
      <c r="DR85" s="173">
        <f t="shared" si="13"/>
        <v>0</v>
      </c>
      <c r="DS85" s="173">
        <f t="shared" si="13"/>
        <v>0</v>
      </c>
      <c r="DT85" s="173">
        <f t="shared" si="13"/>
        <v>0</v>
      </c>
      <c r="DU85" s="173">
        <f t="shared" si="13"/>
        <v>0</v>
      </c>
      <c r="DV85" s="173">
        <f t="shared" si="13"/>
        <v>0</v>
      </c>
      <c r="DW85" s="173">
        <f t="shared" si="13"/>
        <v>0</v>
      </c>
      <c r="DX85" s="173">
        <f t="shared" si="13"/>
        <v>0</v>
      </c>
      <c r="DY85" s="173">
        <f t="shared" si="13"/>
        <v>0</v>
      </c>
      <c r="DZ85" s="173">
        <f t="shared" si="13"/>
        <v>0</v>
      </c>
      <c r="EA85" s="173">
        <f t="shared" si="13"/>
        <v>0</v>
      </c>
      <c r="EB85" s="173">
        <f t="shared" si="13"/>
        <v>0</v>
      </c>
    </row>
    <row r="86" spans="1:132" x14ac:dyDescent="0.25">
      <c r="B86" s="14" t="s">
        <v>1171</v>
      </c>
      <c r="C86" s="173">
        <f>'Calcul éco'!$V$228</f>
        <v>16</v>
      </c>
      <c r="D86" s="261">
        <f t="shared" ref="D86:D97" si="14">ROUND(C86*$D$82/$C$82,3)</f>
        <v>15.362</v>
      </c>
      <c r="AT86" s="191" t="s">
        <v>762</v>
      </c>
      <c r="AU86" s="182"/>
      <c r="AV86" s="273"/>
      <c r="AW86" s="273"/>
      <c r="AX86" s="273"/>
      <c r="AY86" s="273"/>
      <c r="AZ86" s="273"/>
      <c r="BA86" s="273"/>
      <c r="BB86" s="273"/>
      <c r="BC86" s="273"/>
      <c r="BD86" s="273"/>
      <c r="BE86" s="273"/>
      <c r="BF86" s="273"/>
      <c r="BG86" s="273"/>
      <c r="BH86" s="273"/>
      <c r="BI86" s="273"/>
      <c r="BJ86" s="273"/>
      <c r="BK86" s="273"/>
      <c r="BL86" s="273"/>
      <c r="BM86" s="273"/>
      <c r="BN86" s="273"/>
      <c r="BO86" s="273"/>
      <c r="BP86" s="273"/>
      <c r="BQ86" s="273"/>
      <c r="BR86" s="273"/>
      <c r="BS86" s="273"/>
      <c r="BZ86" s="191" t="s">
        <v>762</v>
      </c>
      <c r="CA86" s="182"/>
      <c r="CB86" s="273"/>
      <c r="CC86" s="273"/>
      <c r="CD86" s="273"/>
      <c r="CE86" s="273"/>
      <c r="CF86" s="273"/>
      <c r="CG86" s="273"/>
      <c r="CH86" s="273"/>
      <c r="CI86" s="273"/>
      <c r="CJ86" s="273"/>
      <c r="CK86" s="273"/>
      <c r="CL86" s="273"/>
      <c r="CM86" s="273"/>
      <c r="CN86" s="273"/>
      <c r="CO86" s="273"/>
      <c r="CP86" s="273"/>
      <c r="CQ86" s="273"/>
      <c r="CR86" s="273"/>
      <c r="CS86" s="273"/>
      <c r="CT86" s="273"/>
      <c r="CU86" s="273"/>
      <c r="CV86" s="273"/>
      <c r="CW86" s="273"/>
      <c r="CX86" s="273"/>
      <c r="CY86" s="273"/>
      <c r="DC86" s="191" t="s">
        <v>762</v>
      </c>
      <c r="DD86" s="182"/>
      <c r="DE86" s="273"/>
      <c r="DF86" s="273"/>
      <c r="DG86" s="273"/>
      <c r="DH86" s="273"/>
      <c r="DI86" s="273"/>
      <c r="DJ86" s="273"/>
      <c r="DK86" s="273"/>
      <c r="DL86" s="273"/>
      <c r="DM86" s="273"/>
      <c r="DN86" s="273"/>
      <c r="DO86" s="273"/>
      <c r="DP86" s="273"/>
      <c r="DQ86" s="273"/>
      <c r="DR86" s="273"/>
      <c r="DS86" s="273"/>
      <c r="DT86" s="273"/>
      <c r="DU86" s="273"/>
      <c r="DV86" s="273"/>
      <c r="DW86" s="273"/>
      <c r="DX86" s="273"/>
      <c r="DY86" s="273"/>
      <c r="DZ86" s="273"/>
      <c r="EA86" s="273"/>
      <c r="EB86" s="273"/>
    </row>
    <row r="87" spans="1:132" x14ac:dyDescent="0.25">
      <c r="B87" s="14" t="s">
        <v>1172</v>
      </c>
      <c r="C87" s="173">
        <f>'Calcul éco'!$W$228</f>
        <v>0</v>
      </c>
      <c r="D87" s="261">
        <f t="shared" si="14"/>
        <v>0</v>
      </c>
      <c r="AT87" s="189" t="str">
        <f>CdTrp1!A15</f>
        <v>brebis</v>
      </c>
      <c r="AU87" s="192" t="str">
        <f>Scénario!K96</f>
        <v>fort</v>
      </c>
      <c r="AV87" s="173">
        <f t="shared" ref="AV87:BK96" si="15">IF($AU87="fort",2,IF($AU87="faible",1,0))</f>
        <v>2</v>
      </c>
      <c r="AW87" s="173">
        <f t="shared" si="15"/>
        <v>2</v>
      </c>
      <c r="AX87" s="173">
        <f t="shared" si="15"/>
        <v>2</v>
      </c>
      <c r="AY87" s="173">
        <f t="shared" si="15"/>
        <v>2</v>
      </c>
      <c r="AZ87" s="173">
        <f t="shared" si="15"/>
        <v>2</v>
      </c>
      <c r="BA87" s="173">
        <f t="shared" si="15"/>
        <v>2</v>
      </c>
      <c r="BB87" s="173">
        <f t="shared" si="15"/>
        <v>2</v>
      </c>
      <c r="BC87" s="173">
        <f t="shared" si="15"/>
        <v>2</v>
      </c>
      <c r="BD87" s="173">
        <f t="shared" si="15"/>
        <v>2</v>
      </c>
      <c r="BE87" s="173">
        <f t="shared" si="15"/>
        <v>2</v>
      </c>
      <c r="BF87" s="173">
        <f t="shared" si="15"/>
        <v>2</v>
      </c>
      <c r="BG87" s="173">
        <f t="shared" si="15"/>
        <v>2</v>
      </c>
      <c r="BH87" s="173">
        <f t="shared" si="15"/>
        <v>2</v>
      </c>
      <c r="BI87" s="173">
        <f t="shared" si="15"/>
        <v>2</v>
      </c>
      <c r="BJ87" s="173">
        <f t="shared" si="15"/>
        <v>2</v>
      </c>
      <c r="BK87" s="173">
        <f t="shared" si="15"/>
        <v>2</v>
      </c>
      <c r="BL87" s="173">
        <f t="shared" ref="BL87:BS96" si="16">IF($AU87="fort",2,IF($AU87="faible",1,0))</f>
        <v>2</v>
      </c>
      <c r="BM87" s="173">
        <f t="shared" si="16"/>
        <v>2</v>
      </c>
      <c r="BN87" s="173">
        <f t="shared" si="16"/>
        <v>2</v>
      </c>
      <c r="BO87" s="173">
        <f t="shared" si="16"/>
        <v>2</v>
      </c>
      <c r="BP87" s="173">
        <f t="shared" si="16"/>
        <v>2</v>
      </c>
      <c r="BQ87" s="173">
        <f t="shared" si="16"/>
        <v>2</v>
      </c>
      <c r="BR87" s="173">
        <f t="shared" si="16"/>
        <v>2</v>
      </c>
      <c r="BS87" s="173">
        <f t="shared" si="16"/>
        <v>2</v>
      </c>
      <c r="BV87" t="s">
        <v>763</v>
      </c>
      <c r="BZ87" s="189" t="str">
        <f t="shared" ref="BZ87:BZ96" si="17">+BZ64</f>
        <v xml:space="preserve">vaches </v>
      </c>
      <c r="CA87" s="192" t="str">
        <f>Scénario!K106</f>
        <v>fort</v>
      </c>
      <c r="CB87" s="173">
        <f>IF($CA87="fort",2,IF($AU87="faible",1,0))</f>
        <v>2</v>
      </c>
      <c r="CC87" s="173">
        <f t="shared" ref="CC87:CY96" si="18">IF($CA87="fort",2,IF($AU87="faible",1,0))</f>
        <v>2</v>
      </c>
      <c r="CD87" s="173">
        <f t="shared" si="18"/>
        <v>2</v>
      </c>
      <c r="CE87" s="173">
        <f t="shared" si="18"/>
        <v>2</v>
      </c>
      <c r="CF87" s="173">
        <f t="shared" si="18"/>
        <v>2</v>
      </c>
      <c r="CG87" s="173">
        <f t="shared" si="18"/>
        <v>2</v>
      </c>
      <c r="CH87" s="173">
        <f t="shared" si="18"/>
        <v>2</v>
      </c>
      <c r="CI87" s="173">
        <f t="shared" si="18"/>
        <v>2</v>
      </c>
      <c r="CJ87" s="173">
        <f t="shared" si="18"/>
        <v>2</v>
      </c>
      <c r="CK87" s="173">
        <f t="shared" si="18"/>
        <v>2</v>
      </c>
      <c r="CL87" s="173">
        <f t="shared" si="18"/>
        <v>2</v>
      </c>
      <c r="CM87" s="173">
        <f t="shared" si="18"/>
        <v>2</v>
      </c>
      <c r="CN87" s="173">
        <f t="shared" si="18"/>
        <v>2</v>
      </c>
      <c r="CO87" s="173">
        <f t="shared" si="18"/>
        <v>2</v>
      </c>
      <c r="CP87" s="173">
        <f t="shared" si="18"/>
        <v>2</v>
      </c>
      <c r="CQ87" s="173">
        <f t="shared" si="18"/>
        <v>2</v>
      </c>
      <c r="CR87" s="173">
        <f t="shared" si="18"/>
        <v>2</v>
      </c>
      <c r="CS87" s="173">
        <f t="shared" si="18"/>
        <v>2</v>
      </c>
      <c r="CT87" s="173">
        <f t="shared" si="18"/>
        <v>2</v>
      </c>
      <c r="CU87" s="173">
        <f t="shared" si="18"/>
        <v>2</v>
      </c>
      <c r="CV87" s="173">
        <f t="shared" si="18"/>
        <v>2</v>
      </c>
      <c r="CW87" s="173">
        <f t="shared" si="18"/>
        <v>2</v>
      </c>
      <c r="CX87" s="173">
        <f t="shared" si="18"/>
        <v>2</v>
      </c>
      <c r="CY87" s="173">
        <f t="shared" si="18"/>
        <v>2</v>
      </c>
      <c r="DC87" s="189" t="str">
        <f t="shared" ref="DC87:DC96" si="19">+DC64</f>
        <v>lot1</v>
      </c>
      <c r="DD87" s="192">
        <f>Scénario!K116</f>
        <v>0</v>
      </c>
      <c r="DE87" s="173">
        <f>IF($DD87="fort",2,IF($DD87="faible",1,0))</f>
        <v>0</v>
      </c>
      <c r="DF87" s="173">
        <f t="shared" ref="DF87:EB96" si="20">IF($DD87="fort",2,IF($DD87="faible",1,0))</f>
        <v>0</v>
      </c>
      <c r="DG87" s="173">
        <f t="shared" si="20"/>
        <v>0</v>
      </c>
      <c r="DH87" s="173">
        <f t="shared" si="20"/>
        <v>0</v>
      </c>
      <c r="DI87" s="173">
        <f t="shared" si="20"/>
        <v>0</v>
      </c>
      <c r="DJ87" s="173">
        <f t="shared" si="20"/>
        <v>0</v>
      </c>
      <c r="DK87" s="173">
        <f t="shared" si="20"/>
        <v>0</v>
      </c>
      <c r="DL87" s="173">
        <f t="shared" si="20"/>
        <v>0</v>
      </c>
      <c r="DM87" s="173">
        <f t="shared" si="20"/>
        <v>0</v>
      </c>
      <c r="DN87" s="173">
        <f t="shared" si="20"/>
        <v>0</v>
      </c>
      <c r="DO87" s="173">
        <f t="shared" si="20"/>
        <v>0</v>
      </c>
      <c r="DP87" s="173">
        <f t="shared" si="20"/>
        <v>0</v>
      </c>
      <c r="DQ87" s="173">
        <f t="shared" si="20"/>
        <v>0</v>
      </c>
      <c r="DR87" s="173">
        <f t="shared" si="20"/>
        <v>0</v>
      </c>
      <c r="DS87" s="173">
        <f t="shared" si="20"/>
        <v>0</v>
      </c>
      <c r="DT87" s="173">
        <f t="shared" si="20"/>
        <v>0</v>
      </c>
      <c r="DU87" s="173">
        <f t="shared" si="20"/>
        <v>0</v>
      </c>
      <c r="DV87" s="173">
        <f t="shared" si="20"/>
        <v>0</v>
      </c>
      <c r="DW87" s="173">
        <f t="shared" si="20"/>
        <v>0</v>
      </c>
      <c r="DX87" s="173">
        <f t="shared" si="20"/>
        <v>0</v>
      </c>
      <c r="DY87" s="173">
        <f t="shared" si="20"/>
        <v>0</v>
      </c>
      <c r="DZ87" s="173">
        <f t="shared" si="20"/>
        <v>0</v>
      </c>
      <c r="EA87" s="173">
        <f t="shared" si="20"/>
        <v>0</v>
      </c>
      <c r="EB87" s="173">
        <f t="shared" si="20"/>
        <v>0</v>
      </c>
    </row>
    <row r="88" spans="1:132" x14ac:dyDescent="0.25">
      <c r="B88" s="14" t="s">
        <v>566</v>
      </c>
      <c r="C88" s="173">
        <f>Scénario!K43</f>
        <v>1.93</v>
      </c>
      <c r="D88" s="261">
        <f t="shared" si="14"/>
        <v>1.853</v>
      </c>
      <c r="AT88" s="189" t="str">
        <f>CdTrp1!A16</f>
        <v>vides</v>
      </c>
      <c r="AU88" s="192" t="str">
        <f>Scénario!K97</f>
        <v>fort</v>
      </c>
      <c r="AV88" s="173">
        <f t="shared" si="15"/>
        <v>2</v>
      </c>
      <c r="AW88" s="173">
        <f t="shared" si="15"/>
        <v>2</v>
      </c>
      <c r="AX88" s="173">
        <f t="shared" si="15"/>
        <v>2</v>
      </c>
      <c r="AY88" s="173">
        <f t="shared" si="15"/>
        <v>2</v>
      </c>
      <c r="AZ88" s="173">
        <f t="shared" si="15"/>
        <v>2</v>
      </c>
      <c r="BA88" s="173">
        <f t="shared" si="15"/>
        <v>2</v>
      </c>
      <c r="BB88" s="173">
        <f t="shared" si="15"/>
        <v>2</v>
      </c>
      <c r="BC88" s="173">
        <f t="shared" si="15"/>
        <v>2</v>
      </c>
      <c r="BD88" s="173">
        <f t="shared" si="15"/>
        <v>2</v>
      </c>
      <c r="BE88" s="173">
        <f t="shared" si="15"/>
        <v>2</v>
      </c>
      <c r="BF88" s="173">
        <f t="shared" si="15"/>
        <v>2</v>
      </c>
      <c r="BG88" s="173">
        <f t="shared" si="15"/>
        <v>2</v>
      </c>
      <c r="BH88" s="173">
        <f t="shared" si="15"/>
        <v>2</v>
      </c>
      <c r="BI88" s="173">
        <f t="shared" si="15"/>
        <v>2</v>
      </c>
      <c r="BJ88" s="173">
        <f t="shared" si="15"/>
        <v>2</v>
      </c>
      <c r="BK88" s="173">
        <f t="shared" si="15"/>
        <v>2</v>
      </c>
      <c r="BL88" s="173">
        <f t="shared" si="16"/>
        <v>2</v>
      </c>
      <c r="BM88" s="173">
        <f t="shared" si="16"/>
        <v>2</v>
      </c>
      <c r="BN88" s="173">
        <f t="shared" si="16"/>
        <v>2</v>
      </c>
      <c r="BO88" s="173">
        <f t="shared" si="16"/>
        <v>2</v>
      </c>
      <c r="BP88" s="173">
        <f t="shared" si="16"/>
        <v>2</v>
      </c>
      <c r="BQ88" s="173">
        <f t="shared" si="16"/>
        <v>2</v>
      </c>
      <c r="BR88" s="173">
        <f t="shared" si="16"/>
        <v>2</v>
      </c>
      <c r="BS88" s="173">
        <f t="shared" si="16"/>
        <v>2</v>
      </c>
      <c r="BU88">
        <v>2</v>
      </c>
      <c r="BV88" t="s">
        <v>633</v>
      </c>
      <c r="BZ88" s="189" t="str">
        <f t="shared" si="17"/>
        <v>genisses -1an</v>
      </c>
      <c r="CA88" s="192" t="str">
        <f>Scénario!K107</f>
        <v>fort</v>
      </c>
      <c r="CB88" s="173">
        <f t="shared" ref="CB88:CB96" si="21">IF($CA88="fort",2,IF($AU88="faible",1,0))</f>
        <v>2</v>
      </c>
      <c r="CC88" s="173">
        <f t="shared" si="18"/>
        <v>2</v>
      </c>
      <c r="CD88" s="173">
        <f t="shared" si="18"/>
        <v>2</v>
      </c>
      <c r="CE88" s="173">
        <f t="shared" si="18"/>
        <v>2</v>
      </c>
      <c r="CF88" s="173">
        <f t="shared" si="18"/>
        <v>2</v>
      </c>
      <c r="CG88" s="173">
        <f t="shared" si="18"/>
        <v>2</v>
      </c>
      <c r="CH88" s="173">
        <f t="shared" si="18"/>
        <v>2</v>
      </c>
      <c r="CI88" s="173">
        <f t="shared" si="18"/>
        <v>2</v>
      </c>
      <c r="CJ88" s="173">
        <f t="shared" si="18"/>
        <v>2</v>
      </c>
      <c r="CK88" s="173">
        <f t="shared" si="18"/>
        <v>2</v>
      </c>
      <c r="CL88" s="173">
        <f t="shared" si="18"/>
        <v>2</v>
      </c>
      <c r="CM88" s="173">
        <f t="shared" si="18"/>
        <v>2</v>
      </c>
      <c r="CN88" s="173">
        <f t="shared" si="18"/>
        <v>2</v>
      </c>
      <c r="CO88" s="173">
        <f t="shared" si="18"/>
        <v>2</v>
      </c>
      <c r="CP88" s="173">
        <f t="shared" si="18"/>
        <v>2</v>
      </c>
      <c r="CQ88" s="173">
        <f t="shared" si="18"/>
        <v>2</v>
      </c>
      <c r="CR88" s="173">
        <f t="shared" si="18"/>
        <v>2</v>
      </c>
      <c r="CS88" s="173">
        <f t="shared" si="18"/>
        <v>2</v>
      </c>
      <c r="CT88" s="173">
        <f t="shared" si="18"/>
        <v>2</v>
      </c>
      <c r="CU88" s="173">
        <f t="shared" si="18"/>
        <v>2</v>
      </c>
      <c r="CV88" s="173">
        <f t="shared" si="18"/>
        <v>2</v>
      </c>
      <c r="CW88" s="173">
        <f t="shared" si="18"/>
        <v>2</v>
      </c>
      <c r="CX88" s="173">
        <f t="shared" si="18"/>
        <v>2</v>
      </c>
      <c r="CY88" s="173">
        <f t="shared" si="18"/>
        <v>2</v>
      </c>
      <c r="DC88" s="189" t="str">
        <f t="shared" si="19"/>
        <v>lot2</v>
      </c>
      <c r="DD88" s="192">
        <f>Scénario!K117</f>
        <v>0</v>
      </c>
      <c r="DE88" s="173">
        <f t="shared" ref="DE88:DE96" si="22">IF($DD88="fort",2,IF($DD88="faible",1,0))</f>
        <v>0</v>
      </c>
      <c r="DF88" s="173">
        <f t="shared" si="20"/>
        <v>0</v>
      </c>
      <c r="DG88" s="173">
        <f t="shared" si="20"/>
        <v>0</v>
      </c>
      <c r="DH88" s="173">
        <f t="shared" si="20"/>
        <v>0</v>
      </c>
      <c r="DI88" s="173">
        <f t="shared" si="20"/>
        <v>0</v>
      </c>
      <c r="DJ88" s="173">
        <f t="shared" si="20"/>
        <v>0</v>
      </c>
      <c r="DK88" s="173">
        <f t="shared" si="20"/>
        <v>0</v>
      </c>
      <c r="DL88" s="173">
        <f t="shared" si="20"/>
        <v>0</v>
      </c>
      <c r="DM88" s="173">
        <f t="shared" si="20"/>
        <v>0</v>
      </c>
      <c r="DN88" s="173">
        <f t="shared" si="20"/>
        <v>0</v>
      </c>
      <c r="DO88" s="173">
        <f t="shared" si="20"/>
        <v>0</v>
      </c>
      <c r="DP88" s="173">
        <f t="shared" si="20"/>
        <v>0</v>
      </c>
      <c r="DQ88" s="173">
        <f t="shared" si="20"/>
        <v>0</v>
      </c>
      <c r="DR88" s="173">
        <f t="shared" si="20"/>
        <v>0</v>
      </c>
      <c r="DS88" s="173">
        <f t="shared" si="20"/>
        <v>0</v>
      </c>
      <c r="DT88" s="173">
        <f t="shared" si="20"/>
        <v>0</v>
      </c>
      <c r="DU88" s="173">
        <f t="shared" si="20"/>
        <v>0</v>
      </c>
      <c r="DV88" s="173">
        <f t="shared" si="20"/>
        <v>0</v>
      </c>
      <c r="DW88" s="173">
        <f t="shared" si="20"/>
        <v>0</v>
      </c>
      <c r="DX88" s="173">
        <f t="shared" si="20"/>
        <v>0</v>
      </c>
      <c r="DY88" s="173">
        <f t="shared" si="20"/>
        <v>0</v>
      </c>
      <c r="DZ88" s="173">
        <f t="shared" si="20"/>
        <v>0</v>
      </c>
      <c r="EA88" s="173">
        <f t="shared" si="20"/>
        <v>0</v>
      </c>
      <c r="EB88" s="173">
        <f t="shared" si="20"/>
        <v>0</v>
      </c>
    </row>
    <row r="89" spans="1:132" x14ac:dyDescent="0.25">
      <c r="B89" s="14" t="s">
        <v>555</v>
      </c>
      <c r="C89" s="173">
        <f>Scénario!K32</f>
        <v>0</v>
      </c>
      <c r="D89" s="261">
        <f t="shared" si="14"/>
        <v>0</v>
      </c>
      <c r="AT89" s="189" t="str">
        <f>CdTrp1!A17</f>
        <v>agnelles</v>
      </c>
      <c r="AU89" s="192" t="str">
        <f>Scénario!K98</f>
        <v>fort</v>
      </c>
      <c r="AV89" s="173">
        <f t="shared" si="15"/>
        <v>2</v>
      </c>
      <c r="AW89" s="173">
        <f t="shared" si="15"/>
        <v>2</v>
      </c>
      <c r="AX89" s="173">
        <f t="shared" si="15"/>
        <v>2</v>
      </c>
      <c r="AY89" s="173">
        <f t="shared" si="15"/>
        <v>2</v>
      </c>
      <c r="AZ89" s="173">
        <f t="shared" si="15"/>
        <v>2</v>
      </c>
      <c r="BA89" s="173">
        <f t="shared" si="15"/>
        <v>2</v>
      </c>
      <c r="BB89" s="173">
        <f t="shared" si="15"/>
        <v>2</v>
      </c>
      <c r="BC89" s="173">
        <f t="shared" si="15"/>
        <v>2</v>
      </c>
      <c r="BD89" s="173">
        <f t="shared" si="15"/>
        <v>2</v>
      </c>
      <c r="BE89" s="173">
        <f t="shared" si="15"/>
        <v>2</v>
      </c>
      <c r="BF89" s="173">
        <f t="shared" si="15"/>
        <v>2</v>
      </c>
      <c r="BG89" s="173">
        <f t="shared" si="15"/>
        <v>2</v>
      </c>
      <c r="BH89" s="173">
        <f t="shared" si="15"/>
        <v>2</v>
      </c>
      <c r="BI89" s="173">
        <f t="shared" si="15"/>
        <v>2</v>
      </c>
      <c r="BJ89" s="173">
        <f t="shared" si="15"/>
        <v>2</v>
      </c>
      <c r="BK89" s="173">
        <f t="shared" si="15"/>
        <v>2</v>
      </c>
      <c r="BL89" s="173">
        <f t="shared" si="16"/>
        <v>2</v>
      </c>
      <c r="BM89" s="173">
        <f t="shared" si="16"/>
        <v>2</v>
      </c>
      <c r="BN89" s="173">
        <f t="shared" si="16"/>
        <v>2</v>
      </c>
      <c r="BO89" s="173">
        <f t="shared" si="16"/>
        <v>2</v>
      </c>
      <c r="BP89" s="173">
        <f t="shared" si="16"/>
        <v>2</v>
      </c>
      <c r="BQ89" s="173">
        <f t="shared" si="16"/>
        <v>2</v>
      </c>
      <c r="BR89" s="173">
        <f t="shared" si="16"/>
        <v>2</v>
      </c>
      <c r="BS89" s="173">
        <f t="shared" si="16"/>
        <v>2</v>
      </c>
      <c r="BU89">
        <v>1</v>
      </c>
      <c r="BV89" t="s">
        <v>634</v>
      </c>
      <c r="BZ89" s="189" t="str">
        <f t="shared" si="17"/>
        <v>genisses +1an</v>
      </c>
      <c r="CA89" s="192" t="str">
        <f>Scénario!K108</f>
        <v>faible</v>
      </c>
      <c r="CB89" s="173">
        <f t="shared" si="21"/>
        <v>0</v>
      </c>
      <c r="CC89" s="173">
        <f t="shared" si="18"/>
        <v>0</v>
      </c>
      <c r="CD89" s="173">
        <f t="shared" si="18"/>
        <v>0</v>
      </c>
      <c r="CE89" s="173">
        <f t="shared" si="18"/>
        <v>0</v>
      </c>
      <c r="CF89" s="173">
        <f t="shared" si="18"/>
        <v>0</v>
      </c>
      <c r="CG89" s="173">
        <f t="shared" si="18"/>
        <v>0</v>
      </c>
      <c r="CH89" s="173">
        <f t="shared" si="18"/>
        <v>0</v>
      </c>
      <c r="CI89" s="173">
        <f t="shared" si="18"/>
        <v>0</v>
      </c>
      <c r="CJ89" s="173">
        <f t="shared" si="18"/>
        <v>0</v>
      </c>
      <c r="CK89" s="173">
        <f t="shared" si="18"/>
        <v>0</v>
      </c>
      <c r="CL89" s="173">
        <f t="shared" si="18"/>
        <v>0</v>
      </c>
      <c r="CM89" s="173">
        <f t="shared" si="18"/>
        <v>0</v>
      </c>
      <c r="CN89" s="173">
        <f t="shared" si="18"/>
        <v>0</v>
      </c>
      <c r="CO89" s="173">
        <f t="shared" si="18"/>
        <v>0</v>
      </c>
      <c r="CP89" s="173">
        <f t="shared" si="18"/>
        <v>0</v>
      </c>
      <c r="CQ89" s="173">
        <f t="shared" si="18"/>
        <v>0</v>
      </c>
      <c r="CR89" s="173">
        <f t="shared" si="18"/>
        <v>0</v>
      </c>
      <c r="CS89" s="173">
        <f t="shared" si="18"/>
        <v>0</v>
      </c>
      <c r="CT89" s="173">
        <f t="shared" si="18"/>
        <v>0</v>
      </c>
      <c r="CU89" s="173">
        <f t="shared" si="18"/>
        <v>0</v>
      </c>
      <c r="CV89" s="173">
        <f t="shared" si="18"/>
        <v>0</v>
      </c>
      <c r="CW89" s="173">
        <f t="shared" si="18"/>
        <v>0</v>
      </c>
      <c r="CX89" s="173">
        <f t="shared" si="18"/>
        <v>0</v>
      </c>
      <c r="CY89" s="173">
        <f t="shared" si="18"/>
        <v>0</v>
      </c>
      <c r="DC89" s="189" t="str">
        <f t="shared" si="19"/>
        <v>lot3</v>
      </c>
      <c r="DD89" s="192">
        <f>Scénario!K118</f>
        <v>0</v>
      </c>
      <c r="DE89" s="173">
        <f t="shared" si="22"/>
        <v>0</v>
      </c>
      <c r="DF89" s="173">
        <f t="shared" si="20"/>
        <v>0</v>
      </c>
      <c r="DG89" s="173">
        <f t="shared" si="20"/>
        <v>0</v>
      </c>
      <c r="DH89" s="173">
        <f t="shared" si="20"/>
        <v>0</v>
      </c>
      <c r="DI89" s="173">
        <f t="shared" si="20"/>
        <v>0</v>
      </c>
      <c r="DJ89" s="173">
        <f t="shared" si="20"/>
        <v>0</v>
      </c>
      <c r="DK89" s="173">
        <f t="shared" si="20"/>
        <v>0</v>
      </c>
      <c r="DL89" s="173">
        <f t="shared" si="20"/>
        <v>0</v>
      </c>
      <c r="DM89" s="173">
        <f t="shared" si="20"/>
        <v>0</v>
      </c>
      <c r="DN89" s="173">
        <f t="shared" si="20"/>
        <v>0</v>
      </c>
      <c r="DO89" s="173">
        <f t="shared" si="20"/>
        <v>0</v>
      </c>
      <c r="DP89" s="173">
        <f t="shared" si="20"/>
        <v>0</v>
      </c>
      <c r="DQ89" s="173">
        <f t="shared" si="20"/>
        <v>0</v>
      </c>
      <c r="DR89" s="173">
        <f t="shared" si="20"/>
        <v>0</v>
      </c>
      <c r="DS89" s="173">
        <f t="shared" si="20"/>
        <v>0</v>
      </c>
      <c r="DT89" s="173">
        <f t="shared" si="20"/>
        <v>0</v>
      </c>
      <c r="DU89" s="173">
        <f t="shared" si="20"/>
        <v>0</v>
      </c>
      <c r="DV89" s="173">
        <f t="shared" si="20"/>
        <v>0</v>
      </c>
      <c r="DW89" s="173">
        <f t="shared" si="20"/>
        <v>0</v>
      </c>
      <c r="DX89" s="173">
        <f t="shared" si="20"/>
        <v>0</v>
      </c>
      <c r="DY89" s="173">
        <f t="shared" si="20"/>
        <v>0</v>
      </c>
      <c r="DZ89" s="173">
        <f t="shared" si="20"/>
        <v>0</v>
      </c>
      <c r="EA89" s="173">
        <f t="shared" si="20"/>
        <v>0</v>
      </c>
      <c r="EB89" s="173">
        <f t="shared" si="20"/>
        <v>0</v>
      </c>
    </row>
    <row r="90" spans="1:132" x14ac:dyDescent="0.25">
      <c r="A90" s="2" t="s">
        <v>1173</v>
      </c>
      <c r="B90" s="14" t="s">
        <v>306</v>
      </c>
      <c r="C90" s="173">
        <f>Scénario!K34</f>
        <v>1</v>
      </c>
      <c r="D90" s="261">
        <f t="shared" si="14"/>
        <v>0.96</v>
      </c>
      <c r="G90" s="85" t="s">
        <v>1174</v>
      </c>
      <c r="AT90" s="189" t="str">
        <f>CdTrp1!A18</f>
        <v>beliers</v>
      </c>
      <c r="AU90" s="192" t="str">
        <f>Scénario!K99</f>
        <v>fort</v>
      </c>
      <c r="AV90" s="173">
        <f t="shared" si="15"/>
        <v>2</v>
      </c>
      <c r="AW90" s="173">
        <f t="shared" si="15"/>
        <v>2</v>
      </c>
      <c r="AX90" s="173">
        <f t="shared" si="15"/>
        <v>2</v>
      </c>
      <c r="AY90" s="173">
        <f t="shared" si="15"/>
        <v>2</v>
      </c>
      <c r="AZ90" s="173">
        <f t="shared" si="15"/>
        <v>2</v>
      </c>
      <c r="BA90" s="173">
        <f t="shared" si="15"/>
        <v>2</v>
      </c>
      <c r="BB90" s="173">
        <f t="shared" si="15"/>
        <v>2</v>
      </c>
      <c r="BC90" s="173">
        <f t="shared" si="15"/>
        <v>2</v>
      </c>
      <c r="BD90" s="173">
        <f t="shared" si="15"/>
        <v>2</v>
      </c>
      <c r="BE90" s="173">
        <f t="shared" si="15"/>
        <v>2</v>
      </c>
      <c r="BF90" s="173">
        <f t="shared" si="15"/>
        <v>2</v>
      </c>
      <c r="BG90" s="173">
        <f t="shared" si="15"/>
        <v>2</v>
      </c>
      <c r="BH90" s="173">
        <f t="shared" si="15"/>
        <v>2</v>
      </c>
      <c r="BI90" s="173">
        <f t="shared" si="15"/>
        <v>2</v>
      </c>
      <c r="BJ90" s="173">
        <f t="shared" si="15"/>
        <v>2</v>
      </c>
      <c r="BK90" s="173">
        <f t="shared" si="15"/>
        <v>2</v>
      </c>
      <c r="BL90" s="173">
        <f t="shared" si="16"/>
        <v>2</v>
      </c>
      <c r="BM90" s="173">
        <f t="shared" si="16"/>
        <v>2</v>
      </c>
      <c r="BN90" s="173">
        <f t="shared" si="16"/>
        <v>2</v>
      </c>
      <c r="BO90" s="173">
        <f t="shared" si="16"/>
        <v>2</v>
      </c>
      <c r="BP90" s="173">
        <f t="shared" si="16"/>
        <v>2</v>
      </c>
      <c r="BQ90" s="173">
        <f t="shared" si="16"/>
        <v>2</v>
      </c>
      <c r="BR90" s="173">
        <f t="shared" si="16"/>
        <v>2</v>
      </c>
      <c r="BS90" s="173">
        <f t="shared" si="16"/>
        <v>2</v>
      </c>
      <c r="BZ90" s="189" t="str">
        <f t="shared" si="17"/>
        <v>lot4</v>
      </c>
      <c r="CA90" s="192">
        <f>Scénario!K109</f>
        <v>0</v>
      </c>
      <c r="CB90" s="173">
        <f t="shared" si="21"/>
        <v>0</v>
      </c>
      <c r="CC90" s="173">
        <f t="shared" si="18"/>
        <v>0</v>
      </c>
      <c r="CD90" s="173">
        <f t="shared" si="18"/>
        <v>0</v>
      </c>
      <c r="CE90" s="173">
        <f t="shared" si="18"/>
        <v>0</v>
      </c>
      <c r="CF90" s="173">
        <f t="shared" si="18"/>
        <v>0</v>
      </c>
      <c r="CG90" s="173">
        <f t="shared" si="18"/>
        <v>0</v>
      </c>
      <c r="CH90" s="173">
        <f t="shared" si="18"/>
        <v>0</v>
      </c>
      <c r="CI90" s="173">
        <f t="shared" si="18"/>
        <v>0</v>
      </c>
      <c r="CJ90" s="173">
        <f t="shared" si="18"/>
        <v>0</v>
      </c>
      <c r="CK90" s="173">
        <f t="shared" si="18"/>
        <v>0</v>
      </c>
      <c r="CL90" s="173">
        <f t="shared" si="18"/>
        <v>0</v>
      </c>
      <c r="CM90" s="173">
        <f t="shared" si="18"/>
        <v>0</v>
      </c>
      <c r="CN90" s="173">
        <f t="shared" si="18"/>
        <v>0</v>
      </c>
      <c r="CO90" s="173">
        <f t="shared" si="18"/>
        <v>0</v>
      </c>
      <c r="CP90" s="173">
        <f t="shared" si="18"/>
        <v>0</v>
      </c>
      <c r="CQ90" s="173">
        <f t="shared" si="18"/>
        <v>0</v>
      </c>
      <c r="CR90" s="173">
        <f t="shared" si="18"/>
        <v>0</v>
      </c>
      <c r="CS90" s="173">
        <f t="shared" si="18"/>
        <v>0</v>
      </c>
      <c r="CT90" s="173">
        <f t="shared" si="18"/>
        <v>0</v>
      </c>
      <c r="CU90" s="173">
        <f t="shared" si="18"/>
        <v>0</v>
      </c>
      <c r="CV90" s="173">
        <f t="shared" si="18"/>
        <v>0</v>
      </c>
      <c r="CW90" s="173">
        <f t="shared" si="18"/>
        <v>0</v>
      </c>
      <c r="CX90" s="173">
        <f t="shared" si="18"/>
        <v>0</v>
      </c>
      <c r="CY90" s="173">
        <f t="shared" si="18"/>
        <v>0</v>
      </c>
      <c r="DC90" s="189" t="str">
        <f t="shared" si="19"/>
        <v>lot4</v>
      </c>
      <c r="DD90" s="192">
        <f>Scénario!K119</f>
        <v>0</v>
      </c>
      <c r="DE90" s="173">
        <f t="shared" si="22"/>
        <v>0</v>
      </c>
      <c r="DF90" s="173">
        <f t="shared" si="20"/>
        <v>0</v>
      </c>
      <c r="DG90" s="173">
        <f t="shared" si="20"/>
        <v>0</v>
      </c>
      <c r="DH90" s="173">
        <f t="shared" si="20"/>
        <v>0</v>
      </c>
      <c r="DI90" s="173">
        <f t="shared" si="20"/>
        <v>0</v>
      </c>
      <c r="DJ90" s="173">
        <f t="shared" si="20"/>
        <v>0</v>
      </c>
      <c r="DK90" s="173">
        <f t="shared" si="20"/>
        <v>0</v>
      </c>
      <c r="DL90" s="173">
        <f t="shared" si="20"/>
        <v>0</v>
      </c>
      <c r="DM90" s="173">
        <f t="shared" si="20"/>
        <v>0</v>
      </c>
      <c r="DN90" s="173">
        <f t="shared" si="20"/>
        <v>0</v>
      </c>
      <c r="DO90" s="173">
        <f t="shared" si="20"/>
        <v>0</v>
      </c>
      <c r="DP90" s="173">
        <f t="shared" si="20"/>
        <v>0</v>
      </c>
      <c r="DQ90" s="173">
        <f t="shared" si="20"/>
        <v>0</v>
      </c>
      <c r="DR90" s="173">
        <f t="shared" si="20"/>
        <v>0</v>
      </c>
      <c r="DS90" s="173">
        <f t="shared" si="20"/>
        <v>0</v>
      </c>
      <c r="DT90" s="173">
        <f t="shared" si="20"/>
        <v>0</v>
      </c>
      <c r="DU90" s="173">
        <f t="shared" si="20"/>
        <v>0</v>
      </c>
      <c r="DV90" s="173">
        <f t="shared" si="20"/>
        <v>0</v>
      </c>
      <c r="DW90" s="173">
        <f t="shared" si="20"/>
        <v>0</v>
      </c>
      <c r="DX90" s="173">
        <f t="shared" si="20"/>
        <v>0</v>
      </c>
      <c r="DY90" s="173">
        <f t="shared" si="20"/>
        <v>0</v>
      </c>
      <c r="DZ90" s="173">
        <f t="shared" si="20"/>
        <v>0</v>
      </c>
      <c r="EA90" s="173">
        <f t="shared" si="20"/>
        <v>0</v>
      </c>
      <c r="EB90" s="173">
        <f t="shared" si="20"/>
        <v>0</v>
      </c>
    </row>
    <row r="91" spans="1:132" x14ac:dyDescent="0.25">
      <c r="B91" s="14" t="s">
        <v>558</v>
      </c>
      <c r="C91" s="173">
        <f>Scénario!K35</f>
        <v>0</v>
      </c>
      <c r="D91" s="261">
        <f t="shared" si="14"/>
        <v>0</v>
      </c>
      <c r="AT91" s="189" t="str">
        <f>CdTrp1!A19</f>
        <v>lot5</v>
      </c>
      <c r="AU91" s="192">
        <f>Scénario!K100</f>
        <v>0</v>
      </c>
      <c r="AV91" s="173">
        <f t="shared" si="15"/>
        <v>0</v>
      </c>
      <c r="AW91" s="173">
        <f t="shared" si="15"/>
        <v>0</v>
      </c>
      <c r="AX91" s="173">
        <f t="shared" si="15"/>
        <v>0</v>
      </c>
      <c r="AY91" s="173">
        <f t="shared" si="15"/>
        <v>0</v>
      </c>
      <c r="AZ91" s="173">
        <f t="shared" si="15"/>
        <v>0</v>
      </c>
      <c r="BA91" s="173">
        <f t="shared" si="15"/>
        <v>0</v>
      </c>
      <c r="BB91" s="173">
        <f t="shared" si="15"/>
        <v>0</v>
      </c>
      <c r="BC91" s="173">
        <f t="shared" si="15"/>
        <v>0</v>
      </c>
      <c r="BD91" s="173">
        <f t="shared" si="15"/>
        <v>0</v>
      </c>
      <c r="BE91" s="173">
        <f t="shared" si="15"/>
        <v>0</v>
      </c>
      <c r="BF91" s="173">
        <f t="shared" si="15"/>
        <v>0</v>
      </c>
      <c r="BG91" s="173">
        <f t="shared" si="15"/>
        <v>0</v>
      </c>
      <c r="BH91" s="173">
        <f t="shared" si="15"/>
        <v>0</v>
      </c>
      <c r="BI91" s="173">
        <f t="shared" si="15"/>
        <v>0</v>
      </c>
      <c r="BJ91" s="173">
        <f t="shared" si="15"/>
        <v>0</v>
      </c>
      <c r="BK91" s="173">
        <f t="shared" si="15"/>
        <v>0</v>
      </c>
      <c r="BL91" s="173">
        <f t="shared" si="16"/>
        <v>0</v>
      </c>
      <c r="BM91" s="173">
        <f t="shared" si="16"/>
        <v>0</v>
      </c>
      <c r="BN91" s="173">
        <f t="shared" si="16"/>
        <v>0</v>
      </c>
      <c r="BO91" s="173">
        <f t="shared" si="16"/>
        <v>0</v>
      </c>
      <c r="BP91" s="173">
        <f t="shared" si="16"/>
        <v>0</v>
      </c>
      <c r="BQ91" s="173">
        <f t="shared" si="16"/>
        <v>0</v>
      </c>
      <c r="BR91" s="173">
        <f t="shared" si="16"/>
        <v>0</v>
      </c>
      <c r="BS91" s="173">
        <f t="shared" si="16"/>
        <v>0</v>
      </c>
      <c r="BZ91" s="189" t="str">
        <f t="shared" si="17"/>
        <v>lot5</v>
      </c>
      <c r="CA91" s="192">
        <f>Scénario!K110</f>
        <v>0</v>
      </c>
      <c r="CB91" s="173">
        <f t="shared" si="21"/>
        <v>0</v>
      </c>
      <c r="CC91" s="173">
        <f t="shared" si="18"/>
        <v>0</v>
      </c>
      <c r="CD91" s="173">
        <f t="shared" si="18"/>
        <v>0</v>
      </c>
      <c r="CE91" s="173">
        <f t="shared" si="18"/>
        <v>0</v>
      </c>
      <c r="CF91" s="173">
        <f t="shared" si="18"/>
        <v>0</v>
      </c>
      <c r="CG91" s="173">
        <f t="shared" si="18"/>
        <v>0</v>
      </c>
      <c r="CH91" s="173">
        <f t="shared" si="18"/>
        <v>0</v>
      </c>
      <c r="CI91" s="173">
        <f t="shared" si="18"/>
        <v>0</v>
      </c>
      <c r="CJ91" s="173">
        <f t="shared" si="18"/>
        <v>0</v>
      </c>
      <c r="CK91" s="173">
        <f t="shared" si="18"/>
        <v>0</v>
      </c>
      <c r="CL91" s="173">
        <f t="shared" si="18"/>
        <v>0</v>
      </c>
      <c r="CM91" s="173">
        <f t="shared" si="18"/>
        <v>0</v>
      </c>
      <c r="CN91" s="173">
        <f t="shared" si="18"/>
        <v>0</v>
      </c>
      <c r="CO91" s="173">
        <f t="shared" si="18"/>
        <v>0</v>
      </c>
      <c r="CP91" s="173">
        <f t="shared" si="18"/>
        <v>0</v>
      </c>
      <c r="CQ91" s="173">
        <f t="shared" si="18"/>
        <v>0</v>
      </c>
      <c r="CR91" s="173">
        <f t="shared" si="18"/>
        <v>0</v>
      </c>
      <c r="CS91" s="173">
        <f t="shared" si="18"/>
        <v>0</v>
      </c>
      <c r="CT91" s="173">
        <f t="shared" si="18"/>
        <v>0</v>
      </c>
      <c r="CU91" s="173">
        <f t="shared" si="18"/>
        <v>0</v>
      </c>
      <c r="CV91" s="173">
        <f t="shared" si="18"/>
        <v>0</v>
      </c>
      <c r="CW91" s="173">
        <f t="shared" si="18"/>
        <v>0</v>
      </c>
      <c r="CX91" s="173">
        <f t="shared" si="18"/>
        <v>0</v>
      </c>
      <c r="CY91" s="173">
        <f t="shared" si="18"/>
        <v>0</v>
      </c>
      <c r="DC91" s="189" t="str">
        <f t="shared" si="19"/>
        <v>lot5</v>
      </c>
      <c r="DD91" s="192">
        <f>Scénario!K120</f>
        <v>0</v>
      </c>
      <c r="DE91" s="173">
        <f t="shared" si="22"/>
        <v>0</v>
      </c>
      <c r="DF91" s="173">
        <f t="shared" si="20"/>
        <v>0</v>
      </c>
      <c r="DG91" s="173">
        <f t="shared" si="20"/>
        <v>0</v>
      </c>
      <c r="DH91" s="173">
        <f t="shared" si="20"/>
        <v>0</v>
      </c>
      <c r="DI91" s="173">
        <f t="shared" si="20"/>
        <v>0</v>
      </c>
      <c r="DJ91" s="173">
        <f t="shared" si="20"/>
        <v>0</v>
      </c>
      <c r="DK91" s="173">
        <f t="shared" si="20"/>
        <v>0</v>
      </c>
      <c r="DL91" s="173">
        <f t="shared" si="20"/>
        <v>0</v>
      </c>
      <c r="DM91" s="173">
        <f t="shared" si="20"/>
        <v>0</v>
      </c>
      <c r="DN91" s="173">
        <f t="shared" si="20"/>
        <v>0</v>
      </c>
      <c r="DO91" s="173">
        <f t="shared" si="20"/>
        <v>0</v>
      </c>
      <c r="DP91" s="173">
        <f t="shared" si="20"/>
        <v>0</v>
      </c>
      <c r="DQ91" s="173">
        <f t="shared" si="20"/>
        <v>0</v>
      </c>
      <c r="DR91" s="173">
        <f t="shared" si="20"/>
        <v>0</v>
      </c>
      <c r="DS91" s="173">
        <f t="shared" si="20"/>
        <v>0</v>
      </c>
      <c r="DT91" s="173">
        <f t="shared" si="20"/>
        <v>0</v>
      </c>
      <c r="DU91" s="173">
        <f t="shared" si="20"/>
        <v>0</v>
      </c>
      <c r="DV91" s="173">
        <f t="shared" si="20"/>
        <v>0</v>
      </c>
      <c r="DW91" s="173">
        <f t="shared" si="20"/>
        <v>0</v>
      </c>
      <c r="DX91" s="173">
        <f t="shared" si="20"/>
        <v>0</v>
      </c>
      <c r="DY91" s="173">
        <f t="shared" si="20"/>
        <v>0</v>
      </c>
      <c r="DZ91" s="173">
        <f t="shared" si="20"/>
        <v>0</v>
      </c>
      <c r="EA91" s="173">
        <f t="shared" si="20"/>
        <v>0</v>
      </c>
      <c r="EB91" s="173">
        <f t="shared" si="20"/>
        <v>0</v>
      </c>
    </row>
    <row r="92" spans="1:132" x14ac:dyDescent="0.25">
      <c r="B92" s="14" t="s">
        <v>559</v>
      </c>
      <c r="C92" s="173">
        <f>Scénario!K36</f>
        <v>0</v>
      </c>
      <c r="D92" s="261">
        <f t="shared" si="14"/>
        <v>0</v>
      </c>
      <c r="G92" s="2" t="s">
        <v>1175</v>
      </c>
      <c r="AT92" s="189" t="str">
        <f>CdTrp1!A20</f>
        <v>lot6</v>
      </c>
      <c r="AU92" s="192">
        <f>Scénario!K101</f>
        <v>0</v>
      </c>
      <c r="AV92" s="173">
        <f t="shared" si="15"/>
        <v>0</v>
      </c>
      <c r="AW92" s="173">
        <f t="shared" si="15"/>
        <v>0</v>
      </c>
      <c r="AX92" s="173">
        <f t="shared" si="15"/>
        <v>0</v>
      </c>
      <c r="AY92" s="173">
        <f t="shared" si="15"/>
        <v>0</v>
      </c>
      <c r="AZ92" s="173">
        <f t="shared" si="15"/>
        <v>0</v>
      </c>
      <c r="BA92" s="173">
        <f t="shared" si="15"/>
        <v>0</v>
      </c>
      <c r="BB92" s="173">
        <f t="shared" si="15"/>
        <v>0</v>
      </c>
      <c r="BC92" s="173">
        <f t="shared" si="15"/>
        <v>0</v>
      </c>
      <c r="BD92" s="173">
        <f t="shared" si="15"/>
        <v>0</v>
      </c>
      <c r="BE92" s="173">
        <f t="shared" si="15"/>
        <v>0</v>
      </c>
      <c r="BF92" s="173">
        <f t="shared" si="15"/>
        <v>0</v>
      </c>
      <c r="BG92" s="173">
        <f t="shared" si="15"/>
        <v>0</v>
      </c>
      <c r="BH92" s="173">
        <f t="shared" si="15"/>
        <v>0</v>
      </c>
      <c r="BI92" s="173">
        <f t="shared" si="15"/>
        <v>0</v>
      </c>
      <c r="BJ92" s="173">
        <f t="shared" si="15"/>
        <v>0</v>
      </c>
      <c r="BK92" s="173">
        <f t="shared" si="15"/>
        <v>0</v>
      </c>
      <c r="BL92" s="173">
        <f t="shared" si="16"/>
        <v>0</v>
      </c>
      <c r="BM92" s="173">
        <f t="shared" si="16"/>
        <v>0</v>
      </c>
      <c r="BN92" s="173">
        <f t="shared" si="16"/>
        <v>0</v>
      </c>
      <c r="BO92" s="173">
        <f t="shared" si="16"/>
        <v>0</v>
      </c>
      <c r="BP92" s="173">
        <f t="shared" si="16"/>
        <v>0</v>
      </c>
      <c r="BQ92" s="173">
        <f t="shared" si="16"/>
        <v>0</v>
      </c>
      <c r="BR92" s="173">
        <f t="shared" si="16"/>
        <v>0</v>
      </c>
      <c r="BS92" s="173">
        <f t="shared" si="16"/>
        <v>0</v>
      </c>
      <c r="BT92" s="5"/>
      <c r="BY92" s="5"/>
      <c r="BZ92" s="189" t="str">
        <f t="shared" si="17"/>
        <v>lot6</v>
      </c>
      <c r="CA92" s="192">
        <f>Scénario!K111</f>
        <v>0</v>
      </c>
      <c r="CB92" s="173">
        <f t="shared" si="21"/>
        <v>0</v>
      </c>
      <c r="CC92" s="173">
        <f t="shared" si="18"/>
        <v>0</v>
      </c>
      <c r="CD92" s="173">
        <f t="shared" si="18"/>
        <v>0</v>
      </c>
      <c r="CE92" s="173">
        <f t="shared" si="18"/>
        <v>0</v>
      </c>
      <c r="CF92" s="173">
        <f t="shared" si="18"/>
        <v>0</v>
      </c>
      <c r="CG92" s="173">
        <f t="shared" si="18"/>
        <v>0</v>
      </c>
      <c r="CH92" s="173">
        <f t="shared" si="18"/>
        <v>0</v>
      </c>
      <c r="CI92" s="173">
        <f t="shared" si="18"/>
        <v>0</v>
      </c>
      <c r="CJ92" s="173">
        <f t="shared" si="18"/>
        <v>0</v>
      </c>
      <c r="CK92" s="173">
        <f t="shared" si="18"/>
        <v>0</v>
      </c>
      <c r="CL92" s="173">
        <f t="shared" si="18"/>
        <v>0</v>
      </c>
      <c r="CM92" s="173">
        <f t="shared" si="18"/>
        <v>0</v>
      </c>
      <c r="CN92" s="173">
        <f t="shared" si="18"/>
        <v>0</v>
      </c>
      <c r="CO92" s="173">
        <f t="shared" si="18"/>
        <v>0</v>
      </c>
      <c r="CP92" s="173">
        <f t="shared" si="18"/>
        <v>0</v>
      </c>
      <c r="CQ92" s="173">
        <f t="shared" si="18"/>
        <v>0</v>
      </c>
      <c r="CR92" s="173">
        <f t="shared" si="18"/>
        <v>0</v>
      </c>
      <c r="CS92" s="173">
        <f t="shared" si="18"/>
        <v>0</v>
      </c>
      <c r="CT92" s="173">
        <f t="shared" si="18"/>
        <v>0</v>
      </c>
      <c r="CU92" s="173">
        <f t="shared" si="18"/>
        <v>0</v>
      </c>
      <c r="CV92" s="173">
        <f t="shared" si="18"/>
        <v>0</v>
      </c>
      <c r="CW92" s="173">
        <f t="shared" si="18"/>
        <v>0</v>
      </c>
      <c r="CX92" s="173">
        <f t="shared" si="18"/>
        <v>0</v>
      </c>
      <c r="CY92" s="173">
        <f t="shared" si="18"/>
        <v>0</v>
      </c>
      <c r="CZ92" s="5"/>
      <c r="DA92" s="5"/>
      <c r="DB92" s="5"/>
      <c r="DC92" s="189" t="str">
        <f t="shared" si="19"/>
        <v>lot6</v>
      </c>
      <c r="DD92" s="192">
        <f>Scénario!K121</f>
        <v>0</v>
      </c>
      <c r="DE92" s="173">
        <f t="shared" si="22"/>
        <v>0</v>
      </c>
      <c r="DF92" s="173">
        <f t="shared" si="20"/>
        <v>0</v>
      </c>
      <c r="DG92" s="173">
        <f t="shared" si="20"/>
        <v>0</v>
      </c>
      <c r="DH92" s="173">
        <f t="shared" si="20"/>
        <v>0</v>
      </c>
      <c r="DI92" s="173">
        <f t="shared" si="20"/>
        <v>0</v>
      </c>
      <c r="DJ92" s="173">
        <f t="shared" si="20"/>
        <v>0</v>
      </c>
      <c r="DK92" s="173">
        <f t="shared" si="20"/>
        <v>0</v>
      </c>
      <c r="DL92" s="173">
        <f t="shared" si="20"/>
        <v>0</v>
      </c>
      <c r="DM92" s="173">
        <f t="shared" si="20"/>
        <v>0</v>
      </c>
      <c r="DN92" s="173">
        <f t="shared" si="20"/>
        <v>0</v>
      </c>
      <c r="DO92" s="173">
        <f t="shared" si="20"/>
        <v>0</v>
      </c>
      <c r="DP92" s="173">
        <f t="shared" si="20"/>
        <v>0</v>
      </c>
      <c r="DQ92" s="173">
        <f t="shared" si="20"/>
        <v>0</v>
      </c>
      <c r="DR92" s="173">
        <f t="shared" si="20"/>
        <v>0</v>
      </c>
      <c r="DS92" s="173">
        <f t="shared" si="20"/>
        <v>0</v>
      </c>
      <c r="DT92" s="173">
        <f t="shared" si="20"/>
        <v>0</v>
      </c>
      <c r="DU92" s="173">
        <f t="shared" si="20"/>
        <v>0</v>
      </c>
      <c r="DV92" s="173">
        <f t="shared" si="20"/>
        <v>0</v>
      </c>
      <c r="DW92" s="173">
        <f t="shared" si="20"/>
        <v>0</v>
      </c>
      <c r="DX92" s="173">
        <f t="shared" si="20"/>
        <v>0</v>
      </c>
      <c r="DY92" s="173">
        <f t="shared" si="20"/>
        <v>0</v>
      </c>
      <c r="DZ92" s="173">
        <f t="shared" si="20"/>
        <v>0</v>
      </c>
      <c r="EA92" s="173">
        <f t="shared" si="20"/>
        <v>0</v>
      </c>
      <c r="EB92" s="173">
        <f t="shared" si="20"/>
        <v>0</v>
      </c>
    </row>
    <row r="93" spans="1:132" x14ac:dyDescent="0.25">
      <c r="B93" s="14" t="s">
        <v>560</v>
      </c>
      <c r="C93" s="173">
        <f>Scénario!K37</f>
        <v>0</v>
      </c>
      <c r="D93" s="261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9" t="str">
        <f>CdTrp1!A21</f>
        <v>lot7</v>
      </c>
      <c r="AU93" s="192">
        <f>Scénario!K102</f>
        <v>0</v>
      </c>
      <c r="AV93" s="173">
        <f t="shared" si="15"/>
        <v>0</v>
      </c>
      <c r="AW93" s="173">
        <f t="shared" si="15"/>
        <v>0</v>
      </c>
      <c r="AX93" s="173">
        <f t="shared" si="15"/>
        <v>0</v>
      </c>
      <c r="AY93" s="173">
        <f t="shared" si="15"/>
        <v>0</v>
      </c>
      <c r="AZ93" s="173">
        <f t="shared" si="15"/>
        <v>0</v>
      </c>
      <c r="BA93" s="173">
        <f t="shared" si="15"/>
        <v>0</v>
      </c>
      <c r="BB93" s="173">
        <f t="shared" si="15"/>
        <v>0</v>
      </c>
      <c r="BC93" s="173">
        <f t="shared" si="15"/>
        <v>0</v>
      </c>
      <c r="BD93" s="173">
        <f t="shared" si="15"/>
        <v>0</v>
      </c>
      <c r="BE93" s="173">
        <f t="shared" si="15"/>
        <v>0</v>
      </c>
      <c r="BF93" s="173">
        <f t="shared" si="15"/>
        <v>0</v>
      </c>
      <c r="BG93" s="173">
        <f t="shared" si="15"/>
        <v>0</v>
      </c>
      <c r="BH93" s="173">
        <f t="shared" si="15"/>
        <v>0</v>
      </c>
      <c r="BI93" s="173">
        <f t="shared" si="15"/>
        <v>0</v>
      </c>
      <c r="BJ93" s="173">
        <f t="shared" si="15"/>
        <v>0</v>
      </c>
      <c r="BK93" s="173">
        <f t="shared" si="15"/>
        <v>0</v>
      </c>
      <c r="BL93" s="173">
        <f t="shared" si="16"/>
        <v>0</v>
      </c>
      <c r="BM93" s="173">
        <f t="shared" si="16"/>
        <v>0</v>
      </c>
      <c r="BN93" s="173">
        <f t="shared" si="16"/>
        <v>0</v>
      </c>
      <c r="BO93" s="173">
        <f t="shared" si="16"/>
        <v>0</v>
      </c>
      <c r="BP93" s="173">
        <f t="shared" si="16"/>
        <v>0</v>
      </c>
      <c r="BQ93" s="173">
        <f t="shared" si="16"/>
        <v>0</v>
      </c>
      <c r="BR93" s="173">
        <f t="shared" si="16"/>
        <v>0</v>
      </c>
      <c r="BS93" s="173">
        <f t="shared" si="16"/>
        <v>0</v>
      </c>
      <c r="BT93" s="5"/>
      <c r="BY93" s="5"/>
      <c r="BZ93" s="189" t="str">
        <f t="shared" si="17"/>
        <v>lot7</v>
      </c>
      <c r="CA93" s="192">
        <f>Scénario!K112</f>
        <v>0</v>
      </c>
      <c r="CB93" s="173">
        <f t="shared" si="21"/>
        <v>0</v>
      </c>
      <c r="CC93" s="173">
        <f t="shared" si="18"/>
        <v>0</v>
      </c>
      <c r="CD93" s="173">
        <f t="shared" si="18"/>
        <v>0</v>
      </c>
      <c r="CE93" s="173">
        <f t="shared" si="18"/>
        <v>0</v>
      </c>
      <c r="CF93" s="173">
        <f t="shared" si="18"/>
        <v>0</v>
      </c>
      <c r="CG93" s="173">
        <f t="shared" si="18"/>
        <v>0</v>
      </c>
      <c r="CH93" s="173">
        <f t="shared" si="18"/>
        <v>0</v>
      </c>
      <c r="CI93" s="173">
        <f t="shared" si="18"/>
        <v>0</v>
      </c>
      <c r="CJ93" s="173">
        <f t="shared" si="18"/>
        <v>0</v>
      </c>
      <c r="CK93" s="173">
        <f t="shared" si="18"/>
        <v>0</v>
      </c>
      <c r="CL93" s="173">
        <f t="shared" si="18"/>
        <v>0</v>
      </c>
      <c r="CM93" s="173">
        <f t="shared" si="18"/>
        <v>0</v>
      </c>
      <c r="CN93" s="173">
        <f t="shared" si="18"/>
        <v>0</v>
      </c>
      <c r="CO93" s="173">
        <f t="shared" si="18"/>
        <v>0</v>
      </c>
      <c r="CP93" s="173">
        <f t="shared" si="18"/>
        <v>0</v>
      </c>
      <c r="CQ93" s="173">
        <f t="shared" si="18"/>
        <v>0</v>
      </c>
      <c r="CR93" s="173">
        <f t="shared" si="18"/>
        <v>0</v>
      </c>
      <c r="CS93" s="173">
        <f t="shared" si="18"/>
        <v>0</v>
      </c>
      <c r="CT93" s="173">
        <f t="shared" si="18"/>
        <v>0</v>
      </c>
      <c r="CU93" s="173">
        <f t="shared" si="18"/>
        <v>0</v>
      </c>
      <c r="CV93" s="173">
        <f t="shared" si="18"/>
        <v>0</v>
      </c>
      <c r="CW93" s="173">
        <f t="shared" si="18"/>
        <v>0</v>
      </c>
      <c r="CX93" s="173">
        <f t="shared" si="18"/>
        <v>0</v>
      </c>
      <c r="CY93" s="173">
        <f t="shared" si="18"/>
        <v>0</v>
      </c>
      <c r="CZ93" s="5"/>
      <c r="DA93" s="5"/>
      <c r="DB93" s="5"/>
      <c r="DC93" s="189" t="str">
        <f t="shared" si="19"/>
        <v>lot7</v>
      </c>
      <c r="DD93" s="192">
        <f>Scénario!K122</f>
        <v>0</v>
      </c>
      <c r="DE93" s="173">
        <f t="shared" si="22"/>
        <v>0</v>
      </c>
      <c r="DF93" s="173">
        <f t="shared" si="20"/>
        <v>0</v>
      </c>
      <c r="DG93" s="173">
        <f t="shared" si="20"/>
        <v>0</v>
      </c>
      <c r="DH93" s="173">
        <f t="shared" si="20"/>
        <v>0</v>
      </c>
      <c r="DI93" s="173">
        <f t="shared" si="20"/>
        <v>0</v>
      </c>
      <c r="DJ93" s="173">
        <f t="shared" si="20"/>
        <v>0</v>
      </c>
      <c r="DK93" s="173">
        <f t="shared" si="20"/>
        <v>0</v>
      </c>
      <c r="DL93" s="173">
        <f t="shared" si="20"/>
        <v>0</v>
      </c>
      <c r="DM93" s="173">
        <f t="shared" si="20"/>
        <v>0</v>
      </c>
      <c r="DN93" s="173">
        <f t="shared" si="20"/>
        <v>0</v>
      </c>
      <c r="DO93" s="173">
        <f t="shared" si="20"/>
        <v>0</v>
      </c>
      <c r="DP93" s="173">
        <f t="shared" si="20"/>
        <v>0</v>
      </c>
      <c r="DQ93" s="173">
        <f t="shared" si="20"/>
        <v>0</v>
      </c>
      <c r="DR93" s="173">
        <f t="shared" si="20"/>
        <v>0</v>
      </c>
      <c r="DS93" s="173">
        <f t="shared" si="20"/>
        <v>0</v>
      </c>
      <c r="DT93" s="173">
        <f t="shared" si="20"/>
        <v>0</v>
      </c>
      <c r="DU93" s="173">
        <f t="shared" si="20"/>
        <v>0</v>
      </c>
      <c r="DV93" s="173">
        <f t="shared" si="20"/>
        <v>0</v>
      </c>
      <c r="DW93" s="173">
        <f t="shared" si="20"/>
        <v>0</v>
      </c>
      <c r="DX93" s="173">
        <f t="shared" si="20"/>
        <v>0</v>
      </c>
      <c r="DY93" s="173">
        <f t="shared" si="20"/>
        <v>0</v>
      </c>
      <c r="DZ93" s="173">
        <f t="shared" si="20"/>
        <v>0</v>
      </c>
      <c r="EA93" s="173">
        <f t="shared" si="20"/>
        <v>0</v>
      </c>
      <c r="EB93" s="173">
        <f t="shared" si="20"/>
        <v>0</v>
      </c>
    </row>
    <row r="94" spans="1:132" x14ac:dyDescent="0.25">
      <c r="B94" s="14" t="s">
        <v>561</v>
      </c>
      <c r="C94" s="173">
        <f>Scénario!K38</f>
        <v>0</v>
      </c>
      <c r="D94" s="261">
        <f t="shared" si="14"/>
        <v>0</v>
      </c>
      <c r="F94" s="14" t="s">
        <v>886</v>
      </c>
      <c r="G94" s="30" t="str">
        <f>CdTrp1!A88</f>
        <v>brebis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1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5</v>
      </c>
      <c r="T94" s="30">
        <f>CdTrp1!N76</f>
        <v>5</v>
      </c>
      <c r="U94" s="30">
        <f>CdTrp1!O76</f>
        <v>5</v>
      </c>
      <c r="V94" s="30">
        <f>CdTrp1!P76</f>
        <v>5</v>
      </c>
      <c r="W94" s="30">
        <f>CdTrp1!Q76</f>
        <v>5</v>
      </c>
      <c r="X94" s="30">
        <f>CdTrp1!R76</f>
        <v>5</v>
      </c>
      <c r="Y94" s="30">
        <f>CdTrp1!S76</f>
        <v>5</v>
      </c>
      <c r="Z94" s="30">
        <f>CdTrp1!T76</f>
        <v>1</v>
      </c>
      <c r="AA94" s="30">
        <f>CdTrp1!U76</f>
        <v>1</v>
      </c>
      <c r="AB94" s="30">
        <f>CdTrp1!V76</f>
        <v>0</v>
      </c>
      <c r="AC94" s="30">
        <f>CdTrp1!W76</f>
        <v>0</v>
      </c>
      <c r="AD94" s="30">
        <f>CdTrp1!X76</f>
        <v>0</v>
      </c>
      <c r="AE94" s="30">
        <f>CdTrp1!Y76</f>
        <v>0</v>
      </c>
      <c r="AT94" s="189" t="str">
        <f>CdTrp1!A22</f>
        <v>lot8</v>
      </c>
      <c r="AU94" s="192">
        <f>Scénario!K103</f>
        <v>0</v>
      </c>
      <c r="AV94" s="173">
        <f t="shared" si="15"/>
        <v>0</v>
      </c>
      <c r="AW94" s="173">
        <f t="shared" si="15"/>
        <v>0</v>
      </c>
      <c r="AX94" s="173">
        <f t="shared" si="15"/>
        <v>0</v>
      </c>
      <c r="AY94" s="173">
        <f t="shared" si="15"/>
        <v>0</v>
      </c>
      <c r="AZ94" s="173">
        <f t="shared" si="15"/>
        <v>0</v>
      </c>
      <c r="BA94" s="173">
        <f t="shared" si="15"/>
        <v>0</v>
      </c>
      <c r="BB94" s="173">
        <f t="shared" si="15"/>
        <v>0</v>
      </c>
      <c r="BC94" s="173">
        <f t="shared" si="15"/>
        <v>0</v>
      </c>
      <c r="BD94" s="173">
        <f t="shared" si="15"/>
        <v>0</v>
      </c>
      <c r="BE94" s="173">
        <f t="shared" si="15"/>
        <v>0</v>
      </c>
      <c r="BF94" s="173">
        <f t="shared" si="15"/>
        <v>0</v>
      </c>
      <c r="BG94" s="173">
        <f t="shared" si="15"/>
        <v>0</v>
      </c>
      <c r="BH94" s="173">
        <f t="shared" si="15"/>
        <v>0</v>
      </c>
      <c r="BI94" s="173">
        <f t="shared" si="15"/>
        <v>0</v>
      </c>
      <c r="BJ94" s="173">
        <f t="shared" si="15"/>
        <v>0</v>
      </c>
      <c r="BK94" s="173">
        <f t="shared" si="15"/>
        <v>0</v>
      </c>
      <c r="BL94" s="173">
        <f t="shared" si="16"/>
        <v>0</v>
      </c>
      <c r="BM94" s="173">
        <f t="shared" si="16"/>
        <v>0</v>
      </c>
      <c r="BN94" s="173">
        <f t="shared" si="16"/>
        <v>0</v>
      </c>
      <c r="BO94" s="173">
        <f t="shared" si="16"/>
        <v>0</v>
      </c>
      <c r="BP94" s="173">
        <f t="shared" si="16"/>
        <v>0</v>
      </c>
      <c r="BQ94" s="173">
        <f t="shared" si="16"/>
        <v>0</v>
      </c>
      <c r="BR94" s="173">
        <f t="shared" si="16"/>
        <v>0</v>
      </c>
      <c r="BS94" s="173">
        <f t="shared" si="16"/>
        <v>0</v>
      </c>
      <c r="BT94" s="5"/>
      <c r="BY94" s="5"/>
      <c r="BZ94" s="189" t="str">
        <f t="shared" si="17"/>
        <v>lot8</v>
      </c>
      <c r="CA94" s="192">
        <f>Scénario!K113</f>
        <v>0</v>
      </c>
      <c r="CB94" s="173">
        <f t="shared" si="21"/>
        <v>0</v>
      </c>
      <c r="CC94" s="173">
        <f t="shared" si="18"/>
        <v>0</v>
      </c>
      <c r="CD94" s="173">
        <f t="shared" si="18"/>
        <v>0</v>
      </c>
      <c r="CE94" s="173">
        <f t="shared" si="18"/>
        <v>0</v>
      </c>
      <c r="CF94" s="173">
        <f t="shared" si="18"/>
        <v>0</v>
      </c>
      <c r="CG94" s="173">
        <f t="shared" si="18"/>
        <v>0</v>
      </c>
      <c r="CH94" s="173">
        <f t="shared" si="18"/>
        <v>0</v>
      </c>
      <c r="CI94" s="173">
        <f t="shared" si="18"/>
        <v>0</v>
      </c>
      <c r="CJ94" s="173">
        <f t="shared" si="18"/>
        <v>0</v>
      </c>
      <c r="CK94" s="173">
        <f t="shared" si="18"/>
        <v>0</v>
      </c>
      <c r="CL94" s="173">
        <f t="shared" si="18"/>
        <v>0</v>
      </c>
      <c r="CM94" s="173">
        <f t="shared" si="18"/>
        <v>0</v>
      </c>
      <c r="CN94" s="173">
        <f t="shared" si="18"/>
        <v>0</v>
      </c>
      <c r="CO94" s="173">
        <f t="shared" si="18"/>
        <v>0</v>
      </c>
      <c r="CP94" s="173">
        <f t="shared" si="18"/>
        <v>0</v>
      </c>
      <c r="CQ94" s="173">
        <f t="shared" si="18"/>
        <v>0</v>
      </c>
      <c r="CR94" s="173">
        <f t="shared" si="18"/>
        <v>0</v>
      </c>
      <c r="CS94" s="173">
        <f t="shared" si="18"/>
        <v>0</v>
      </c>
      <c r="CT94" s="173">
        <f t="shared" si="18"/>
        <v>0</v>
      </c>
      <c r="CU94" s="173">
        <f t="shared" si="18"/>
        <v>0</v>
      </c>
      <c r="CV94" s="173">
        <f t="shared" si="18"/>
        <v>0</v>
      </c>
      <c r="CW94" s="173">
        <f t="shared" si="18"/>
        <v>0</v>
      </c>
      <c r="CX94" s="173">
        <f t="shared" si="18"/>
        <v>0</v>
      </c>
      <c r="CY94" s="173">
        <f t="shared" si="18"/>
        <v>0</v>
      </c>
      <c r="CZ94" s="5"/>
      <c r="DA94" s="5"/>
      <c r="DB94" s="5"/>
      <c r="DC94" s="189" t="str">
        <f t="shared" si="19"/>
        <v>lot8</v>
      </c>
      <c r="DD94" s="192">
        <f>Scénario!K123</f>
        <v>0</v>
      </c>
      <c r="DE94" s="173">
        <f t="shared" si="22"/>
        <v>0</v>
      </c>
      <c r="DF94" s="173">
        <f t="shared" si="20"/>
        <v>0</v>
      </c>
      <c r="DG94" s="173">
        <f t="shared" si="20"/>
        <v>0</v>
      </c>
      <c r="DH94" s="173">
        <f t="shared" si="20"/>
        <v>0</v>
      </c>
      <c r="DI94" s="173">
        <f t="shared" si="20"/>
        <v>0</v>
      </c>
      <c r="DJ94" s="173">
        <f t="shared" si="20"/>
        <v>0</v>
      </c>
      <c r="DK94" s="173">
        <f t="shared" si="20"/>
        <v>0</v>
      </c>
      <c r="DL94" s="173">
        <f t="shared" si="20"/>
        <v>0</v>
      </c>
      <c r="DM94" s="173">
        <f t="shared" si="20"/>
        <v>0</v>
      </c>
      <c r="DN94" s="173">
        <f t="shared" si="20"/>
        <v>0</v>
      </c>
      <c r="DO94" s="173">
        <f t="shared" si="20"/>
        <v>0</v>
      </c>
      <c r="DP94" s="173">
        <f t="shared" si="20"/>
        <v>0</v>
      </c>
      <c r="DQ94" s="173">
        <f t="shared" si="20"/>
        <v>0</v>
      </c>
      <c r="DR94" s="173">
        <f t="shared" si="20"/>
        <v>0</v>
      </c>
      <c r="DS94" s="173">
        <f t="shared" si="20"/>
        <v>0</v>
      </c>
      <c r="DT94" s="173">
        <f t="shared" si="20"/>
        <v>0</v>
      </c>
      <c r="DU94" s="173">
        <f t="shared" si="20"/>
        <v>0</v>
      </c>
      <c r="DV94" s="173">
        <f t="shared" si="20"/>
        <v>0</v>
      </c>
      <c r="DW94" s="173">
        <f t="shared" si="20"/>
        <v>0</v>
      </c>
      <c r="DX94" s="173">
        <f t="shared" si="20"/>
        <v>0</v>
      </c>
      <c r="DY94" s="173">
        <f t="shared" si="20"/>
        <v>0</v>
      </c>
      <c r="DZ94" s="173">
        <f t="shared" si="20"/>
        <v>0</v>
      </c>
      <c r="EA94" s="173">
        <f t="shared" si="20"/>
        <v>0</v>
      </c>
      <c r="EB94" s="173">
        <f t="shared" si="20"/>
        <v>0</v>
      </c>
    </row>
    <row r="95" spans="1:132" x14ac:dyDescent="0.25">
      <c r="B95" s="14" t="s">
        <v>1176</v>
      </c>
      <c r="C95" s="173">
        <f>'Calcul éco'!B39</f>
        <v>0</v>
      </c>
      <c r="D95" s="261">
        <f>ROUND(C95*$D$82/$C$82,3)</f>
        <v>0</v>
      </c>
      <c r="F95" s="14"/>
      <c r="G95" s="186" t="str">
        <f>CdTrp1!A89</f>
        <v>vides</v>
      </c>
      <c r="H95" s="30">
        <f>CdTrp1!B77</f>
        <v>2</v>
      </c>
      <c r="I95" s="30">
        <f>CdTrp1!C77</f>
        <v>2</v>
      </c>
      <c r="J95" s="30">
        <f>CdTrp1!D77</f>
        <v>2</v>
      </c>
      <c r="K95" s="30">
        <f>CdTrp1!E77</f>
        <v>2</v>
      </c>
      <c r="L95" s="30">
        <f>CdTrp1!F77</f>
        <v>3</v>
      </c>
      <c r="M95" s="30">
        <f>CdTrp1!G77</f>
        <v>3</v>
      </c>
      <c r="N95" s="30">
        <f>CdTrp1!H77</f>
        <v>3</v>
      </c>
      <c r="O95" s="30">
        <f>CdTrp1!I77</f>
        <v>3</v>
      </c>
      <c r="P95" s="30">
        <f>CdTrp1!J77</f>
        <v>3</v>
      </c>
      <c r="Q95" s="30">
        <f>CdTrp1!K77</f>
        <v>0</v>
      </c>
      <c r="R95" s="30">
        <f>CdTrp1!L77</f>
        <v>0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3</v>
      </c>
      <c r="AB95" s="30">
        <f>CdTrp1!V77</f>
        <v>3</v>
      </c>
      <c r="AC95" s="30">
        <f>CdTrp1!W77</f>
        <v>3</v>
      </c>
      <c r="AD95" s="30">
        <f>CdTrp1!X77</f>
        <v>3</v>
      </c>
      <c r="AE95" s="30">
        <f>CdTrp1!Y77</f>
        <v>2</v>
      </c>
      <c r="AT95" s="189" t="str">
        <f>CdTrp1!A23</f>
        <v>lot9</v>
      </c>
      <c r="AU95" s="192">
        <f>Scénario!K104</f>
        <v>0</v>
      </c>
      <c r="AV95" s="173">
        <f t="shared" si="15"/>
        <v>0</v>
      </c>
      <c r="AW95" s="173">
        <f t="shared" si="15"/>
        <v>0</v>
      </c>
      <c r="AX95" s="173">
        <f t="shared" si="15"/>
        <v>0</v>
      </c>
      <c r="AY95" s="173">
        <f t="shared" si="15"/>
        <v>0</v>
      </c>
      <c r="AZ95" s="173">
        <f t="shared" si="15"/>
        <v>0</v>
      </c>
      <c r="BA95" s="173">
        <f t="shared" si="15"/>
        <v>0</v>
      </c>
      <c r="BB95" s="173">
        <f t="shared" si="15"/>
        <v>0</v>
      </c>
      <c r="BC95" s="173">
        <f t="shared" si="15"/>
        <v>0</v>
      </c>
      <c r="BD95" s="173">
        <f t="shared" si="15"/>
        <v>0</v>
      </c>
      <c r="BE95" s="173">
        <f t="shared" si="15"/>
        <v>0</v>
      </c>
      <c r="BF95" s="173">
        <f t="shared" si="15"/>
        <v>0</v>
      </c>
      <c r="BG95" s="173">
        <f t="shared" si="15"/>
        <v>0</v>
      </c>
      <c r="BH95" s="173">
        <f t="shared" si="15"/>
        <v>0</v>
      </c>
      <c r="BI95" s="173">
        <f t="shared" si="15"/>
        <v>0</v>
      </c>
      <c r="BJ95" s="173">
        <f t="shared" si="15"/>
        <v>0</v>
      </c>
      <c r="BK95" s="173">
        <f t="shared" si="15"/>
        <v>0</v>
      </c>
      <c r="BL95" s="173">
        <f t="shared" si="16"/>
        <v>0</v>
      </c>
      <c r="BM95" s="173">
        <f t="shared" si="16"/>
        <v>0</v>
      </c>
      <c r="BN95" s="173">
        <f t="shared" si="16"/>
        <v>0</v>
      </c>
      <c r="BO95" s="173">
        <f t="shared" si="16"/>
        <v>0</v>
      </c>
      <c r="BP95" s="173">
        <f t="shared" si="16"/>
        <v>0</v>
      </c>
      <c r="BQ95" s="173">
        <f t="shared" si="16"/>
        <v>0</v>
      </c>
      <c r="BR95" s="173">
        <f t="shared" si="16"/>
        <v>0</v>
      </c>
      <c r="BS95" s="173">
        <f t="shared" si="16"/>
        <v>0</v>
      </c>
      <c r="BT95" s="5"/>
      <c r="BY95" s="5"/>
      <c r="BZ95" s="189" t="str">
        <f t="shared" si="17"/>
        <v>lot9</v>
      </c>
      <c r="CA95" s="192">
        <f>Scénario!K114</f>
        <v>0</v>
      </c>
      <c r="CB95" s="173">
        <f t="shared" si="21"/>
        <v>0</v>
      </c>
      <c r="CC95" s="173">
        <f t="shared" si="18"/>
        <v>0</v>
      </c>
      <c r="CD95" s="173">
        <f t="shared" si="18"/>
        <v>0</v>
      </c>
      <c r="CE95" s="173">
        <f t="shared" si="18"/>
        <v>0</v>
      </c>
      <c r="CF95" s="173">
        <f t="shared" si="18"/>
        <v>0</v>
      </c>
      <c r="CG95" s="173">
        <f t="shared" si="18"/>
        <v>0</v>
      </c>
      <c r="CH95" s="173">
        <f t="shared" si="18"/>
        <v>0</v>
      </c>
      <c r="CI95" s="173">
        <f t="shared" si="18"/>
        <v>0</v>
      </c>
      <c r="CJ95" s="173">
        <f t="shared" si="18"/>
        <v>0</v>
      </c>
      <c r="CK95" s="173">
        <f t="shared" si="18"/>
        <v>0</v>
      </c>
      <c r="CL95" s="173">
        <f t="shared" si="18"/>
        <v>0</v>
      </c>
      <c r="CM95" s="173">
        <f t="shared" si="18"/>
        <v>0</v>
      </c>
      <c r="CN95" s="173">
        <f t="shared" si="18"/>
        <v>0</v>
      </c>
      <c r="CO95" s="173">
        <f t="shared" si="18"/>
        <v>0</v>
      </c>
      <c r="CP95" s="173">
        <f t="shared" si="18"/>
        <v>0</v>
      </c>
      <c r="CQ95" s="173">
        <f t="shared" si="18"/>
        <v>0</v>
      </c>
      <c r="CR95" s="173">
        <f t="shared" si="18"/>
        <v>0</v>
      </c>
      <c r="CS95" s="173">
        <f t="shared" si="18"/>
        <v>0</v>
      </c>
      <c r="CT95" s="173">
        <f t="shared" si="18"/>
        <v>0</v>
      </c>
      <c r="CU95" s="173">
        <f t="shared" si="18"/>
        <v>0</v>
      </c>
      <c r="CV95" s="173">
        <f t="shared" si="18"/>
        <v>0</v>
      </c>
      <c r="CW95" s="173">
        <f t="shared" si="18"/>
        <v>0</v>
      </c>
      <c r="CX95" s="173">
        <f t="shared" si="18"/>
        <v>0</v>
      </c>
      <c r="CY95" s="173">
        <f t="shared" si="18"/>
        <v>0</v>
      </c>
      <c r="CZ95" s="5"/>
      <c r="DA95" s="5"/>
      <c r="DB95" s="5"/>
      <c r="DC95" s="189" t="str">
        <f t="shared" si="19"/>
        <v>lot9</v>
      </c>
      <c r="DD95" s="192">
        <f>Scénario!K124</f>
        <v>0</v>
      </c>
      <c r="DE95" s="173">
        <f t="shared" si="22"/>
        <v>0</v>
      </c>
      <c r="DF95" s="173">
        <f t="shared" si="20"/>
        <v>0</v>
      </c>
      <c r="DG95" s="173">
        <f t="shared" si="20"/>
        <v>0</v>
      </c>
      <c r="DH95" s="173">
        <f t="shared" si="20"/>
        <v>0</v>
      </c>
      <c r="DI95" s="173">
        <f t="shared" si="20"/>
        <v>0</v>
      </c>
      <c r="DJ95" s="173">
        <f t="shared" si="20"/>
        <v>0</v>
      </c>
      <c r="DK95" s="173">
        <f t="shared" si="20"/>
        <v>0</v>
      </c>
      <c r="DL95" s="173">
        <f t="shared" si="20"/>
        <v>0</v>
      </c>
      <c r="DM95" s="173">
        <f t="shared" si="20"/>
        <v>0</v>
      </c>
      <c r="DN95" s="173">
        <f t="shared" si="20"/>
        <v>0</v>
      </c>
      <c r="DO95" s="173">
        <f t="shared" si="20"/>
        <v>0</v>
      </c>
      <c r="DP95" s="173">
        <f t="shared" si="20"/>
        <v>0</v>
      </c>
      <c r="DQ95" s="173">
        <f t="shared" si="20"/>
        <v>0</v>
      </c>
      <c r="DR95" s="173">
        <f t="shared" si="20"/>
        <v>0</v>
      </c>
      <c r="DS95" s="173">
        <f t="shared" si="20"/>
        <v>0</v>
      </c>
      <c r="DT95" s="173">
        <f t="shared" si="20"/>
        <v>0</v>
      </c>
      <c r="DU95" s="173">
        <f t="shared" si="20"/>
        <v>0</v>
      </c>
      <c r="DV95" s="173">
        <f t="shared" si="20"/>
        <v>0</v>
      </c>
      <c r="DW95" s="173">
        <f t="shared" si="20"/>
        <v>0</v>
      </c>
      <c r="DX95" s="173">
        <f t="shared" si="20"/>
        <v>0</v>
      </c>
      <c r="DY95" s="173">
        <f t="shared" si="20"/>
        <v>0</v>
      </c>
      <c r="DZ95" s="173">
        <f t="shared" si="20"/>
        <v>0</v>
      </c>
      <c r="EA95" s="173">
        <f t="shared" si="20"/>
        <v>0</v>
      </c>
      <c r="EB95" s="173">
        <f t="shared" si="20"/>
        <v>0</v>
      </c>
    </row>
    <row r="96" spans="1:132" x14ac:dyDescent="0.25">
      <c r="B96" s="14" t="s">
        <v>562</v>
      </c>
      <c r="C96" s="173">
        <f>Scénario!K39</f>
        <v>0</v>
      </c>
      <c r="D96" s="261">
        <f t="shared" si="14"/>
        <v>0</v>
      </c>
      <c r="F96" s="14"/>
      <c r="G96" s="186" t="str">
        <f>CdTrp1!A90</f>
        <v>agnelles</v>
      </c>
      <c r="H96" s="30">
        <f>CdTrp1!B78</f>
        <v>0</v>
      </c>
      <c r="I96" s="30">
        <f>CdTrp1!C78</f>
        <v>0</v>
      </c>
      <c r="J96" s="30">
        <f>CdTrp1!D78</f>
        <v>1</v>
      </c>
      <c r="K96" s="30">
        <f>CdTrp1!E78</f>
        <v>1</v>
      </c>
      <c r="L96" s="30">
        <f>CdTrp1!F78</f>
        <v>1</v>
      </c>
      <c r="M96" s="30">
        <f>CdTrp1!G78</f>
        <v>1</v>
      </c>
      <c r="N96" s="30">
        <f>CdTrp1!H78</f>
        <v>1</v>
      </c>
      <c r="O96" s="30">
        <f>CdTrp1!I78</f>
        <v>1</v>
      </c>
      <c r="P96" s="30">
        <f>CdTrp1!J78</f>
        <v>1</v>
      </c>
      <c r="Q96" s="30">
        <f>CdTrp1!K78</f>
        <v>1</v>
      </c>
      <c r="R96" s="30">
        <f>CdTrp1!L78</f>
        <v>1</v>
      </c>
      <c r="S96" s="30">
        <f>CdTrp1!M78</f>
        <v>1</v>
      </c>
      <c r="T96" s="30">
        <f>CdTrp1!N78</f>
        <v>1</v>
      </c>
      <c r="U96" s="30">
        <f>CdTrp1!O78</f>
        <v>1</v>
      </c>
      <c r="V96" s="30">
        <f>CdTrp1!P78</f>
        <v>1</v>
      </c>
      <c r="W96" s="30">
        <f>CdTrp1!Q78</f>
        <v>1</v>
      </c>
      <c r="X96" s="30">
        <f>CdTrp1!R78</f>
        <v>1</v>
      </c>
      <c r="Y96" s="30">
        <f>CdTrp1!S78</f>
        <v>1</v>
      </c>
      <c r="Z96" s="30">
        <f>CdTrp1!T78</f>
        <v>1</v>
      </c>
      <c r="AA96" s="30">
        <f>CdTrp1!U78</f>
        <v>0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9" t="str">
        <f>CdTrp1!A24</f>
        <v>lot10</v>
      </c>
      <c r="AU96" s="192">
        <f>Scénario!K105</f>
        <v>0</v>
      </c>
      <c r="AV96" s="173">
        <f t="shared" si="15"/>
        <v>0</v>
      </c>
      <c r="AW96" s="173">
        <f t="shared" si="15"/>
        <v>0</v>
      </c>
      <c r="AX96" s="173">
        <f t="shared" si="15"/>
        <v>0</v>
      </c>
      <c r="AY96" s="173">
        <f t="shared" si="15"/>
        <v>0</v>
      </c>
      <c r="AZ96" s="173">
        <f t="shared" si="15"/>
        <v>0</v>
      </c>
      <c r="BA96" s="173">
        <f t="shared" si="15"/>
        <v>0</v>
      </c>
      <c r="BB96" s="173">
        <f t="shared" si="15"/>
        <v>0</v>
      </c>
      <c r="BC96" s="173">
        <f t="shared" si="15"/>
        <v>0</v>
      </c>
      <c r="BD96" s="173">
        <f t="shared" si="15"/>
        <v>0</v>
      </c>
      <c r="BE96" s="173">
        <f t="shared" si="15"/>
        <v>0</v>
      </c>
      <c r="BF96" s="173">
        <f t="shared" si="15"/>
        <v>0</v>
      </c>
      <c r="BG96" s="173">
        <f t="shared" si="15"/>
        <v>0</v>
      </c>
      <c r="BH96" s="173">
        <f t="shared" si="15"/>
        <v>0</v>
      </c>
      <c r="BI96" s="173">
        <f t="shared" si="15"/>
        <v>0</v>
      </c>
      <c r="BJ96" s="173">
        <f t="shared" si="15"/>
        <v>0</v>
      </c>
      <c r="BK96" s="173">
        <f t="shared" si="15"/>
        <v>0</v>
      </c>
      <c r="BL96" s="173">
        <f t="shared" si="16"/>
        <v>0</v>
      </c>
      <c r="BM96" s="173">
        <f t="shared" si="16"/>
        <v>0</v>
      </c>
      <c r="BN96" s="173">
        <f t="shared" si="16"/>
        <v>0</v>
      </c>
      <c r="BO96" s="173">
        <f t="shared" si="16"/>
        <v>0</v>
      </c>
      <c r="BP96" s="173">
        <f t="shared" si="16"/>
        <v>0</v>
      </c>
      <c r="BQ96" s="173">
        <f t="shared" si="16"/>
        <v>0</v>
      </c>
      <c r="BR96" s="173">
        <f t="shared" si="16"/>
        <v>0</v>
      </c>
      <c r="BS96" s="173">
        <f t="shared" si="16"/>
        <v>0</v>
      </c>
      <c r="BZ96" s="189" t="str">
        <f t="shared" si="17"/>
        <v>lot10</v>
      </c>
      <c r="CA96" s="192">
        <f>Scénario!K115</f>
        <v>0</v>
      </c>
      <c r="CB96" s="173">
        <f t="shared" si="21"/>
        <v>0</v>
      </c>
      <c r="CC96" s="173">
        <f t="shared" si="18"/>
        <v>0</v>
      </c>
      <c r="CD96" s="173">
        <f t="shared" si="18"/>
        <v>0</v>
      </c>
      <c r="CE96" s="173">
        <f t="shared" si="18"/>
        <v>0</v>
      </c>
      <c r="CF96" s="173">
        <f t="shared" si="18"/>
        <v>0</v>
      </c>
      <c r="CG96" s="173">
        <f t="shared" si="18"/>
        <v>0</v>
      </c>
      <c r="CH96" s="173">
        <f t="shared" si="18"/>
        <v>0</v>
      </c>
      <c r="CI96" s="173">
        <f t="shared" si="18"/>
        <v>0</v>
      </c>
      <c r="CJ96" s="173">
        <f t="shared" si="18"/>
        <v>0</v>
      </c>
      <c r="CK96" s="173">
        <f t="shared" si="18"/>
        <v>0</v>
      </c>
      <c r="CL96" s="173">
        <f t="shared" si="18"/>
        <v>0</v>
      </c>
      <c r="CM96" s="173">
        <f t="shared" si="18"/>
        <v>0</v>
      </c>
      <c r="CN96" s="173">
        <f t="shared" si="18"/>
        <v>0</v>
      </c>
      <c r="CO96" s="173">
        <f t="shared" si="18"/>
        <v>0</v>
      </c>
      <c r="CP96" s="173">
        <f t="shared" si="18"/>
        <v>0</v>
      </c>
      <c r="CQ96" s="173">
        <f t="shared" si="18"/>
        <v>0</v>
      </c>
      <c r="CR96" s="173">
        <f t="shared" si="18"/>
        <v>0</v>
      </c>
      <c r="CS96" s="173">
        <f t="shared" si="18"/>
        <v>0</v>
      </c>
      <c r="CT96" s="173">
        <f t="shared" si="18"/>
        <v>0</v>
      </c>
      <c r="CU96" s="173">
        <f t="shared" si="18"/>
        <v>0</v>
      </c>
      <c r="CV96" s="173">
        <f t="shared" si="18"/>
        <v>0</v>
      </c>
      <c r="CW96" s="173">
        <f t="shared" si="18"/>
        <v>0</v>
      </c>
      <c r="CX96" s="173">
        <f t="shared" si="18"/>
        <v>0</v>
      </c>
      <c r="CY96" s="173">
        <f t="shared" si="18"/>
        <v>0</v>
      </c>
      <c r="DC96" s="189" t="str">
        <f t="shared" si="19"/>
        <v>lot10</v>
      </c>
      <c r="DD96" s="192">
        <f>Scénario!K125</f>
        <v>0</v>
      </c>
      <c r="DE96" s="173">
        <f t="shared" si="22"/>
        <v>0</v>
      </c>
      <c r="DF96" s="173">
        <f t="shared" si="20"/>
        <v>0</v>
      </c>
      <c r="DG96" s="173">
        <f t="shared" si="20"/>
        <v>0</v>
      </c>
      <c r="DH96" s="173">
        <f t="shared" si="20"/>
        <v>0</v>
      </c>
      <c r="DI96" s="173">
        <f t="shared" si="20"/>
        <v>0</v>
      </c>
      <c r="DJ96" s="173">
        <f t="shared" si="20"/>
        <v>0</v>
      </c>
      <c r="DK96" s="173">
        <f t="shared" si="20"/>
        <v>0</v>
      </c>
      <c r="DL96" s="173">
        <f t="shared" si="20"/>
        <v>0</v>
      </c>
      <c r="DM96" s="173">
        <f t="shared" si="20"/>
        <v>0</v>
      </c>
      <c r="DN96" s="173">
        <f t="shared" si="20"/>
        <v>0</v>
      </c>
      <c r="DO96" s="173">
        <f t="shared" si="20"/>
        <v>0</v>
      </c>
      <c r="DP96" s="173">
        <f t="shared" si="20"/>
        <v>0</v>
      </c>
      <c r="DQ96" s="173">
        <f t="shared" si="20"/>
        <v>0</v>
      </c>
      <c r="DR96" s="173">
        <f t="shared" si="20"/>
        <v>0</v>
      </c>
      <c r="DS96" s="173">
        <f t="shared" si="20"/>
        <v>0</v>
      </c>
      <c r="DT96" s="173">
        <f t="shared" si="20"/>
        <v>0</v>
      </c>
      <c r="DU96" s="173">
        <f t="shared" si="20"/>
        <v>0</v>
      </c>
      <c r="DV96" s="173">
        <f t="shared" si="20"/>
        <v>0</v>
      </c>
      <c r="DW96" s="173">
        <f t="shared" si="20"/>
        <v>0</v>
      </c>
      <c r="DX96" s="173">
        <f t="shared" si="20"/>
        <v>0</v>
      </c>
      <c r="DY96" s="173">
        <f t="shared" si="20"/>
        <v>0</v>
      </c>
      <c r="DZ96" s="173">
        <f t="shared" si="20"/>
        <v>0</v>
      </c>
      <c r="EA96" s="173">
        <f t="shared" si="20"/>
        <v>0</v>
      </c>
      <c r="EB96" s="173">
        <f>IF($DD96="fort",2,IF($DD96="faible",1,0))</f>
        <v>0</v>
      </c>
    </row>
    <row r="97" spans="1:132" x14ac:dyDescent="0.25">
      <c r="A97" s="2" t="s">
        <v>1177</v>
      </c>
      <c r="B97" s="14" t="s">
        <v>1178</v>
      </c>
      <c r="C97" s="173">
        <f>C90+C75+C73</f>
        <v>29</v>
      </c>
      <c r="D97" s="261">
        <f t="shared" si="14"/>
        <v>27.843</v>
      </c>
      <c r="F97" s="14"/>
      <c r="G97" s="30" t="str">
        <f>CdTrp1!A91</f>
        <v>beliers</v>
      </c>
      <c r="H97" s="30">
        <f>CdTrp1!B79</f>
        <v>2</v>
      </c>
      <c r="I97" s="30">
        <f>CdTrp1!C79</f>
        <v>2</v>
      </c>
      <c r="J97" s="30">
        <f>CdTrp1!D79</f>
        <v>2</v>
      </c>
      <c r="K97" s="30">
        <f>CdTrp1!E79</f>
        <v>2</v>
      </c>
      <c r="L97" s="30">
        <f>CdTrp1!F79</f>
        <v>2</v>
      </c>
      <c r="M97" s="30">
        <f>CdTrp1!G79</f>
        <v>2</v>
      </c>
      <c r="N97" s="30">
        <f>CdTrp1!H79</f>
        <v>2</v>
      </c>
      <c r="O97" s="30">
        <f>CdTrp1!I79</f>
        <v>2</v>
      </c>
      <c r="P97" s="30">
        <f>CdTrp1!J79</f>
        <v>1</v>
      </c>
      <c r="Q97" s="30">
        <f>CdTrp1!K79</f>
        <v>0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2</v>
      </c>
      <c r="AB97" s="30">
        <f>CdTrp1!V79</f>
        <v>2</v>
      </c>
      <c r="AC97" s="30">
        <f>CdTrp1!W79</f>
        <v>2</v>
      </c>
      <c r="AD97" s="30">
        <f>CdTrp1!X79</f>
        <v>2</v>
      </c>
      <c r="AE97" s="30">
        <f>CdTrp1!Y79</f>
        <v>2</v>
      </c>
      <c r="AT97" s="2" t="s">
        <v>745</v>
      </c>
      <c r="AV97" s="273"/>
      <c r="AW97" s="273"/>
      <c r="AX97" s="273"/>
      <c r="AY97" s="273"/>
      <c r="AZ97" s="273"/>
      <c r="BA97" s="273"/>
      <c r="BB97" s="273"/>
      <c r="BC97" s="273"/>
      <c r="BD97" s="273"/>
      <c r="BE97" s="273"/>
      <c r="BF97" s="273"/>
      <c r="BG97" s="273"/>
      <c r="BH97" s="273"/>
      <c r="BI97" s="273"/>
      <c r="BJ97" s="273"/>
      <c r="BK97" s="273"/>
      <c r="BL97" s="273"/>
      <c r="BM97" s="273"/>
      <c r="BN97" s="273"/>
      <c r="BO97" s="273"/>
      <c r="BP97" s="273"/>
      <c r="BQ97" s="273"/>
      <c r="BR97" s="273"/>
      <c r="BS97" s="273"/>
      <c r="BZ97" s="2" t="s">
        <v>745</v>
      </c>
      <c r="CB97" s="273"/>
      <c r="CC97" s="273"/>
      <c r="CD97" s="273"/>
      <c r="CE97" s="273"/>
      <c r="CF97" s="273"/>
      <c r="CG97" s="273"/>
      <c r="CH97" s="273"/>
      <c r="CI97" s="273"/>
      <c r="CJ97" s="273"/>
      <c r="CK97" s="273"/>
      <c r="CL97" s="273"/>
      <c r="CM97" s="273"/>
      <c r="CN97" s="273"/>
      <c r="CO97" s="273"/>
      <c r="CP97" s="273"/>
      <c r="CQ97" s="273"/>
      <c r="CR97" s="273"/>
      <c r="CS97" s="273"/>
      <c r="CT97" s="273"/>
      <c r="CU97" s="273"/>
      <c r="CV97" s="273"/>
      <c r="CW97" s="273"/>
      <c r="CX97" s="273"/>
      <c r="CY97" s="273"/>
      <c r="DC97" s="2" t="s">
        <v>745</v>
      </c>
      <c r="DD97" s="182"/>
      <c r="DE97" s="273"/>
      <c r="DF97" s="273"/>
      <c r="DG97" s="273"/>
      <c r="DH97" s="273"/>
      <c r="DI97" s="273"/>
      <c r="DJ97" s="273"/>
      <c r="DK97" s="273"/>
      <c r="DL97" s="273"/>
      <c r="DM97" s="273"/>
      <c r="DN97" s="273"/>
      <c r="DO97" s="273"/>
      <c r="DP97" s="273"/>
      <c r="DQ97" s="273"/>
      <c r="DR97" s="273"/>
      <c r="DS97" s="273"/>
      <c r="DT97" s="273"/>
      <c r="DU97" s="273"/>
      <c r="DV97" s="273"/>
      <c r="DW97" s="273"/>
      <c r="DX97" s="273"/>
      <c r="DY97" s="273"/>
      <c r="DZ97" s="273"/>
      <c r="EA97" s="273"/>
      <c r="EB97" s="273"/>
    </row>
    <row r="98" spans="1:132" x14ac:dyDescent="0.25">
      <c r="A98" s="2" t="s">
        <v>1179</v>
      </c>
      <c r="B98" s="14" t="s">
        <v>1180</v>
      </c>
      <c r="C98" s="173">
        <f>MAX(H129:AE129)</f>
        <v>4</v>
      </c>
      <c r="D98" s="173">
        <f>C98</f>
        <v>4</v>
      </c>
      <c r="F98" s="14"/>
      <c r="G98" s="186" t="str">
        <f>CdTrp1!A92</f>
        <v>lot5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9" t="str">
        <f>CdTrp1!$A52</f>
        <v>brebis</v>
      </c>
      <c r="AU98" s="32"/>
      <c r="AV98" s="173">
        <f>IF(CdTrp1!B52=1,3,IF(CdTrp1!B52=0.5,2,IF(CdTrp1!B52=0,1,0)))</f>
        <v>3</v>
      </c>
      <c r="AW98" s="173">
        <f>IF(CdTrp1!C52=1,3,IF(CdTrp1!C52=0.5,2,IF(CdTrp1!C52=0,1,0)))</f>
        <v>3</v>
      </c>
      <c r="AX98" s="173">
        <f>IF(CdTrp1!D52=1,3,IF(CdTrp1!D52=0.5,2,IF(CdTrp1!D52=0,1,0)))</f>
        <v>3</v>
      </c>
      <c r="AY98" s="173">
        <f>IF(CdTrp1!E52=1,3,IF(CdTrp1!E52=0.5,2,IF(CdTrp1!E52=0,1,0)))</f>
        <v>2</v>
      </c>
      <c r="AZ98" s="173">
        <f>IF(CdTrp1!F52=1,3,IF(CdTrp1!F52=0.5,2,IF(CdTrp1!F52=0,1,0)))</f>
        <v>2</v>
      </c>
      <c r="BA98" s="173">
        <f>IF(CdTrp1!G52=1,3,IF(CdTrp1!G52=0.5,2,IF(CdTrp1!G52=0,1,0)))</f>
        <v>2</v>
      </c>
      <c r="BB98" s="173">
        <f>IF(CdTrp1!H52=1,3,IF(CdTrp1!H52=0.5,2,IF(CdTrp1!H52=0,1,0)))</f>
        <v>2</v>
      </c>
      <c r="BC98" s="173">
        <f>IF(CdTrp1!I52=1,3,IF(CdTrp1!I52=0.5,2,IF(CdTrp1!I52=0,1,0)))</f>
        <v>2</v>
      </c>
      <c r="BD98" s="173">
        <f>IF(CdTrp1!J52=1,3,IF(CdTrp1!J52=0.5,2,IF(CdTrp1!J52=0,1,0)))</f>
        <v>2</v>
      </c>
      <c r="BE98" s="173">
        <f>IF(CdTrp1!K52=1,3,IF(CdTrp1!K52=0.5,2,IF(CdTrp1!K52=0,1,0)))</f>
        <v>2</v>
      </c>
      <c r="BF98" s="173">
        <f>IF(CdTrp1!L52=1,3,IF(CdTrp1!L52=0.5,2,IF(CdTrp1!L52=0,1,0)))</f>
        <v>2</v>
      </c>
      <c r="BG98" s="173">
        <f>IF(CdTrp1!M52=1,3,IF(CdTrp1!M52=0.5,2,IF(CdTrp1!M52=0,1,0)))</f>
        <v>1</v>
      </c>
      <c r="BH98" s="173">
        <f>IF(CdTrp1!N52=1,3,IF(CdTrp1!N52=0.5,2,IF(CdTrp1!N52=0,1,0)))</f>
        <v>1</v>
      </c>
      <c r="BI98" s="173">
        <f>IF(CdTrp1!O52=1,3,IF(CdTrp1!O52=0.5,2,IF(CdTrp1!O52=0,1,0)))</f>
        <v>1</v>
      </c>
      <c r="BJ98" s="173">
        <f>IF(CdTrp1!P52=1,3,IF(CdTrp1!P52=0.5,2,IF(CdTrp1!P52=0,1,0)))</f>
        <v>1</v>
      </c>
      <c r="BK98" s="173">
        <f>IF(CdTrp1!Q52=1,3,IF(CdTrp1!Q52=0.5,2,IF(CdTrp1!Q52=0,1,0)))</f>
        <v>1</v>
      </c>
      <c r="BL98" s="173">
        <f>IF(CdTrp1!R52=1,3,IF(CdTrp1!R52=0.5,2,IF(CdTrp1!R52=0,1,0)))</f>
        <v>1</v>
      </c>
      <c r="BM98" s="173">
        <f>IF(CdTrp1!S52=1,3,IF(CdTrp1!S52=0.5,2,IF(CdTrp1!S52=0,1,0)))</f>
        <v>1</v>
      </c>
      <c r="BN98" s="173">
        <f>IF(CdTrp1!T52=1,3,IF(CdTrp1!T52=0.5,2,IF(CdTrp1!T52=0,1,0)))</f>
        <v>2</v>
      </c>
      <c r="BO98" s="173">
        <f>IF(CdTrp1!U52=1,3,IF(CdTrp1!U52=0.5,2,IF(CdTrp1!U52=0,1,0)))</f>
        <v>2</v>
      </c>
      <c r="BP98" s="173">
        <f>IF(CdTrp1!V52=1,3,IF(CdTrp1!V52=0.5,2,IF(CdTrp1!V52=0,1,0)))</f>
        <v>3</v>
      </c>
      <c r="BQ98" s="173">
        <f>IF(CdTrp1!W52=1,3,IF(CdTrp1!W52=0.5,2,IF(CdTrp1!W52=0,1,0)))</f>
        <v>3</v>
      </c>
      <c r="BR98" s="173">
        <f>IF(CdTrp1!X52=1,3,IF(CdTrp1!X52=0.5,2,IF(CdTrp1!X52=0,1,0)))</f>
        <v>3</v>
      </c>
      <c r="BS98" s="173">
        <f>IF(CdTrp1!Y52=1,3,IF(CdTrp1!Y52=0.5,2,IF(CdTrp1!Y52=0,1,0)))</f>
        <v>3</v>
      </c>
      <c r="BU98">
        <v>3</v>
      </c>
      <c r="BV98" t="s">
        <v>771</v>
      </c>
      <c r="BZ98" s="189" t="str">
        <f t="shared" ref="BZ98:BZ107" si="23">+BZ64</f>
        <v xml:space="preserve">vaches </v>
      </c>
      <c r="CA98" s="32"/>
      <c r="CB98" s="173">
        <f>IF(CdTrp2!B52=1,3,IF(CdTrp2!B52=0.5,2,IF(CdTrp2!B52=0,1,0)))</f>
        <v>3</v>
      </c>
      <c r="CC98" s="173">
        <f>IF(CdTrp2!C52=1,3,IF(CdTrp2!C52=0.5,2,IF(CdTrp2!C52=0,1,0)))</f>
        <v>3</v>
      </c>
      <c r="CD98" s="173">
        <f>IF(CdTrp2!D52=1,3,IF(CdTrp2!D52=0.5,2,IF(CdTrp2!D52=0,1,0)))</f>
        <v>3</v>
      </c>
      <c r="CE98" s="173">
        <f>IF(CdTrp2!E52=1,3,IF(CdTrp2!E52=0.5,2,IF(CdTrp2!E52=0,1,0)))</f>
        <v>3</v>
      </c>
      <c r="CF98" s="173">
        <f>IF(CdTrp2!F52=1,3,IF(CdTrp2!F52=0.5,2,IF(CdTrp2!F52=0,1,0)))</f>
        <v>3</v>
      </c>
      <c r="CG98" s="173">
        <f>IF(CdTrp2!G52=1,3,IF(CdTrp2!G52=0.5,2,IF(CdTrp2!G52=0,1,0)))</f>
        <v>3</v>
      </c>
      <c r="CH98" s="173">
        <f>IF(CdTrp2!H52=1,3,IF(CdTrp2!H52=0.5,2,IF(CdTrp2!H52=0,1,0)))</f>
        <v>2</v>
      </c>
      <c r="CI98" s="173">
        <f>IF(CdTrp2!I52=1,3,IF(CdTrp2!I52=0.5,2,IF(CdTrp2!I52=0,1,0)))</f>
        <v>2</v>
      </c>
      <c r="CJ98" s="173">
        <f>IF(CdTrp2!J52=1,3,IF(CdTrp2!J52=0.5,2,IF(CdTrp2!J52=0,1,0)))</f>
        <v>2</v>
      </c>
      <c r="CK98" s="173">
        <f>IF(CdTrp2!K52=1,3,IF(CdTrp2!K52=0.5,2,IF(CdTrp2!K52=0,1,0)))</f>
        <v>2</v>
      </c>
      <c r="CL98" s="173">
        <f>IF(CdTrp2!L52=1,3,IF(CdTrp2!L52=0.5,2,IF(CdTrp2!L52=0,1,0)))</f>
        <v>1</v>
      </c>
      <c r="CM98" s="173">
        <f>IF(CdTrp2!M52=1,3,IF(CdTrp2!M52=0.5,2,IF(CdTrp2!M52=0,1,0)))</f>
        <v>1</v>
      </c>
      <c r="CN98" s="173">
        <f>IF(CdTrp2!N52=1,3,IF(CdTrp2!N52=0.5,2,IF(CdTrp2!N52=0,1,0)))</f>
        <v>1</v>
      </c>
      <c r="CO98" s="173">
        <f>IF(CdTrp2!O52=1,3,IF(CdTrp2!O52=0.5,2,IF(CdTrp2!O52=0,1,0)))</f>
        <v>1</v>
      </c>
      <c r="CP98" s="173">
        <f>IF(CdTrp2!P52=1,3,IF(CdTrp2!P52=0.5,2,IF(CdTrp2!P52=0,1,0)))</f>
        <v>1</v>
      </c>
      <c r="CQ98" s="173">
        <f>IF(CdTrp2!Q52=1,3,IF(CdTrp2!Q52=0.5,2,IF(CdTrp2!Q52=0,1,0)))</f>
        <v>1</v>
      </c>
      <c r="CR98" s="173">
        <f>IF(CdTrp2!R52=1,3,IF(CdTrp2!R52=0.5,2,IF(CdTrp2!R52=0,1,0)))</f>
        <v>1</v>
      </c>
      <c r="CS98" s="173">
        <f>IF(CdTrp2!S52=1,3,IF(CdTrp2!S52=0.5,2,IF(CdTrp2!S52=0,1,0)))</f>
        <v>1</v>
      </c>
      <c r="CT98" s="173">
        <f>IF(CdTrp2!T52=1,3,IF(CdTrp2!T52=0.5,2,IF(CdTrp2!T52=0,1,0)))</f>
        <v>2</v>
      </c>
      <c r="CU98" s="173">
        <f>IF(CdTrp2!U52=1,3,IF(CdTrp2!U52=0.5,2,IF(CdTrp2!U52=0,1,0)))</f>
        <v>2</v>
      </c>
      <c r="CV98" s="173">
        <f>IF(CdTrp2!V52=1,3,IF(CdTrp2!V52=0.5,2,IF(CdTrp2!V52=0,1,0)))</f>
        <v>2</v>
      </c>
      <c r="CW98" s="173">
        <f>IF(CdTrp2!W52=1,3,IF(CdTrp2!W52=0.5,2,IF(CdTrp2!W52=0,1,0)))</f>
        <v>2</v>
      </c>
      <c r="CX98" s="173">
        <f>IF(CdTrp2!X52=1,3,IF(CdTrp2!X52=0.5,2,IF(CdTrp2!X52=0,1,0)))</f>
        <v>3</v>
      </c>
      <c r="CY98" s="173">
        <f>IF(CdTrp2!Y52=1,3,IF(CdTrp2!Y52=0.5,2,IF(CdTrp2!Y52=0,1,0)))</f>
        <v>3</v>
      </c>
      <c r="DC98" s="189" t="str">
        <f t="shared" ref="DC98:DC107" si="24">+DC64</f>
        <v>lot1</v>
      </c>
      <c r="DD98" s="32"/>
      <c r="DE98" s="173">
        <f>IF(CdTrp3!B52=1,3,IF(CdTrp3!B52=0.5,2,IF(CdTrp3!B52=0,1,0)))</f>
        <v>1</v>
      </c>
      <c r="DF98" s="173">
        <f>IF(CdTrp3!C52=1,3,IF(CdTrp3!C52=0.5,2,IF(CdTrp3!C52=0,1,0)))</f>
        <v>1</v>
      </c>
      <c r="DG98" s="173">
        <f>IF(CdTrp3!D52=1,3,IF(CdTrp3!D52=0.5,2,IF(CdTrp3!D52=0,1,0)))</f>
        <v>1</v>
      </c>
      <c r="DH98" s="173">
        <f>IF(CdTrp3!E52=1,3,IF(CdTrp3!E52=0.5,2,IF(CdTrp3!E52=0,1,0)))</f>
        <v>1</v>
      </c>
      <c r="DI98" s="173">
        <f>IF(CdTrp3!F52=1,3,IF(CdTrp3!F52=0.5,2,IF(CdTrp3!F52=0,1,0)))</f>
        <v>1</v>
      </c>
      <c r="DJ98" s="173">
        <f>IF(CdTrp3!G52=1,3,IF(CdTrp3!G52=0.5,2,IF(CdTrp3!G52=0,1,0)))</f>
        <v>1</v>
      </c>
      <c r="DK98" s="173">
        <f>IF(CdTrp3!H52=1,3,IF(CdTrp3!H52=0.5,2,IF(CdTrp3!H52=0,1,0)))</f>
        <v>1</v>
      </c>
      <c r="DL98" s="173">
        <f>IF(CdTrp3!I52=1,3,IF(CdTrp3!I52=0.5,2,IF(CdTrp3!I52=0,1,0)))</f>
        <v>1</v>
      </c>
      <c r="DM98" s="173">
        <f>IF(CdTrp3!J52=1,3,IF(CdTrp3!J52=0.5,2,IF(CdTrp3!J52=0,1,0)))</f>
        <v>1</v>
      </c>
      <c r="DN98" s="173">
        <f>IF(CdTrp3!K52=1,3,IF(CdTrp3!K52=0.5,2,IF(CdTrp3!K52=0,1,0)))</f>
        <v>1</v>
      </c>
      <c r="DO98" s="173">
        <f>IF(CdTrp3!L52=1,3,IF(CdTrp3!L52=0.5,2,IF(CdTrp3!L52=0,1,0)))</f>
        <v>1</v>
      </c>
      <c r="DP98" s="173">
        <f>IF(CdTrp3!M52=1,3,IF(CdTrp3!M52=0.5,2,IF(CdTrp3!M52=0,1,0)))</f>
        <v>1</v>
      </c>
      <c r="DQ98" s="173">
        <f>IF(CdTrp3!N52=1,3,IF(CdTrp3!N52=0.5,2,IF(CdTrp3!N52=0,1,0)))</f>
        <v>1</v>
      </c>
      <c r="DR98" s="173">
        <f>IF(CdTrp3!O52=1,3,IF(CdTrp3!O52=0.5,2,IF(CdTrp3!O52=0,1,0)))</f>
        <v>1</v>
      </c>
      <c r="DS98" s="173">
        <f>IF(CdTrp3!P52=1,3,IF(CdTrp3!P52=0.5,2,IF(CdTrp3!P52=0,1,0)))</f>
        <v>1</v>
      </c>
      <c r="DT98" s="173">
        <f>IF(CdTrp3!Q52=1,3,IF(CdTrp3!Q52=0.5,2,IF(CdTrp3!Q52=0,1,0)))</f>
        <v>1</v>
      </c>
      <c r="DU98" s="173">
        <f>IF(CdTrp3!R52=1,3,IF(CdTrp3!R52=0.5,2,IF(CdTrp3!R52=0,1,0)))</f>
        <v>1</v>
      </c>
      <c r="DV98" s="173">
        <f>IF(CdTrp3!S52=1,3,IF(CdTrp3!S52=0.5,2,IF(CdTrp3!S52=0,1,0)))</f>
        <v>1</v>
      </c>
      <c r="DW98" s="173">
        <f>IF(CdTrp3!T52=1,3,IF(CdTrp3!T52=0.5,2,IF(CdTrp3!T52=0,1,0)))</f>
        <v>1</v>
      </c>
      <c r="DX98" s="173">
        <f>IF(CdTrp3!U52=1,3,IF(CdTrp3!U52=0.5,2,IF(CdTrp3!U52=0,1,0)))</f>
        <v>1</v>
      </c>
      <c r="DY98" s="173">
        <f>IF(CdTrp3!V52=1,3,IF(CdTrp3!V52=0.5,2,IF(CdTrp3!V52=0,1,0)))</f>
        <v>1</v>
      </c>
      <c r="DZ98" s="173">
        <f>IF(CdTrp3!W52=1,3,IF(CdTrp3!W52=0.5,2,IF(CdTrp3!W52=0,1,0)))</f>
        <v>1</v>
      </c>
      <c r="EA98" s="173">
        <f>IF(CdTrp3!X52=1,3,IF(CdTrp3!X52=0.5,2,IF(CdTrp3!X52=0,1,0)))</f>
        <v>1</v>
      </c>
      <c r="EB98" s="173">
        <f>IF(CdTrp3!Y52=1,3,IF(CdTrp3!Y52=0.5,2,IF(CdTrp3!Y52=0,1,0)))</f>
        <v>1</v>
      </c>
    </row>
    <row r="99" spans="1:132" x14ac:dyDescent="0.25">
      <c r="A99" t="s">
        <v>1181</v>
      </c>
      <c r="B99" s="14" t="s">
        <v>1182</v>
      </c>
      <c r="C99" s="173">
        <f>MAX(H130:AE130)</f>
        <v>3</v>
      </c>
      <c r="D99" s="173">
        <f t="shared" ref="D99:D136" si="25">C99</f>
        <v>3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71" t="str">
        <f>CdTrp1!$A53</f>
        <v>vides</v>
      </c>
      <c r="AU99" s="32"/>
      <c r="AV99" s="173">
        <f>IF(CdTrp1!B53=1,3,IF(CdTrp1!B53=0.5,2,IF(CdTrp1!B53=0,1,0)))</f>
        <v>2</v>
      </c>
      <c r="AW99" s="173">
        <f>IF(CdTrp1!C53=1,3,IF(CdTrp1!C53=0.5,2,IF(CdTrp1!C53=0,1,0)))</f>
        <v>2</v>
      </c>
      <c r="AX99" s="173">
        <f>IF(CdTrp1!D53=1,3,IF(CdTrp1!D53=0.5,2,IF(CdTrp1!D53=0,1,0)))</f>
        <v>2</v>
      </c>
      <c r="AY99" s="173">
        <f>IF(CdTrp1!E53=1,3,IF(CdTrp1!E53=0.5,2,IF(CdTrp1!E53=0,1,0)))</f>
        <v>2</v>
      </c>
      <c r="AZ99" s="173">
        <f>IF(CdTrp1!F53=1,3,IF(CdTrp1!F53=0.5,2,IF(CdTrp1!F53=0,1,0)))</f>
        <v>2</v>
      </c>
      <c r="BA99" s="173">
        <f>IF(CdTrp1!G53=1,3,IF(CdTrp1!G53=0.5,2,IF(CdTrp1!G53=0,1,0)))</f>
        <v>2</v>
      </c>
      <c r="BB99" s="173">
        <f>IF(CdTrp1!H53=1,3,IF(CdTrp1!H53=0.5,2,IF(CdTrp1!H53=0,1,0)))</f>
        <v>2</v>
      </c>
      <c r="BC99" s="173">
        <f>IF(CdTrp1!I53=1,3,IF(CdTrp1!I53=0.5,2,IF(CdTrp1!I53=0,1,0)))</f>
        <v>2</v>
      </c>
      <c r="BD99" s="173">
        <f>IF(CdTrp1!J53=1,3,IF(CdTrp1!J53=0.5,2,IF(CdTrp1!J53=0,1,0)))</f>
        <v>2</v>
      </c>
      <c r="BE99" s="173">
        <f>IF(CdTrp1!K53=1,3,IF(CdTrp1!K53=0.5,2,IF(CdTrp1!K53=0,1,0)))</f>
        <v>0</v>
      </c>
      <c r="BF99" s="173">
        <f>IF(CdTrp1!L53=1,3,IF(CdTrp1!L53=0.5,2,IF(CdTrp1!L53=0,1,0)))</f>
        <v>0</v>
      </c>
      <c r="BG99" s="173">
        <f>IF(CdTrp1!M53=1,3,IF(CdTrp1!M53=0.5,2,IF(CdTrp1!M53=0,1,0)))</f>
        <v>0</v>
      </c>
      <c r="BH99" s="173">
        <f>IF(CdTrp1!N53=1,3,IF(CdTrp1!N53=0.5,2,IF(CdTrp1!N53=0,1,0)))</f>
        <v>0</v>
      </c>
      <c r="BI99" s="173">
        <f>IF(CdTrp1!O53=1,3,IF(CdTrp1!O53=0.5,2,IF(CdTrp1!O53=0,1,0)))</f>
        <v>0</v>
      </c>
      <c r="BJ99" s="173">
        <f>IF(CdTrp1!P53=1,3,IF(CdTrp1!P53=0.5,2,IF(CdTrp1!P53=0,1,0)))</f>
        <v>0</v>
      </c>
      <c r="BK99" s="173">
        <f>IF(CdTrp1!Q53=1,3,IF(CdTrp1!Q53=0.5,2,IF(CdTrp1!Q53=0,1,0)))</f>
        <v>0</v>
      </c>
      <c r="BL99" s="173">
        <f>IF(CdTrp1!R53=1,3,IF(CdTrp1!R53=0.5,2,IF(CdTrp1!R53=0,1,0)))</f>
        <v>0</v>
      </c>
      <c r="BM99" s="173">
        <f>IF(CdTrp1!S53=1,3,IF(CdTrp1!S53=0.5,2,IF(CdTrp1!S53=0,1,0)))</f>
        <v>0</v>
      </c>
      <c r="BN99" s="173">
        <f>IF(CdTrp1!T53=1,3,IF(CdTrp1!T53=0.5,2,IF(CdTrp1!T53=0,1,0)))</f>
        <v>0</v>
      </c>
      <c r="BO99" s="173">
        <f>IF(CdTrp1!U53=1,3,IF(CdTrp1!U53=0.5,2,IF(CdTrp1!U53=0,1,0)))</f>
        <v>2</v>
      </c>
      <c r="BP99" s="173">
        <f>IF(CdTrp1!V53=1,3,IF(CdTrp1!V53=0.5,2,IF(CdTrp1!V53=0,1,0)))</f>
        <v>2</v>
      </c>
      <c r="BQ99" s="173">
        <f>IF(CdTrp1!W53=1,3,IF(CdTrp1!W53=0.5,2,IF(CdTrp1!W53=0,1,0)))</f>
        <v>2</v>
      </c>
      <c r="BR99" s="173">
        <f>IF(CdTrp1!X53=1,3,IF(CdTrp1!X53=0.5,2,IF(CdTrp1!X53=0,1,0)))</f>
        <v>2</v>
      </c>
      <c r="BS99" s="173">
        <f>IF(CdTrp1!Y53=1,3,IF(CdTrp1!Y53=0.5,2,IF(CdTrp1!Y53=0,1,0)))</f>
        <v>2</v>
      </c>
      <c r="BU99">
        <v>2</v>
      </c>
      <c r="BV99" t="s">
        <v>775</v>
      </c>
      <c r="BZ99" s="189" t="str">
        <f t="shared" si="23"/>
        <v>genisses -1an</v>
      </c>
      <c r="CA99" s="32"/>
      <c r="CB99" s="173">
        <f>IF(CdTrp2!B53=1,3,IF(CdTrp2!B53=0.5,2,IF(CdTrp2!B53=0,1,0)))</f>
        <v>0</v>
      </c>
      <c r="CC99" s="173">
        <f>IF(CdTrp2!C53=1,3,IF(CdTrp2!C53=0.5,2,IF(CdTrp2!C53=0,1,0)))</f>
        <v>0</v>
      </c>
      <c r="CD99" s="173">
        <f>IF(CdTrp2!D53=1,3,IF(CdTrp2!D53=0.5,2,IF(CdTrp2!D53=0,1,0)))</f>
        <v>0</v>
      </c>
      <c r="CE99" s="173">
        <f>IF(CdTrp2!E53=1,3,IF(CdTrp2!E53=0.5,2,IF(CdTrp2!E53=0,1,0)))</f>
        <v>0</v>
      </c>
      <c r="CF99" s="173">
        <f>IF(CdTrp2!F53=1,3,IF(CdTrp2!F53=0.5,2,IF(CdTrp2!F53=0,1,0)))</f>
        <v>0</v>
      </c>
      <c r="CG99" s="173">
        <f>IF(CdTrp2!G53=1,3,IF(CdTrp2!G53=0.5,2,IF(CdTrp2!G53=0,1,0)))</f>
        <v>1</v>
      </c>
      <c r="CH99" s="173">
        <f>IF(CdTrp2!H53=1,3,IF(CdTrp2!H53=0.5,2,IF(CdTrp2!H53=0,1,0)))</f>
        <v>1</v>
      </c>
      <c r="CI99" s="173">
        <f>IF(CdTrp2!I53=1,3,IF(CdTrp2!I53=0.5,2,IF(CdTrp2!I53=0,1,0)))</f>
        <v>1</v>
      </c>
      <c r="CJ99" s="173">
        <f>IF(CdTrp2!J53=1,3,IF(CdTrp2!J53=0.5,2,IF(CdTrp2!J53=0,1,0)))</f>
        <v>1</v>
      </c>
      <c r="CK99" s="173">
        <f>IF(CdTrp2!K53=1,3,IF(CdTrp2!K53=0.5,2,IF(CdTrp2!K53=0,1,0)))</f>
        <v>1</v>
      </c>
      <c r="CL99" s="173">
        <f>IF(CdTrp2!L53=1,3,IF(CdTrp2!L53=0.5,2,IF(CdTrp2!L53=0,1,0)))</f>
        <v>1</v>
      </c>
      <c r="CM99" s="173">
        <f>IF(CdTrp2!M53=1,3,IF(CdTrp2!M53=0.5,2,IF(CdTrp2!M53=0,1,0)))</f>
        <v>1</v>
      </c>
      <c r="CN99" s="173">
        <f>IF(CdTrp2!N53=1,3,IF(CdTrp2!N53=0.5,2,IF(CdTrp2!N53=0,1,0)))</f>
        <v>1</v>
      </c>
      <c r="CO99" s="173">
        <f>IF(CdTrp2!O53=1,3,IF(CdTrp2!O53=0.5,2,IF(CdTrp2!O53=0,1,0)))</f>
        <v>1</v>
      </c>
      <c r="CP99" s="173">
        <f>IF(CdTrp2!P53=1,3,IF(CdTrp2!P53=0.5,2,IF(CdTrp2!P53=0,1,0)))</f>
        <v>1</v>
      </c>
      <c r="CQ99" s="173">
        <f>IF(CdTrp2!Q53=1,3,IF(CdTrp2!Q53=0.5,2,IF(CdTrp2!Q53=0,1,0)))</f>
        <v>1</v>
      </c>
      <c r="CR99" s="173">
        <f>IF(CdTrp2!R53=1,3,IF(CdTrp2!R53=0.5,2,IF(CdTrp2!R53=0,1,0)))</f>
        <v>1</v>
      </c>
      <c r="CS99" s="173">
        <f>IF(CdTrp2!S53=1,3,IF(CdTrp2!S53=0.5,2,IF(CdTrp2!S53=0,1,0)))</f>
        <v>1</v>
      </c>
      <c r="CT99" s="173">
        <f>IF(CdTrp2!T53=1,3,IF(CdTrp2!T53=0.5,2,IF(CdTrp2!T53=0,1,0)))</f>
        <v>1</v>
      </c>
      <c r="CU99" s="173">
        <f>IF(CdTrp2!U53=1,3,IF(CdTrp2!U53=0.5,2,IF(CdTrp2!U53=0,1,0)))</f>
        <v>1</v>
      </c>
      <c r="CV99" s="173">
        <f>IF(CdTrp2!V53=1,3,IF(CdTrp2!V53=0.5,2,IF(CdTrp2!V53=0,1,0)))</f>
        <v>2</v>
      </c>
      <c r="CW99" s="173">
        <f>IF(CdTrp2!W53=1,3,IF(CdTrp2!W53=0.5,2,IF(CdTrp2!W53=0,1,0)))</f>
        <v>2</v>
      </c>
      <c r="CX99" s="173">
        <f>IF(CdTrp2!X53=1,3,IF(CdTrp2!X53=0.5,2,IF(CdTrp2!X53=0,1,0)))</f>
        <v>0</v>
      </c>
      <c r="CY99" s="173">
        <f>IF(CdTrp2!Y53=1,3,IF(CdTrp2!Y53=0.5,2,IF(CdTrp2!Y53=0,1,0)))</f>
        <v>0</v>
      </c>
      <c r="DC99" s="189" t="str">
        <f t="shared" si="24"/>
        <v>lot2</v>
      </c>
      <c r="DD99" s="32"/>
      <c r="DE99" s="173">
        <f>IF(CdTrp3!B53=1,3,IF(CdTrp3!B53=0.5,2,IF(CdTrp3!B53=0,1,0)))</f>
        <v>1</v>
      </c>
      <c r="DF99" s="173">
        <f>IF(CdTrp3!C53=1,3,IF(CdTrp3!C53=0.5,2,IF(CdTrp3!C53=0,1,0)))</f>
        <v>1</v>
      </c>
      <c r="DG99" s="173">
        <f>IF(CdTrp3!D53=1,3,IF(CdTrp3!D53=0.5,2,IF(CdTrp3!D53=0,1,0)))</f>
        <v>1</v>
      </c>
      <c r="DH99" s="173">
        <f>IF(CdTrp3!E53=1,3,IF(CdTrp3!E53=0.5,2,IF(CdTrp3!E53=0,1,0)))</f>
        <v>1</v>
      </c>
      <c r="DI99" s="173">
        <f>IF(CdTrp3!F53=1,3,IF(CdTrp3!F53=0.5,2,IF(CdTrp3!F53=0,1,0)))</f>
        <v>1</v>
      </c>
      <c r="DJ99" s="173">
        <f>IF(CdTrp3!G53=1,3,IF(CdTrp3!G53=0.5,2,IF(CdTrp3!G53=0,1,0)))</f>
        <v>1</v>
      </c>
      <c r="DK99" s="173">
        <f>IF(CdTrp3!H53=1,3,IF(CdTrp3!H53=0.5,2,IF(CdTrp3!H53=0,1,0)))</f>
        <v>1</v>
      </c>
      <c r="DL99" s="173">
        <f>IF(CdTrp3!I53=1,3,IF(CdTrp3!I53=0.5,2,IF(CdTrp3!I53=0,1,0)))</f>
        <v>1</v>
      </c>
      <c r="DM99" s="173">
        <f>IF(CdTrp3!J53=1,3,IF(CdTrp3!J53=0.5,2,IF(CdTrp3!J53=0,1,0)))</f>
        <v>1</v>
      </c>
      <c r="DN99" s="173">
        <f>IF(CdTrp3!K53=1,3,IF(CdTrp3!K53=0.5,2,IF(CdTrp3!K53=0,1,0)))</f>
        <v>1</v>
      </c>
      <c r="DO99" s="173">
        <f>IF(CdTrp3!L53=1,3,IF(CdTrp3!L53=0.5,2,IF(CdTrp3!L53=0,1,0)))</f>
        <v>1</v>
      </c>
      <c r="DP99" s="173">
        <f>IF(CdTrp3!M53=1,3,IF(CdTrp3!M53=0.5,2,IF(CdTrp3!M53=0,1,0)))</f>
        <v>1</v>
      </c>
      <c r="DQ99" s="173">
        <f>IF(CdTrp3!N53=1,3,IF(CdTrp3!N53=0.5,2,IF(CdTrp3!N53=0,1,0)))</f>
        <v>1</v>
      </c>
      <c r="DR99" s="173">
        <f>IF(CdTrp3!O53=1,3,IF(CdTrp3!O53=0.5,2,IF(CdTrp3!O53=0,1,0)))</f>
        <v>1</v>
      </c>
      <c r="DS99" s="173">
        <f>IF(CdTrp3!P53=1,3,IF(CdTrp3!P53=0.5,2,IF(CdTrp3!P53=0,1,0)))</f>
        <v>1</v>
      </c>
      <c r="DT99" s="173">
        <f>IF(CdTrp3!Q53=1,3,IF(CdTrp3!Q53=0.5,2,IF(CdTrp3!Q53=0,1,0)))</f>
        <v>1</v>
      </c>
      <c r="DU99" s="173">
        <f>IF(CdTrp3!R53=1,3,IF(CdTrp3!R53=0.5,2,IF(CdTrp3!R53=0,1,0)))</f>
        <v>1</v>
      </c>
      <c r="DV99" s="173">
        <f>IF(CdTrp3!S53=1,3,IF(CdTrp3!S53=0.5,2,IF(CdTrp3!S53=0,1,0)))</f>
        <v>1</v>
      </c>
      <c r="DW99" s="173">
        <f>IF(CdTrp3!T53=1,3,IF(CdTrp3!T53=0.5,2,IF(CdTrp3!T53=0,1,0)))</f>
        <v>1</v>
      </c>
      <c r="DX99" s="173">
        <f>IF(CdTrp3!U53=1,3,IF(CdTrp3!U53=0.5,2,IF(CdTrp3!U53=0,1,0)))</f>
        <v>1</v>
      </c>
      <c r="DY99" s="173">
        <f>IF(CdTrp3!V53=1,3,IF(CdTrp3!V53=0.5,2,IF(CdTrp3!V53=0,1,0)))</f>
        <v>1</v>
      </c>
      <c r="DZ99" s="173">
        <f>IF(CdTrp3!W53=1,3,IF(CdTrp3!W53=0.5,2,IF(CdTrp3!W53=0,1,0)))</f>
        <v>1</v>
      </c>
      <c r="EA99" s="173">
        <f>IF(CdTrp3!X53=1,3,IF(CdTrp3!X53=0.5,2,IF(CdTrp3!X53=0,1,0)))</f>
        <v>1</v>
      </c>
      <c r="EB99" s="173">
        <f>IF(CdTrp3!Y53=1,3,IF(CdTrp3!Y53=0.5,2,IF(CdTrp3!Y53=0,1,0)))</f>
        <v>1</v>
      </c>
    </row>
    <row r="100" spans="1:132" x14ac:dyDescent="0.25">
      <c r="A100" t="s">
        <v>1183</v>
      </c>
      <c r="B100" s="14" t="s">
        <v>1184</v>
      </c>
      <c r="C100" s="173">
        <f>MAX(H131:AE131)</f>
        <v>0</v>
      </c>
      <c r="D100" s="173">
        <f t="shared" si="25"/>
        <v>0</v>
      </c>
      <c r="F100" s="14"/>
      <c r="G100" s="186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71" t="str">
        <f>CdTrp1!$A54</f>
        <v>agnelles</v>
      </c>
      <c r="AU100" s="32"/>
      <c r="AV100" s="173">
        <f>IF(CdTrp1!B54=1,3,IF(CdTrp1!B54=0.5,2,IF(CdTrp1!B54=0,1,0)))</f>
        <v>3</v>
      </c>
      <c r="AW100" s="173">
        <f>IF(CdTrp1!C54=1,3,IF(CdTrp1!C54=0.5,2,IF(CdTrp1!C54=0,1,0)))</f>
        <v>3</v>
      </c>
      <c r="AX100" s="173">
        <f>IF(CdTrp1!D54=1,3,IF(CdTrp1!D54=0.5,2,IF(CdTrp1!D54=0,1,0)))</f>
        <v>3</v>
      </c>
      <c r="AY100" s="173">
        <f>IF(CdTrp1!E54=1,3,IF(CdTrp1!E54=0.5,2,IF(CdTrp1!E54=0,1,0)))</f>
        <v>3</v>
      </c>
      <c r="AZ100" s="173">
        <f>IF(CdTrp1!F54=1,3,IF(CdTrp1!F54=0.5,2,IF(CdTrp1!F54=0,1,0)))</f>
        <v>3</v>
      </c>
      <c r="BA100" s="173">
        <f>IF(CdTrp1!G54=1,3,IF(CdTrp1!G54=0.5,2,IF(CdTrp1!G54=0,1,0)))</f>
        <v>2</v>
      </c>
      <c r="BB100" s="173">
        <f>IF(CdTrp1!H54=1,3,IF(CdTrp1!H54=0.5,2,IF(CdTrp1!H54=0,1,0)))</f>
        <v>2</v>
      </c>
      <c r="BC100" s="173">
        <f>IF(CdTrp1!I54=1,3,IF(CdTrp1!I54=0.5,2,IF(CdTrp1!I54=0,1,0)))</f>
        <v>2</v>
      </c>
      <c r="BD100" s="173">
        <f>IF(CdTrp1!J54=1,3,IF(CdTrp1!J54=0.5,2,IF(CdTrp1!J54=0,1,0)))</f>
        <v>2</v>
      </c>
      <c r="BE100" s="173">
        <f>IF(CdTrp1!K54=1,3,IF(CdTrp1!K54=0.5,2,IF(CdTrp1!K54=0,1,0)))</f>
        <v>2</v>
      </c>
      <c r="BF100" s="173">
        <f>IF(CdTrp1!L54=1,3,IF(CdTrp1!L54=0.5,2,IF(CdTrp1!L54=0,1,0)))</f>
        <v>2</v>
      </c>
      <c r="BG100" s="173">
        <f>IF(CdTrp1!M54=1,3,IF(CdTrp1!M54=0.5,2,IF(CdTrp1!M54=0,1,0)))</f>
        <v>2</v>
      </c>
      <c r="BH100" s="173">
        <f>IF(CdTrp1!N54=1,3,IF(CdTrp1!N54=0.5,2,IF(CdTrp1!N54=0,1,0)))</f>
        <v>2</v>
      </c>
      <c r="BI100" s="173">
        <f>IF(CdTrp1!O54=1,3,IF(CdTrp1!O54=0.5,2,IF(CdTrp1!O54=0,1,0)))</f>
        <v>2</v>
      </c>
      <c r="BJ100" s="173">
        <f>IF(CdTrp1!P54=1,3,IF(CdTrp1!P54=0.5,2,IF(CdTrp1!P54=0,1,0)))</f>
        <v>2</v>
      </c>
      <c r="BK100" s="173">
        <f>IF(CdTrp1!Q54=1,3,IF(CdTrp1!Q54=0.5,2,IF(CdTrp1!Q54=0,1,0)))</f>
        <v>2</v>
      </c>
      <c r="BL100" s="173">
        <f>IF(CdTrp1!R54=1,3,IF(CdTrp1!R54=0.5,2,IF(CdTrp1!R54=0,1,0)))</f>
        <v>2</v>
      </c>
      <c r="BM100" s="173">
        <f>IF(CdTrp1!S54=1,3,IF(CdTrp1!S54=0.5,2,IF(CdTrp1!S54=0,1,0)))</f>
        <v>2</v>
      </c>
      <c r="BN100" s="173">
        <f>IF(CdTrp1!T54=1,3,IF(CdTrp1!T54=0.5,2,IF(CdTrp1!T54=0,1,0)))</f>
        <v>2</v>
      </c>
      <c r="BO100" s="173">
        <f>IF(CdTrp1!U54=1,3,IF(CdTrp1!U54=0.5,2,IF(CdTrp1!U54=0,1,0)))</f>
        <v>0</v>
      </c>
      <c r="BP100" s="173">
        <f>IF(CdTrp1!V54=1,3,IF(CdTrp1!V54=0.5,2,IF(CdTrp1!V54=0,1,0)))</f>
        <v>0</v>
      </c>
      <c r="BQ100" s="173">
        <f>IF(CdTrp1!W54=1,3,IF(CdTrp1!W54=0.5,2,IF(CdTrp1!W54=0,1,0)))</f>
        <v>3</v>
      </c>
      <c r="BR100" s="173">
        <f>IF(CdTrp1!X54=1,3,IF(CdTrp1!X54=0.5,2,IF(CdTrp1!X54=0,1,0)))</f>
        <v>3</v>
      </c>
      <c r="BS100" s="173">
        <f>IF(CdTrp1!Y54=1,3,IF(CdTrp1!Y54=0.5,2,IF(CdTrp1!Y54=0,1,0)))</f>
        <v>3</v>
      </c>
      <c r="BU100">
        <v>1</v>
      </c>
      <c r="BV100" t="s">
        <v>776</v>
      </c>
      <c r="BZ100" s="189" t="str">
        <f t="shared" si="23"/>
        <v>genisses +1an</v>
      </c>
      <c r="CA100" s="32"/>
      <c r="CB100" s="173">
        <f>IF(CdTrp2!B54=1,3,IF(CdTrp2!B54=0.5,2,IF(CdTrp2!B54=0,1,0)))</f>
        <v>3</v>
      </c>
      <c r="CC100" s="173">
        <f>IF(CdTrp2!C54=1,3,IF(CdTrp2!C54=0.5,2,IF(CdTrp2!C54=0,1,0)))</f>
        <v>3</v>
      </c>
      <c r="CD100" s="173">
        <f>IF(CdTrp2!D54=1,3,IF(CdTrp2!D54=0.5,2,IF(CdTrp2!D54=0,1,0)))</f>
        <v>1</v>
      </c>
      <c r="CE100" s="173">
        <f>IF(CdTrp2!E54=1,3,IF(CdTrp2!E54=0.5,2,IF(CdTrp2!E54=0,1,0)))</f>
        <v>1</v>
      </c>
      <c r="CF100" s="173">
        <f>IF(CdTrp2!F54=1,3,IF(CdTrp2!F54=0.5,2,IF(CdTrp2!F54=0,1,0)))</f>
        <v>1</v>
      </c>
      <c r="CG100" s="173">
        <f>IF(CdTrp2!G54=1,3,IF(CdTrp2!G54=0.5,2,IF(CdTrp2!G54=0,1,0)))</f>
        <v>1</v>
      </c>
      <c r="CH100" s="173">
        <f>IF(CdTrp2!H54=1,3,IF(CdTrp2!H54=0.5,2,IF(CdTrp2!H54=0,1,0)))</f>
        <v>1</v>
      </c>
      <c r="CI100" s="173">
        <f>IF(CdTrp2!I54=1,3,IF(CdTrp2!I54=0.5,2,IF(CdTrp2!I54=0,1,0)))</f>
        <v>1</v>
      </c>
      <c r="CJ100" s="173">
        <f>IF(CdTrp2!J54=1,3,IF(CdTrp2!J54=0.5,2,IF(CdTrp2!J54=0,1,0)))</f>
        <v>1</v>
      </c>
      <c r="CK100" s="173">
        <f>IF(CdTrp2!K54=1,3,IF(CdTrp2!K54=0.5,2,IF(CdTrp2!K54=0,1,0)))</f>
        <v>1</v>
      </c>
      <c r="CL100" s="173">
        <f>IF(CdTrp2!L54=1,3,IF(CdTrp2!L54=0.5,2,IF(CdTrp2!L54=0,1,0)))</f>
        <v>1</v>
      </c>
      <c r="CM100" s="173">
        <f>IF(CdTrp2!M54=1,3,IF(CdTrp2!M54=0.5,2,IF(CdTrp2!M54=0,1,0)))</f>
        <v>1</v>
      </c>
      <c r="CN100" s="173">
        <f>IF(CdTrp2!N54=1,3,IF(CdTrp2!N54=0.5,2,IF(CdTrp2!N54=0,1,0)))</f>
        <v>1</v>
      </c>
      <c r="CO100" s="173">
        <f>IF(CdTrp2!O54=1,3,IF(CdTrp2!O54=0.5,2,IF(CdTrp2!O54=0,1,0)))</f>
        <v>1</v>
      </c>
      <c r="CP100" s="173">
        <f>IF(CdTrp2!P54=1,3,IF(CdTrp2!P54=0.5,2,IF(CdTrp2!P54=0,1,0)))</f>
        <v>1</v>
      </c>
      <c r="CQ100" s="173">
        <f>IF(CdTrp2!Q54=1,3,IF(CdTrp2!Q54=0.5,2,IF(CdTrp2!Q54=0,1,0)))</f>
        <v>1</v>
      </c>
      <c r="CR100" s="173">
        <f>IF(CdTrp2!R54=1,3,IF(CdTrp2!R54=0.5,2,IF(CdTrp2!R54=0,1,0)))</f>
        <v>1</v>
      </c>
      <c r="CS100" s="173">
        <f>IF(CdTrp2!S54=1,3,IF(CdTrp2!S54=0.5,2,IF(CdTrp2!S54=0,1,0)))</f>
        <v>1</v>
      </c>
      <c r="CT100" s="173">
        <f>IF(CdTrp2!T54=1,3,IF(CdTrp2!T54=0.5,2,IF(CdTrp2!T54=0,1,0)))</f>
        <v>1</v>
      </c>
      <c r="CU100" s="173">
        <f>IF(CdTrp2!U54=1,3,IF(CdTrp2!U54=0.5,2,IF(CdTrp2!U54=0,1,0)))</f>
        <v>1</v>
      </c>
      <c r="CV100" s="173">
        <f>IF(CdTrp2!V54=1,3,IF(CdTrp2!V54=0.5,2,IF(CdTrp2!V54=0,1,0)))</f>
        <v>1</v>
      </c>
      <c r="CW100" s="173">
        <f>IF(CdTrp2!W54=1,3,IF(CdTrp2!W54=0.5,2,IF(CdTrp2!W54=0,1,0)))</f>
        <v>1</v>
      </c>
      <c r="CX100" s="173">
        <f>IF(CdTrp2!X54=1,3,IF(CdTrp2!X54=0.5,2,IF(CdTrp2!X54=0,1,0)))</f>
        <v>3</v>
      </c>
      <c r="CY100" s="173">
        <f>IF(CdTrp2!Y54=1,3,IF(CdTrp2!Y54=0.5,2,IF(CdTrp2!Y54=0,1,0)))</f>
        <v>3</v>
      </c>
      <c r="DC100" s="189" t="str">
        <f t="shared" si="24"/>
        <v>lot3</v>
      </c>
      <c r="DD100" s="32"/>
      <c r="DE100" s="173">
        <f>IF(CdTrp3!B54=1,3,IF(CdTrp3!B54=0.5,2,IF(CdTrp3!B54=0,1,0)))</f>
        <v>1</v>
      </c>
      <c r="DF100" s="173">
        <f>IF(CdTrp3!C54=1,3,IF(CdTrp3!C54=0.5,2,IF(CdTrp3!C54=0,1,0)))</f>
        <v>1</v>
      </c>
      <c r="DG100" s="173">
        <f>IF(CdTrp3!D54=1,3,IF(CdTrp3!D54=0.5,2,IF(CdTrp3!D54=0,1,0)))</f>
        <v>1</v>
      </c>
      <c r="DH100" s="173">
        <f>IF(CdTrp3!E54=1,3,IF(CdTrp3!E54=0.5,2,IF(CdTrp3!E54=0,1,0)))</f>
        <v>1</v>
      </c>
      <c r="DI100" s="173">
        <f>IF(CdTrp3!F54=1,3,IF(CdTrp3!F54=0.5,2,IF(CdTrp3!F54=0,1,0)))</f>
        <v>1</v>
      </c>
      <c r="DJ100" s="173">
        <f>IF(CdTrp3!G54=1,3,IF(CdTrp3!G54=0.5,2,IF(CdTrp3!G54=0,1,0)))</f>
        <v>1</v>
      </c>
      <c r="DK100" s="173">
        <f>IF(CdTrp3!H54=1,3,IF(CdTrp3!H54=0.5,2,IF(CdTrp3!H54=0,1,0)))</f>
        <v>1</v>
      </c>
      <c r="DL100" s="173">
        <f>IF(CdTrp3!I54=1,3,IF(CdTrp3!I54=0.5,2,IF(CdTrp3!I54=0,1,0)))</f>
        <v>1</v>
      </c>
      <c r="DM100" s="173">
        <f>IF(CdTrp3!J54=1,3,IF(CdTrp3!J54=0.5,2,IF(CdTrp3!J54=0,1,0)))</f>
        <v>1</v>
      </c>
      <c r="DN100" s="173">
        <f>IF(CdTrp3!K54=1,3,IF(CdTrp3!K54=0.5,2,IF(CdTrp3!K54=0,1,0)))</f>
        <v>1</v>
      </c>
      <c r="DO100" s="173">
        <f>IF(CdTrp3!L54=1,3,IF(CdTrp3!L54=0.5,2,IF(CdTrp3!L54=0,1,0)))</f>
        <v>1</v>
      </c>
      <c r="DP100" s="173">
        <f>IF(CdTrp3!M54=1,3,IF(CdTrp3!M54=0.5,2,IF(CdTrp3!M54=0,1,0)))</f>
        <v>1</v>
      </c>
      <c r="DQ100" s="173">
        <f>IF(CdTrp3!N54=1,3,IF(CdTrp3!N54=0.5,2,IF(CdTrp3!N54=0,1,0)))</f>
        <v>1</v>
      </c>
      <c r="DR100" s="173">
        <f>IF(CdTrp3!O54=1,3,IF(CdTrp3!O54=0.5,2,IF(CdTrp3!O54=0,1,0)))</f>
        <v>1</v>
      </c>
      <c r="DS100" s="173">
        <f>IF(CdTrp3!P54=1,3,IF(CdTrp3!P54=0.5,2,IF(CdTrp3!P54=0,1,0)))</f>
        <v>1</v>
      </c>
      <c r="DT100" s="173">
        <f>IF(CdTrp3!Q54=1,3,IF(CdTrp3!Q54=0.5,2,IF(CdTrp3!Q54=0,1,0)))</f>
        <v>1</v>
      </c>
      <c r="DU100" s="173">
        <f>IF(CdTrp3!R54=1,3,IF(CdTrp3!R54=0.5,2,IF(CdTrp3!R54=0,1,0)))</f>
        <v>1</v>
      </c>
      <c r="DV100" s="173">
        <f>IF(CdTrp3!S54=1,3,IF(CdTrp3!S54=0.5,2,IF(CdTrp3!S54=0,1,0)))</f>
        <v>1</v>
      </c>
      <c r="DW100" s="173">
        <f>IF(CdTrp3!T54=1,3,IF(CdTrp3!T54=0.5,2,IF(CdTrp3!T54=0,1,0)))</f>
        <v>1</v>
      </c>
      <c r="DX100" s="173">
        <f>IF(CdTrp3!U54=1,3,IF(CdTrp3!U54=0.5,2,IF(CdTrp3!U54=0,1,0)))</f>
        <v>1</v>
      </c>
      <c r="DY100" s="173">
        <f>IF(CdTrp3!V54=1,3,IF(CdTrp3!V54=0.5,2,IF(CdTrp3!V54=0,1,0)))</f>
        <v>1</v>
      </c>
      <c r="DZ100" s="173">
        <f>IF(CdTrp3!W54=1,3,IF(CdTrp3!W54=0.5,2,IF(CdTrp3!W54=0,1,0)))</f>
        <v>1</v>
      </c>
      <c r="EA100" s="173">
        <f>IF(CdTrp3!X54=1,3,IF(CdTrp3!X54=0.5,2,IF(CdTrp3!X54=0,1,0)))</f>
        <v>1</v>
      </c>
      <c r="EB100" s="173">
        <f>IF(CdTrp3!Y54=1,3,IF(CdTrp3!Y54=0.5,2,IF(CdTrp3!Y54=0,1,0)))</f>
        <v>1</v>
      </c>
    </row>
    <row r="101" spans="1:132" x14ac:dyDescent="0.25">
      <c r="B101" s="14" t="s">
        <v>1185</v>
      </c>
      <c r="C101" s="173">
        <f>MAX(H132:AE132)</f>
        <v>7</v>
      </c>
      <c r="D101" s="173">
        <f t="shared" si="25"/>
        <v>7</v>
      </c>
      <c r="F101" s="14"/>
      <c r="G101" s="186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9" t="str">
        <f>CdTrp1!$A55</f>
        <v>beliers</v>
      </c>
      <c r="AU101" s="32"/>
      <c r="AV101" s="173">
        <f>IF(CdTrp1!B55=1,3,IF(CdTrp1!B55=0.5,2,IF(CdTrp1!B55=0,1,0)))</f>
        <v>2</v>
      </c>
      <c r="AW101" s="173">
        <f>IF(CdTrp1!C55=1,3,IF(CdTrp1!C55=0.5,2,IF(CdTrp1!C55=0,1,0)))</f>
        <v>2</v>
      </c>
      <c r="AX101" s="173">
        <f>IF(CdTrp1!D55=1,3,IF(CdTrp1!D55=0.5,2,IF(CdTrp1!D55=0,1,0)))</f>
        <v>2</v>
      </c>
      <c r="AY101" s="173">
        <f>IF(CdTrp1!E55=1,3,IF(CdTrp1!E55=0.5,2,IF(CdTrp1!E55=0,1,0)))</f>
        <v>2</v>
      </c>
      <c r="AZ101" s="173">
        <f>IF(CdTrp1!F55=1,3,IF(CdTrp1!F55=0.5,2,IF(CdTrp1!F55=0,1,0)))</f>
        <v>2</v>
      </c>
      <c r="BA101" s="173">
        <f>IF(CdTrp1!G55=1,3,IF(CdTrp1!G55=0.5,2,IF(CdTrp1!G55=0,1,0)))</f>
        <v>2</v>
      </c>
      <c r="BB101" s="173">
        <f>IF(CdTrp1!H55=1,3,IF(CdTrp1!H55=0.5,2,IF(CdTrp1!H55=0,1,0)))</f>
        <v>2</v>
      </c>
      <c r="BC101" s="173">
        <f>IF(CdTrp1!I55=1,3,IF(CdTrp1!I55=0.5,2,IF(CdTrp1!I55=0,1,0)))</f>
        <v>2</v>
      </c>
      <c r="BD101" s="173">
        <f>IF(CdTrp1!J55=1,3,IF(CdTrp1!J55=0.5,2,IF(CdTrp1!J55=0,1,0)))</f>
        <v>2</v>
      </c>
      <c r="BE101" s="173">
        <f>IF(CdTrp1!K55=1,3,IF(CdTrp1!K55=0.5,2,IF(CdTrp1!K55=0,1,0)))</f>
        <v>0</v>
      </c>
      <c r="BF101" s="173">
        <f>IF(CdTrp1!L55=1,3,IF(CdTrp1!L55=0.5,2,IF(CdTrp1!L55=0,1,0)))</f>
        <v>0</v>
      </c>
      <c r="BG101" s="173">
        <f>IF(CdTrp1!M55=1,3,IF(CdTrp1!M55=0.5,2,IF(CdTrp1!M55=0,1,0)))</f>
        <v>0</v>
      </c>
      <c r="BH101" s="173">
        <f>IF(CdTrp1!N55=1,3,IF(CdTrp1!N55=0.5,2,IF(CdTrp1!N55=0,1,0)))</f>
        <v>0</v>
      </c>
      <c r="BI101" s="173">
        <f>IF(CdTrp1!O55=1,3,IF(CdTrp1!O55=0.5,2,IF(CdTrp1!O55=0,1,0)))</f>
        <v>0</v>
      </c>
      <c r="BJ101" s="173">
        <f>IF(CdTrp1!P55=1,3,IF(CdTrp1!P55=0.5,2,IF(CdTrp1!P55=0,1,0)))</f>
        <v>0</v>
      </c>
      <c r="BK101" s="173">
        <f>IF(CdTrp1!Q55=1,3,IF(CdTrp1!Q55=0.5,2,IF(CdTrp1!Q55=0,1,0)))</f>
        <v>0</v>
      </c>
      <c r="BL101" s="173">
        <f>IF(CdTrp1!R55=1,3,IF(CdTrp1!R55=0.5,2,IF(CdTrp1!R55=0,1,0)))</f>
        <v>0</v>
      </c>
      <c r="BM101" s="173">
        <f>IF(CdTrp1!S55=1,3,IF(CdTrp1!S55=0.5,2,IF(CdTrp1!S55=0,1,0)))</f>
        <v>0</v>
      </c>
      <c r="BN101" s="173">
        <f>IF(CdTrp1!T55=1,3,IF(CdTrp1!T55=0.5,2,IF(CdTrp1!T55=0,1,0)))</f>
        <v>0</v>
      </c>
      <c r="BO101" s="173">
        <f>IF(CdTrp1!U55=1,3,IF(CdTrp1!U55=0.5,2,IF(CdTrp1!U55=0,1,0)))</f>
        <v>2</v>
      </c>
      <c r="BP101" s="173">
        <f>IF(CdTrp1!V55=1,3,IF(CdTrp1!V55=0.5,2,IF(CdTrp1!V55=0,1,0)))</f>
        <v>2</v>
      </c>
      <c r="BQ101" s="173">
        <f>IF(CdTrp1!W55=1,3,IF(CdTrp1!W55=0.5,2,IF(CdTrp1!W55=0,1,0)))</f>
        <v>2</v>
      </c>
      <c r="BR101" s="173">
        <f>IF(CdTrp1!X55=1,3,IF(CdTrp1!X55=0.5,2,IF(CdTrp1!X55=0,1,0)))</f>
        <v>2</v>
      </c>
      <c r="BS101" s="173">
        <f>IF(CdTrp1!Y55=1,3,IF(CdTrp1!Y55=0.5,2,IF(CdTrp1!Y55=0,1,0)))</f>
        <v>2</v>
      </c>
      <c r="BZ101" s="189" t="str">
        <f t="shared" si="23"/>
        <v>lot4</v>
      </c>
      <c r="CA101" s="32"/>
      <c r="CB101" s="173">
        <f>IF(CdTrp2!B55=1,3,IF(CdTrp2!B55=0.5,2,IF(CdTrp2!B55=0,1,0)))</f>
        <v>1</v>
      </c>
      <c r="CC101" s="173">
        <f>IF(CdTrp2!C55=1,3,IF(CdTrp2!C55=0.5,2,IF(CdTrp2!C55=0,1,0)))</f>
        <v>1</v>
      </c>
      <c r="CD101" s="173">
        <f>IF(CdTrp2!D55=1,3,IF(CdTrp2!D55=0.5,2,IF(CdTrp2!D55=0,1,0)))</f>
        <v>1</v>
      </c>
      <c r="CE101" s="173">
        <f>IF(CdTrp2!E55=1,3,IF(CdTrp2!E55=0.5,2,IF(CdTrp2!E55=0,1,0)))</f>
        <v>1</v>
      </c>
      <c r="CF101" s="173">
        <f>IF(CdTrp2!F55=1,3,IF(CdTrp2!F55=0.5,2,IF(CdTrp2!F55=0,1,0)))</f>
        <v>1</v>
      </c>
      <c r="CG101" s="173">
        <f>IF(CdTrp2!G55=1,3,IF(CdTrp2!G55=0.5,2,IF(CdTrp2!G55=0,1,0)))</f>
        <v>1</v>
      </c>
      <c r="CH101" s="173">
        <f>IF(CdTrp2!H55=1,3,IF(CdTrp2!H55=0.5,2,IF(CdTrp2!H55=0,1,0)))</f>
        <v>1</v>
      </c>
      <c r="CI101" s="173">
        <f>IF(CdTrp2!I55=1,3,IF(CdTrp2!I55=0.5,2,IF(CdTrp2!I55=0,1,0)))</f>
        <v>1</v>
      </c>
      <c r="CJ101" s="173">
        <f>IF(CdTrp2!J55=1,3,IF(CdTrp2!J55=0.5,2,IF(CdTrp2!J55=0,1,0)))</f>
        <v>1</v>
      </c>
      <c r="CK101" s="173">
        <f>IF(CdTrp2!K55=1,3,IF(CdTrp2!K55=0.5,2,IF(CdTrp2!K55=0,1,0)))</f>
        <v>1</v>
      </c>
      <c r="CL101" s="173">
        <f>IF(CdTrp2!L55=1,3,IF(CdTrp2!L55=0.5,2,IF(CdTrp2!L55=0,1,0)))</f>
        <v>1</v>
      </c>
      <c r="CM101" s="173">
        <f>IF(CdTrp2!M55=1,3,IF(CdTrp2!M55=0.5,2,IF(CdTrp2!M55=0,1,0)))</f>
        <v>1</v>
      </c>
      <c r="CN101" s="173">
        <f>IF(CdTrp2!N55=1,3,IF(CdTrp2!N55=0.5,2,IF(CdTrp2!N55=0,1,0)))</f>
        <v>1</v>
      </c>
      <c r="CO101" s="173">
        <f>IF(CdTrp2!O55=1,3,IF(CdTrp2!O55=0.5,2,IF(CdTrp2!O55=0,1,0)))</f>
        <v>1</v>
      </c>
      <c r="CP101" s="173">
        <f>IF(CdTrp2!P55=1,3,IF(CdTrp2!P55=0.5,2,IF(CdTrp2!P55=0,1,0)))</f>
        <v>1</v>
      </c>
      <c r="CQ101" s="173">
        <f>IF(CdTrp2!Q55=1,3,IF(CdTrp2!Q55=0.5,2,IF(CdTrp2!Q55=0,1,0)))</f>
        <v>1</v>
      </c>
      <c r="CR101" s="173">
        <f>IF(CdTrp2!R55=1,3,IF(CdTrp2!R55=0.5,2,IF(CdTrp2!R55=0,1,0)))</f>
        <v>1</v>
      </c>
      <c r="CS101" s="173">
        <f>IF(CdTrp2!S55=1,3,IF(CdTrp2!S55=0.5,2,IF(CdTrp2!S55=0,1,0)))</f>
        <v>1</v>
      </c>
      <c r="CT101" s="173">
        <f>IF(CdTrp2!T55=1,3,IF(CdTrp2!T55=0.5,2,IF(CdTrp2!T55=0,1,0)))</f>
        <v>1</v>
      </c>
      <c r="CU101" s="173">
        <f>IF(CdTrp2!U55=1,3,IF(CdTrp2!U55=0.5,2,IF(CdTrp2!U55=0,1,0)))</f>
        <v>1</v>
      </c>
      <c r="CV101" s="173">
        <f>IF(CdTrp2!V55=1,3,IF(CdTrp2!V55=0.5,2,IF(CdTrp2!V55=0,1,0)))</f>
        <v>1</v>
      </c>
      <c r="CW101" s="173">
        <f>IF(CdTrp2!W55=1,3,IF(CdTrp2!W55=0.5,2,IF(CdTrp2!W55=0,1,0)))</f>
        <v>1</v>
      </c>
      <c r="CX101" s="173">
        <f>IF(CdTrp2!X55=1,3,IF(CdTrp2!X55=0.5,2,IF(CdTrp2!X55=0,1,0)))</f>
        <v>1</v>
      </c>
      <c r="CY101" s="173">
        <f>IF(CdTrp2!Y55=1,3,IF(CdTrp2!Y55=0.5,2,IF(CdTrp2!Y55=0,1,0)))</f>
        <v>1</v>
      </c>
      <c r="DC101" s="189" t="str">
        <f t="shared" si="24"/>
        <v>lot4</v>
      </c>
      <c r="DD101" s="32"/>
      <c r="DE101" s="173">
        <f>IF(CdTrp3!B55=1,3,IF(CdTrp3!B55=0.5,2,IF(CdTrp3!B55=0,1,0)))</f>
        <v>1</v>
      </c>
      <c r="DF101" s="173">
        <f>IF(CdTrp3!C55=1,3,IF(CdTrp3!C55=0.5,2,IF(CdTrp3!C55=0,1,0)))</f>
        <v>1</v>
      </c>
      <c r="DG101" s="173">
        <f>IF(CdTrp3!D55=1,3,IF(CdTrp3!D55=0.5,2,IF(CdTrp3!D55=0,1,0)))</f>
        <v>1</v>
      </c>
      <c r="DH101" s="173">
        <f>IF(CdTrp3!E55=1,3,IF(CdTrp3!E55=0.5,2,IF(CdTrp3!E55=0,1,0)))</f>
        <v>1</v>
      </c>
      <c r="DI101" s="173">
        <f>IF(CdTrp3!F55=1,3,IF(CdTrp3!F55=0.5,2,IF(CdTrp3!F55=0,1,0)))</f>
        <v>1</v>
      </c>
      <c r="DJ101" s="173">
        <f>IF(CdTrp3!G55=1,3,IF(CdTrp3!G55=0.5,2,IF(CdTrp3!G55=0,1,0)))</f>
        <v>1</v>
      </c>
      <c r="DK101" s="173">
        <f>IF(CdTrp3!H55=1,3,IF(CdTrp3!H55=0.5,2,IF(CdTrp3!H55=0,1,0)))</f>
        <v>1</v>
      </c>
      <c r="DL101" s="173">
        <f>IF(CdTrp3!I55=1,3,IF(CdTrp3!I55=0.5,2,IF(CdTrp3!I55=0,1,0)))</f>
        <v>1</v>
      </c>
      <c r="DM101" s="173">
        <f>IF(CdTrp3!J55=1,3,IF(CdTrp3!J55=0.5,2,IF(CdTrp3!J55=0,1,0)))</f>
        <v>1</v>
      </c>
      <c r="DN101" s="173">
        <f>IF(CdTrp3!K55=1,3,IF(CdTrp3!K55=0.5,2,IF(CdTrp3!K55=0,1,0)))</f>
        <v>1</v>
      </c>
      <c r="DO101" s="173">
        <f>IF(CdTrp3!L55=1,3,IF(CdTrp3!L55=0.5,2,IF(CdTrp3!L55=0,1,0)))</f>
        <v>1</v>
      </c>
      <c r="DP101" s="173">
        <f>IF(CdTrp3!M55=1,3,IF(CdTrp3!M55=0.5,2,IF(CdTrp3!M55=0,1,0)))</f>
        <v>1</v>
      </c>
      <c r="DQ101" s="173">
        <f>IF(CdTrp3!N55=1,3,IF(CdTrp3!N55=0.5,2,IF(CdTrp3!N55=0,1,0)))</f>
        <v>1</v>
      </c>
      <c r="DR101" s="173">
        <f>IF(CdTrp3!O55=1,3,IF(CdTrp3!O55=0.5,2,IF(CdTrp3!O55=0,1,0)))</f>
        <v>1</v>
      </c>
      <c r="DS101" s="173">
        <f>IF(CdTrp3!P55=1,3,IF(CdTrp3!P55=0.5,2,IF(CdTrp3!P55=0,1,0)))</f>
        <v>1</v>
      </c>
      <c r="DT101" s="173">
        <f>IF(CdTrp3!Q55=1,3,IF(CdTrp3!Q55=0.5,2,IF(CdTrp3!Q55=0,1,0)))</f>
        <v>1</v>
      </c>
      <c r="DU101" s="173">
        <f>IF(CdTrp3!R55=1,3,IF(CdTrp3!R55=0.5,2,IF(CdTrp3!R55=0,1,0)))</f>
        <v>1</v>
      </c>
      <c r="DV101" s="173">
        <f>IF(CdTrp3!S55=1,3,IF(CdTrp3!S55=0.5,2,IF(CdTrp3!S55=0,1,0)))</f>
        <v>1</v>
      </c>
      <c r="DW101" s="173">
        <f>IF(CdTrp3!T55=1,3,IF(CdTrp3!T55=0.5,2,IF(CdTrp3!T55=0,1,0)))</f>
        <v>1</v>
      </c>
      <c r="DX101" s="173">
        <f>IF(CdTrp3!U55=1,3,IF(CdTrp3!U55=0.5,2,IF(CdTrp3!U55=0,1,0)))</f>
        <v>1</v>
      </c>
      <c r="DY101" s="173">
        <f>IF(CdTrp3!V55=1,3,IF(CdTrp3!V55=0.5,2,IF(CdTrp3!V55=0,1,0)))</f>
        <v>1</v>
      </c>
      <c r="DZ101" s="173">
        <f>IF(CdTrp3!W55=1,3,IF(CdTrp3!W55=0.5,2,IF(CdTrp3!W55=0,1,0)))</f>
        <v>1</v>
      </c>
      <c r="EA101" s="173">
        <f>IF(CdTrp3!X55=1,3,IF(CdTrp3!X55=0.5,2,IF(CdTrp3!X55=0,1,0)))</f>
        <v>1</v>
      </c>
      <c r="EB101" s="173">
        <f>IF(CdTrp3!Y55=1,3,IF(CdTrp3!Y55=0.5,2,IF(CdTrp3!Y55=0,1,0)))</f>
        <v>1</v>
      </c>
    </row>
    <row r="102" spans="1:132" x14ac:dyDescent="0.25">
      <c r="B102" s="14" t="s">
        <v>1186</v>
      </c>
      <c r="C102" s="173">
        <f>(24-COUNTIF(H129:AE129,0))/2</f>
        <v>12</v>
      </c>
      <c r="D102" s="173">
        <f t="shared" si="25"/>
        <v>12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71" t="str">
        <f>CdTrp1!$A56</f>
        <v>lot5</v>
      </c>
      <c r="AU102" s="32"/>
      <c r="AV102" s="173">
        <f>IF(CdTrp1!B56=1,3,IF(CdTrp1!B56=0.5,2,IF(CdTrp1!B56=0,1,0)))</f>
        <v>1</v>
      </c>
      <c r="AW102" s="173">
        <f>IF(CdTrp1!C56=1,3,IF(CdTrp1!C56=0.5,2,IF(CdTrp1!C56=0,1,0)))</f>
        <v>1</v>
      </c>
      <c r="AX102" s="173">
        <f>IF(CdTrp1!D56=1,3,IF(CdTrp1!D56=0.5,2,IF(CdTrp1!D56=0,1,0)))</f>
        <v>1</v>
      </c>
      <c r="AY102" s="173">
        <f>IF(CdTrp1!E56=1,3,IF(CdTrp1!E56=0.5,2,IF(CdTrp1!E56=0,1,0)))</f>
        <v>1</v>
      </c>
      <c r="AZ102" s="173">
        <f>IF(CdTrp1!F56=1,3,IF(CdTrp1!F56=0.5,2,IF(CdTrp1!F56=0,1,0)))</f>
        <v>1</v>
      </c>
      <c r="BA102" s="173">
        <f>IF(CdTrp1!G56=1,3,IF(CdTrp1!G56=0.5,2,IF(CdTrp1!G56=0,1,0)))</f>
        <v>1</v>
      </c>
      <c r="BB102" s="173">
        <f>IF(CdTrp1!H56=1,3,IF(CdTrp1!H56=0.5,2,IF(CdTrp1!H56=0,1,0)))</f>
        <v>1</v>
      </c>
      <c r="BC102" s="173">
        <f>IF(CdTrp1!I56=1,3,IF(CdTrp1!I56=0.5,2,IF(CdTrp1!I56=0,1,0)))</f>
        <v>1</v>
      </c>
      <c r="BD102" s="173">
        <f>IF(CdTrp1!J56=1,3,IF(CdTrp1!J56=0.5,2,IF(CdTrp1!J56=0,1,0)))</f>
        <v>1</v>
      </c>
      <c r="BE102" s="173">
        <f>IF(CdTrp1!K56=1,3,IF(CdTrp1!K56=0.5,2,IF(CdTrp1!K56=0,1,0)))</f>
        <v>1</v>
      </c>
      <c r="BF102" s="173">
        <f>IF(CdTrp1!L56=1,3,IF(CdTrp1!L56=0.5,2,IF(CdTrp1!L56=0,1,0)))</f>
        <v>1</v>
      </c>
      <c r="BG102" s="173">
        <f>IF(CdTrp1!M56=1,3,IF(CdTrp1!M56=0.5,2,IF(CdTrp1!M56=0,1,0)))</f>
        <v>1</v>
      </c>
      <c r="BH102" s="173">
        <f>IF(CdTrp1!N56=1,3,IF(CdTrp1!N56=0.5,2,IF(CdTrp1!N56=0,1,0)))</f>
        <v>1</v>
      </c>
      <c r="BI102" s="173">
        <f>IF(CdTrp1!O56=1,3,IF(CdTrp1!O56=0.5,2,IF(CdTrp1!O56=0,1,0)))</f>
        <v>1</v>
      </c>
      <c r="BJ102" s="173">
        <f>IF(CdTrp1!P56=1,3,IF(CdTrp1!P56=0.5,2,IF(CdTrp1!P56=0,1,0)))</f>
        <v>1</v>
      </c>
      <c r="BK102" s="173">
        <f>IF(CdTrp1!Q56=1,3,IF(CdTrp1!Q56=0.5,2,IF(CdTrp1!Q56=0,1,0)))</f>
        <v>1</v>
      </c>
      <c r="BL102" s="173">
        <f>IF(CdTrp1!R56=1,3,IF(CdTrp1!R56=0.5,2,IF(CdTrp1!R56=0,1,0)))</f>
        <v>1</v>
      </c>
      <c r="BM102" s="173">
        <f>IF(CdTrp1!S56=1,3,IF(CdTrp1!S56=0.5,2,IF(CdTrp1!S56=0,1,0)))</f>
        <v>1</v>
      </c>
      <c r="BN102" s="173">
        <f>IF(CdTrp1!T56=1,3,IF(CdTrp1!T56=0.5,2,IF(CdTrp1!T56=0,1,0)))</f>
        <v>1</v>
      </c>
      <c r="BO102" s="173">
        <f>IF(CdTrp1!U56=1,3,IF(CdTrp1!U56=0.5,2,IF(CdTrp1!U56=0,1,0)))</f>
        <v>1</v>
      </c>
      <c r="BP102" s="173">
        <f>IF(CdTrp1!V56=1,3,IF(CdTrp1!V56=0.5,2,IF(CdTrp1!V56=0,1,0)))</f>
        <v>1</v>
      </c>
      <c r="BQ102" s="173">
        <f>IF(CdTrp1!W56=1,3,IF(CdTrp1!W56=0.5,2,IF(CdTrp1!W56=0,1,0)))</f>
        <v>1</v>
      </c>
      <c r="BR102" s="173">
        <f>IF(CdTrp1!X56=1,3,IF(CdTrp1!X56=0.5,2,IF(CdTrp1!X56=0,1,0)))</f>
        <v>1</v>
      </c>
      <c r="BS102" s="173">
        <f>IF(CdTrp1!Y56=1,3,IF(CdTrp1!Y56=0.5,2,IF(CdTrp1!Y56=0,1,0)))</f>
        <v>1</v>
      </c>
      <c r="BZ102" s="189" t="str">
        <f t="shared" si="23"/>
        <v>lot5</v>
      </c>
      <c r="CA102" s="32"/>
      <c r="CB102" s="173">
        <f>IF(CdTrp2!B56=1,3,IF(CdTrp2!B56=0.5,2,IF(CdTrp2!B56=0,1,0)))</f>
        <v>1</v>
      </c>
      <c r="CC102" s="173">
        <f>IF(CdTrp2!C56=1,3,IF(CdTrp2!C56=0.5,2,IF(CdTrp2!C56=0,1,0)))</f>
        <v>1</v>
      </c>
      <c r="CD102" s="173">
        <f>IF(CdTrp2!D56=1,3,IF(CdTrp2!D56=0.5,2,IF(CdTrp2!D56=0,1,0)))</f>
        <v>1</v>
      </c>
      <c r="CE102" s="173">
        <f>IF(CdTrp2!E56=1,3,IF(CdTrp2!E56=0.5,2,IF(CdTrp2!E56=0,1,0)))</f>
        <v>1</v>
      </c>
      <c r="CF102" s="173">
        <f>IF(CdTrp2!F56=1,3,IF(CdTrp2!F56=0.5,2,IF(CdTrp2!F56=0,1,0)))</f>
        <v>1</v>
      </c>
      <c r="CG102" s="173">
        <f>IF(CdTrp2!G56=1,3,IF(CdTrp2!G56=0.5,2,IF(CdTrp2!G56=0,1,0)))</f>
        <v>1</v>
      </c>
      <c r="CH102" s="173">
        <f>IF(CdTrp2!H56=1,3,IF(CdTrp2!H56=0.5,2,IF(CdTrp2!H56=0,1,0)))</f>
        <v>1</v>
      </c>
      <c r="CI102" s="173">
        <f>IF(CdTrp2!I56=1,3,IF(CdTrp2!I56=0.5,2,IF(CdTrp2!I56=0,1,0)))</f>
        <v>1</v>
      </c>
      <c r="CJ102" s="173">
        <f>IF(CdTrp2!J56=1,3,IF(CdTrp2!J56=0.5,2,IF(CdTrp2!J56=0,1,0)))</f>
        <v>1</v>
      </c>
      <c r="CK102" s="173">
        <f>IF(CdTrp2!K56=1,3,IF(CdTrp2!K56=0.5,2,IF(CdTrp2!K56=0,1,0)))</f>
        <v>1</v>
      </c>
      <c r="CL102" s="173">
        <f>IF(CdTrp2!L56=1,3,IF(CdTrp2!L56=0.5,2,IF(CdTrp2!L56=0,1,0)))</f>
        <v>1</v>
      </c>
      <c r="CM102" s="173">
        <f>IF(CdTrp2!M56=1,3,IF(CdTrp2!M56=0.5,2,IF(CdTrp2!M56=0,1,0)))</f>
        <v>1</v>
      </c>
      <c r="CN102" s="173">
        <f>IF(CdTrp2!N56=1,3,IF(CdTrp2!N56=0.5,2,IF(CdTrp2!N56=0,1,0)))</f>
        <v>1</v>
      </c>
      <c r="CO102" s="173">
        <f>IF(CdTrp2!O56=1,3,IF(CdTrp2!O56=0.5,2,IF(CdTrp2!O56=0,1,0)))</f>
        <v>1</v>
      </c>
      <c r="CP102" s="173">
        <f>IF(CdTrp2!P56=1,3,IF(CdTrp2!P56=0.5,2,IF(CdTrp2!P56=0,1,0)))</f>
        <v>1</v>
      </c>
      <c r="CQ102" s="173">
        <f>IF(CdTrp2!Q56=1,3,IF(CdTrp2!Q56=0.5,2,IF(CdTrp2!Q56=0,1,0)))</f>
        <v>1</v>
      </c>
      <c r="CR102" s="173">
        <f>IF(CdTrp2!R56=1,3,IF(CdTrp2!R56=0.5,2,IF(CdTrp2!R56=0,1,0)))</f>
        <v>1</v>
      </c>
      <c r="CS102" s="173">
        <f>IF(CdTrp2!S56=1,3,IF(CdTrp2!S56=0.5,2,IF(CdTrp2!S56=0,1,0)))</f>
        <v>1</v>
      </c>
      <c r="CT102" s="173">
        <f>IF(CdTrp2!T56=1,3,IF(CdTrp2!T56=0.5,2,IF(CdTrp2!T56=0,1,0)))</f>
        <v>1</v>
      </c>
      <c r="CU102" s="173">
        <f>IF(CdTrp2!U56=1,3,IF(CdTrp2!U56=0.5,2,IF(CdTrp2!U56=0,1,0)))</f>
        <v>1</v>
      </c>
      <c r="CV102" s="173">
        <f>IF(CdTrp2!V56=1,3,IF(CdTrp2!V56=0.5,2,IF(CdTrp2!V56=0,1,0)))</f>
        <v>1</v>
      </c>
      <c r="CW102" s="173">
        <f>IF(CdTrp2!W56=1,3,IF(CdTrp2!W56=0.5,2,IF(CdTrp2!W56=0,1,0)))</f>
        <v>1</v>
      </c>
      <c r="CX102" s="173">
        <f>IF(CdTrp2!X56=1,3,IF(CdTrp2!X56=0.5,2,IF(CdTrp2!X56=0,1,0)))</f>
        <v>1</v>
      </c>
      <c r="CY102" s="173">
        <f>IF(CdTrp2!Y56=1,3,IF(CdTrp2!Y56=0.5,2,IF(CdTrp2!Y56=0,1,0)))</f>
        <v>1</v>
      </c>
      <c r="DC102" s="189" t="str">
        <f t="shared" si="24"/>
        <v>lot5</v>
      </c>
      <c r="DD102" s="32"/>
      <c r="DE102" s="173">
        <f>IF(CdTrp3!B56=1,3,IF(CdTrp3!B56=0.5,2,IF(CdTrp3!B56=0,1,0)))</f>
        <v>1</v>
      </c>
      <c r="DF102" s="173">
        <f>IF(CdTrp3!C56=1,3,IF(CdTrp3!C56=0.5,2,IF(CdTrp3!C56=0,1,0)))</f>
        <v>1</v>
      </c>
      <c r="DG102" s="173">
        <f>IF(CdTrp3!D56=1,3,IF(CdTrp3!D56=0.5,2,IF(CdTrp3!D56=0,1,0)))</f>
        <v>1</v>
      </c>
      <c r="DH102" s="173">
        <f>IF(CdTrp3!E56=1,3,IF(CdTrp3!E56=0.5,2,IF(CdTrp3!E56=0,1,0)))</f>
        <v>1</v>
      </c>
      <c r="DI102" s="173">
        <f>IF(CdTrp3!F56=1,3,IF(CdTrp3!F56=0.5,2,IF(CdTrp3!F56=0,1,0)))</f>
        <v>1</v>
      </c>
      <c r="DJ102" s="173">
        <f>IF(CdTrp3!G56=1,3,IF(CdTrp3!G56=0.5,2,IF(CdTrp3!G56=0,1,0)))</f>
        <v>1</v>
      </c>
      <c r="DK102" s="173">
        <f>IF(CdTrp3!H56=1,3,IF(CdTrp3!H56=0.5,2,IF(CdTrp3!H56=0,1,0)))</f>
        <v>1</v>
      </c>
      <c r="DL102" s="173">
        <f>IF(CdTrp3!I56=1,3,IF(CdTrp3!I56=0.5,2,IF(CdTrp3!I56=0,1,0)))</f>
        <v>1</v>
      </c>
      <c r="DM102" s="173">
        <f>IF(CdTrp3!J56=1,3,IF(CdTrp3!J56=0.5,2,IF(CdTrp3!J56=0,1,0)))</f>
        <v>1</v>
      </c>
      <c r="DN102" s="173">
        <f>IF(CdTrp3!K56=1,3,IF(CdTrp3!K56=0.5,2,IF(CdTrp3!K56=0,1,0)))</f>
        <v>1</v>
      </c>
      <c r="DO102" s="173">
        <f>IF(CdTrp3!L56=1,3,IF(CdTrp3!L56=0.5,2,IF(CdTrp3!L56=0,1,0)))</f>
        <v>1</v>
      </c>
      <c r="DP102" s="173">
        <f>IF(CdTrp3!M56=1,3,IF(CdTrp3!M56=0.5,2,IF(CdTrp3!M56=0,1,0)))</f>
        <v>1</v>
      </c>
      <c r="DQ102" s="173">
        <f>IF(CdTrp3!N56=1,3,IF(CdTrp3!N56=0.5,2,IF(CdTrp3!N56=0,1,0)))</f>
        <v>1</v>
      </c>
      <c r="DR102" s="173">
        <f>IF(CdTrp3!O56=1,3,IF(CdTrp3!O56=0.5,2,IF(CdTrp3!O56=0,1,0)))</f>
        <v>1</v>
      </c>
      <c r="DS102" s="173">
        <f>IF(CdTrp3!P56=1,3,IF(CdTrp3!P56=0.5,2,IF(CdTrp3!P56=0,1,0)))</f>
        <v>1</v>
      </c>
      <c r="DT102" s="173">
        <f>IF(CdTrp3!Q56=1,3,IF(CdTrp3!Q56=0.5,2,IF(CdTrp3!Q56=0,1,0)))</f>
        <v>1</v>
      </c>
      <c r="DU102" s="173">
        <f>IF(CdTrp3!R56=1,3,IF(CdTrp3!R56=0.5,2,IF(CdTrp3!R56=0,1,0)))</f>
        <v>1</v>
      </c>
      <c r="DV102" s="173">
        <f>IF(CdTrp3!S56=1,3,IF(CdTrp3!S56=0.5,2,IF(CdTrp3!S56=0,1,0)))</f>
        <v>1</v>
      </c>
      <c r="DW102" s="173">
        <f>IF(CdTrp3!T56=1,3,IF(CdTrp3!T56=0.5,2,IF(CdTrp3!T56=0,1,0)))</f>
        <v>1</v>
      </c>
      <c r="DX102" s="173">
        <f>IF(CdTrp3!U56=1,3,IF(CdTrp3!U56=0.5,2,IF(CdTrp3!U56=0,1,0)))</f>
        <v>1</v>
      </c>
      <c r="DY102" s="173">
        <f>IF(CdTrp3!V56=1,3,IF(CdTrp3!V56=0.5,2,IF(CdTrp3!V56=0,1,0)))</f>
        <v>1</v>
      </c>
      <c r="DZ102" s="173">
        <f>IF(CdTrp3!W56=1,3,IF(CdTrp3!W56=0.5,2,IF(CdTrp3!W56=0,1,0)))</f>
        <v>1</v>
      </c>
      <c r="EA102" s="173">
        <f>IF(CdTrp3!X56=1,3,IF(CdTrp3!X56=0.5,2,IF(CdTrp3!X56=0,1,0)))</f>
        <v>1</v>
      </c>
      <c r="EB102" s="173">
        <f>IF(CdTrp3!Y56=1,3,IF(CdTrp3!Y56=0.5,2,IF(CdTrp3!Y56=0,1,0)))</f>
        <v>1</v>
      </c>
    </row>
    <row r="103" spans="1:132" x14ac:dyDescent="0.25">
      <c r="B103" s="14" t="s">
        <v>1187</v>
      </c>
      <c r="C103" s="173">
        <f>(24-COUNTIF(H130:AE130,0))/2</f>
        <v>10</v>
      </c>
      <c r="D103" s="173">
        <f t="shared" si="25"/>
        <v>10</v>
      </c>
      <c r="F103" s="14"/>
      <c r="G103" s="186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9" t="str">
        <f>CdTrp1!$A57</f>
        <v>lot6</v>
      </c>
      <c r="AU103" s="32"/>
      <c r="AV103" s="173">
        <f>IF(CdTrp1!B57=1,3,IF(CdTrp1!B57=0.5,2,IF(CdTrp1!B57=0,1,0)))</f>
        <v>1</v>
      </c>
      <c r="AW103" s="173">
        <f>IF(CdTrp1!C57=1,3,IF(CdTrp1!C57=0.5,2,IF(CdTrp1!C57=0,1,0)))</f>
        <v>1</v>
      </c>
      <c r="AX103" s="173">
        <f>IF(CdTrp1!D57=1,3,IF(CdTrp1!D57=0.5,2,IF(CdTrp1!D57=0,1,0)))</f>
        <v>1</v>
      </c>
      <c r="AY103" s="173">
        <f>IF(CdTrp1!E57=1,3,IF(CdTrp1!E57=0.5,2,IF(CdTrp1!E57=0,1,0)))</f>
        <v>1</v>
      </c>
      <c r="AZ103" s="173">
        <f>IF(CdTrp1!F57=1,3,IF(CdTrp1!F57=0.5,2,IF(CdTrp1!F57=0,1,0)))</f>
        <v>1</v>
      </c>
      <c r="BA103" s="173">
        <f>IF(CdTrp1!G57=1,3,IF(CdTrp1!G57=0.5,2,IF(CdTrp1!G57=0,1,0)))</f>
        <v>1</v>
      </c>
      <c r="BB103" s="173">
        <f>IF(CdTrp1!H57=1,3,IF(CdTrp1!H57=0.5,2,IF(CdTrp1!H57=0,1,0)))</f>
        <v>1</v>
      </c>
      <c r="BC103" s="173">
        <f>IF(CdTrp1!I57=1,3,IF(CdTrp1!I57=0.5,2,IF(CdTrp1!I57=0,1,0)))</f>
        <v>1</v>
      </c>
      <c r="BD103" s="173">
        <f>IF(CdTrp1!J57=1,3,IF(CdTrp1!J57=0.5,2,IF(CdTrp1!J57=0,1,0)))</f>
        <v>1</v>
      </c>
      <c r="BE103" s="173">
        <f>IF(CdTrp1!K57=1,3,IF(CdTrp1!K57=0.5,2,IF(CdTrp1!K57=0,1,0)))</f>
        <v>1</v>
      </c>
      <c r="BF103" s="173">
        <f>IF(CdTrp1!L57=1,3,IF(CdTrp1!L57=0.5,2,IF(CdTrp1!L57=0,1,0)))</f>
        <v>1</v>
      </c>
      <c r="BG103" s="173">
        <f>IF(CdTrp1!M57=1,3,IF(CdTrp1!M57=0.5,2,IF(CdTrp1!M57=0,1,0)))</f>
        <v>1</v>
      </c>
      <c r="BH103" s="173">
        <f>IF(CdTrp1!N57=1,3,IF(CdTrp1!N57=0.5,2,IF(CdTrp1!N57=0,1,0)))</f>
        <v>1</v>
      </c>
      <c r="BI103" s="173">
        <f>IF(CdTrp1!O57=1,3,IF(CdTrp1!O57=0.5,2,IF(CdTrp1!O57=0,1,0)))</f>
        <v>1</v>
      </c>
      <c r="BJ103" s="173">
        <f>IF(CdTrp1!P57=1,3,IF(CdTrp1!P57=0.5,2,IF(CdTrp1!P57=0,1,0)))</f>
        <v>1</v>
      </c>
      <c r="BK103" s="173">
        <f>IF(CdTrp1!Q57=1,3,IF(CdTrp1!Q57=0.5,2,IF(CdTrp1!Q57=0,1,0)))</f>
        <v>1</v>
      </c>
      <c r="BL103" s="173">
        <f>IF(CdTrp1!R57=1,3,IF(CdTrp1!R57=0.5,2,IF(CdTrp1!R57=0,1,0)))</f>
        <v>1</v>
      </c>
      <c r="BM103" s="173">
        <f>IF(CdTrp1!S57=1,3,IF(CdTrp1!S57=0.5,2,IF(CdTrp1!S57=0,1,0)))</f>
        <v>1</v>
      </c>
      <c r="BN103" s="173">
        <f>IF(CdTrp1!T57=1,3,IF(CdTrp1!T57=0.5,2,IF(CdTrp1!T57=0,1,0)))</f>
        <v>1</v>
      </c>
      <c r="BO103" s="173">
        <f>IF(CdTrp1!U57=1,3,IF(CdTrp1!U57=0.5,2,IF(CdTrp1!U57=0,1,0)))</f>
        <v>1</v>
      </c>
      <c r="BP103" s="173">
        <f>IF(CdTrp1!V57=1,3,IF(CdTrp1!V57=0.5,2,IF(CdTrp1!V57=0,1,0)))</f>
        <v>1</v>
      </c>
      <c r="BQ103" s="173">
        <f>IF(CdTrp1!W57=1,3,IF(CdTrp1!W57=0.5,2,IF(CdTrp1!W57=0,1,0)))</f>
        <v>1</v>
      </c>
      <c r="BR103" s="173">
        <f>IF(CdTrp1!X57=1,3,IF(CdTrp1!X57=0.5,2,IF(CdTrp1!X57=0,1,0)))</f>
        <v>1</v>
      </c>
      <c r="BS103" s="173">
        <f>IF(CdTrp1!Y57=1,3,IF(CdTrp1!Y57=0.5,2,IF(CdTrp1!Y57=0,1,0)))</f>
        <v>1</v>
      </c>
      <c r="BZ103" s="189" t="str">
        <f t="shared" si="23"/>
        <v>lot6</v>
      </c>
      <c r="CA103" s="32"/>
      <c r="CB103" s="173">
        <f>IF(CdTrp2!B57=1,3,IF(CdTrp2!B57=0.5,2,IF(CdTrp2!B57=0,1,0)))</f>
        <v>1</v>
      </c>
      <c r="CC103" s="173">
        <f>IF(CdTrp2!C57=1,3,IF(CdTrp2!C57=0.5,2,IF(CdTrp2!C57=0,1,0)))</f>
        <v>1</v>
      </c>
      <c r="CD103" s="173">
        <f>IF(CdTrp2!D57=1,3,IF(CdTrp2!D57=0.5,2,IF(CdTrp2!D57=0,1,0)))</f>
        <v>1</v>
      </c>
      <c r="CE103" s="173">
        <f>IF(CdTrp2!E57=1,3,IF(CdTrp2!E57=0.5,2,IF(CdTrp2!E57=0,1,0)))</f>
        <v>1</v>
      </c>
      <c r="CF103" s="173">
        <f>IF(CdTrp2!F57=1,3,IF(CdTrp2!F57=0.5,2,IF(CdTrp2!F57=0,1,0)))</f>
        <v>1</v>
      </c>
      <c r="CG103" s="173">
        <f>IF(CdTrp2!G57=1,3,IF(CdTrp2!G57=0.5,2,IF(CdTrp2!G57=0,1,0)))</f>
        <v>1</v>
      </c>
      <c r="CH103" s="173">
        <f>IF(CdTrp2!H57=1,3,IF(CdTrp2!H57=0.5,2,IF(CdTrp2!H57=0,1,0)))</f>
        <v>1</v>
      </c>
      <c r="CI103" s="173">
        <f>IF(CdTrp2!I57=1,3,IF(CdTrp2!I57=0.5,2,IF(CdTrp2!I57=0,1,0)))</f>
        <v>1</v>
      </c>
      <c r="CJ103" s="173">
        <f>IF(CdTrp2!J57=1,3,IF(CdTrp2!J57=0.5,2,IF(CdTrp2!J57=0,1,0)))</f>
        <v>1</v>
      </c>
      <c r="CK103" s="173">
        <f>IF(CdTrp2!K57=1,3,IF(CdTrp2!K57=0.5,2,IF(CdTrp2!K57=0,1,0)))</f>
        <v>1</v>
      </c>
      <c r="CL103" s="173">
        <f>IF(CdTrp2!L57=1,3,IF(CdTrp2!L57=0.5,2,IF(CdTrp2!L57=0,1,0)))</f>
        <v>1</v>
      </c>
      <c r="CM103" s="173">
        <f>IF(CdTrp2!M57=1,3,IF(CdTrp2!M57=0.5,2,IF(CdTrp2!M57=0,1,0)))</f>
        <v>1</v>
      </c>
      <c r="CN103" s="173">
        <f>IF(CdTrp2!N57=1,3,IF(CdTrp2!N57=0.5,2,IF(CdTrp2!N57=0,1,0)))</f>
        <v>1</v>
      </c>
      <c r="CO103" s="173">
        <f>IF(CdTrp2!O57=1,3,IF(CdTrp2!O57=0.5,2,IF(CdTrp2!O57=0,1,0)))</f>
        <v>1</v>
      </c>
      <c r="CP103" s="173">
        <f>IF(CdTrp2!P57=1,3,IF(CdTrp2!P57=0.5,2,IF(CdTrp2!P57=0,1,0)))</f>
        <v>1</v>
      </c>
      <c r="CQ103" s="173">
        <f>IF(CdTrp2!Q57=1,3,IF(CdTrp2!Q57=0.5,2,IF(CdTrp2!Q57=0,1,0)))</f>
        <v>1</v>
      </c>
      <c r="CR103" s="173">
        <f>IF(CdTrp2!R57=1,3,IF(CdTrp2!R57=0.5,2,IF(CdTrp2!R57=0,1,0)))</f>
        <v>1</v>
      </c>
      <c r="CS103" s="173">
        <f>IF(CdTrp2!S57=1,3,IF(CdTrp2!S57=0.5,2,IF(CdTrp2!S57=0,1,0)))</f>
        <v>1</v>
      </c>
      <c r="CT103" s="173">
        <f>IF(CdTrp2!T57=1,3,IF(CdTrp2!T57=0.5,2,IF(CdTrp2!T57=0,1,0)))</f>
        <v>1</v>
      </c>
      <c r="CU103" s="173">
        <f>IF(CdTrp2!U57=1,3,IF(CdTrp2!U57=0.5,2,IF(CdTrp2!U57=0,1,0)))</f>
        <v>1</v>
      </c>
      <c r="CV103" s="173">
        <f>IF(CdTrp2!V57=1,3,IF(CdTrp2!V57=0.5,2,IF(CdTrp2!V57=0,1,0)))</f>
        <v>1</v>
      </c>
      <c r="CW103" s="173">
        <f>IF(CdTrp2!W57=1,3,IF(CdTrp2!W57=0.5,2,IF(CdTrp2!W57=0,1,0)))</f>
        <v>1</v>
      </c>
      <c r="CX103" s="173">
        <f>IF(CdTrp2!X57=1,3,IF(CdTrp2!X57=0.5,2,IF(CdTrp2!X57=0,1,0)))</f>
        <v>1</v>
      </c>
      <c r="CY103" s="173">
        <f>IF(CdTrp2!Y57=1,3,IF(CdTrp2!Y57=0.5,2,IF(CdTrp2!Y57=0,1,0)))</f>
        <v>1</v>
      </c>
      <c r="DC103" s="189" t="str">
        <f t="shared" si="24"/>
        <v>lot6</v>
      </c>
      <c r="DD103" s="32"/>
      <c r="DE103" s="173">
        <f>IF(CdTrp3!B57=1,3,IF(CdTrp3!B57=0.5,2,IF(CdTrp3!B57=0,1,0)))</f>
        <v>1</v>
      </c>
      <c r="DF103" s="173">
        <f>IF(CdTrp3!C57=1,3,IF(CdTrp3!C57=0.5,2,IF(CdTrp3!C57=0,1,0)))</f>
        <v>1</v>
      </c>
      <c r="DG103" s="173">
        <f>IF(CdTrp3!D57=1,3,IF(CdTrp3!D57=0.5,2,IF(CdTrp3!D57=0,1,0)))</f>
        <v>1</v>
      </c>
      <c r="DH103" s="173">
        <f>IF(CdTrp3!E57=1,3,IF(CdTrp3!E57=0.5,2,IF(CdTrp3!E57=0,1,0)))</f>
        <v>1</v>
      </c>
      <c r="DI103" s="173">
        <f>IF(CdTrp3!F57=1,3,IF(CdTrp3!F57=0.5,2,IF(CdTrp3!F57=0,1,0)))</f>
        <v>1</v>
      </c>
      <c r="DJ103" s="173">
        <f>IF(CdTrp3!G57=1,3,IF(CdTrp3!G57=0.5,2,IF(CdTrp3!G57=0,1,0)))</f>
        <v>1</v>
      </c>
      <c r="DK103" s="173">
        <f>IF(CdTrp3!H57=1,3,IF(CdTrp3!H57=0.5,2,IF(CdTrp3!H57=0,1,0)))</f>
        <v>1</v>
      </c>
      <c r="DL103" s="173">
        <f>IF(CdTrp3!I57=1,3,IF(CdTrp3!I57=0.5,2,IF(CdTrp3!I57=0,1,0)))</f>
        <v>1</v>
      </c>
      <c r="DM103" s="173">
        <f>IF(CdTrp3!J57=1,3,IF(CdTrp3!J57=0.5,2,IF(CdTrp3!J57=0,1,0)))</f>
        <v>1</v>
      </c>
      <c r="DN103" s="173">
        <f>IF(CdTrp3!K57=1,3,IF(CdTrp3!K57=0.5,2,IF(CdTrp3!K57=0,1,0)))</f>
        <v>1</v>
      </c>
      <c r="DO103" s="173">
        <f>IF(CdTrp3!L57=1,3,IF(CdTrp3!L57=0.5,2,IF(CdTrp3!L57=0,1,0)))</f>
        <v>1</v>
      </c>
      <c r="DP103" s="173">
        <f>IF(CdTrp3!M57=1,3,IF(CdTrp3!M57=0.5,2,IF(CdTrp3!M57=0,1,0)))</f>
        <v>1</v>
      </c>
      <c r="DQ103" s="173">
        <f>IF(CdTrp3!N57=1,3,IF(CdTrp3!N57=0.5,2,IF(CdTrp3!N57=0,1,0)))</f>
        <v>1</v>
      </c>
      <c r="DR103" s="173">
        <f>IF(CdTrp3!O57=1,3,IF(CdTrp3!O57=0.5,2,IF(CdTrp3!O57=0,1,0)))</f>
        <v>1</v>
      </c>
      <c r="DS103" s="173">
        <f>IF(CdTrp3!P57=1,3,IF(CdTrp3!P57=0.5,2,IF(CdTrp3!P57=0,1,0)))</f>
        <v>1</v>
      </c>
      <c r="DT103" s="173">
        <f>IF(CdTrp3!Q57=1,3,IF(CdTrp3!Q57=0.5,2,IF(CdTrp3!Q57=0,1,0)))</f>
        <v>1</v>
      </c>
      <c r="DU103" s="173">
        <f>IF(CdTrp3!R57=1,3,IF(CdTrp3!R57=0.5,2,IF(CdTrp3!R57=0,1,0)))</f>
        <v>1</v>
      </c>
      <c r="DV103" s="173">
        <f>IF(CdTrp3!S57=1,3,IF(CdTrp3!S57=0.5,2,IF(CdTrp3!S57=0,1,0)))</f>
        <v>1</v>
      </c>
      <c r="DW103" s="173">
        <f>IF(CdTrp3!T57=1,3,IF(CdTrp3!T57=0.5,2,IF(CdTrp3!T57=0,1,0)))</f>
        <v>1</v>
      </c>
      <c r="DX103" s="173">
        <f>IF(CdTrp3!U57=1,3,IF(CdTrp3!U57=0.5,2,IF(CdTrp3!U57=0,1,0)))</f>
        <v>1</v>
      </c>
      <c r="DY103" s="173">
        <f>IF(CdTrp3!V57=1,3,IF(CdTrp3!V57=0.5,2,IF(CdTrp3!V57=0,1,0)))</f>
        <v>1</v>
      </c>
      <c r="DZ103" s="173">
        <f>IF(CdTrp3!W57=1,3,IF(CdTrp3!W57=0.5,2,IF(CdTrp3!W57=0,1,0)))</f>
        <v>1</v>
      </c>
      <c r="EA103" s="173">
        <f>IF(CdTrp3!X57=1,3,IF(CdTrp3!X57=0.5,2,IF(CdTrp3!X57=0,1,0)))</f>
        <v>1</v>
      </c>
      <c r="EB103" s="173">
        <f>IF(CdTrp3!Y57=1,3,IF(CdTrp3!Y57=0.5,2,IF(CdTrp3!Y57=0,1,0)))</f>
        <v>1</v>
      </c>
    </row>
    <row r="104" spans="1:132" x14ac:dyDescent="0.25">
      <c r="B104" s="14" t="s">
        <v>1188</v>
      </c>
      <c r="C104" s="173">
        <f>(24-COUNTIF(H131:AE131,0))/2</f>
        <v>0</v>
      </c>
      <c r="D104" s="173">
        <f t="shared" si="25"/>
        <v>0</v>
      </c>
      <c r="F104" s="14" t="s">
        <v>902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71" t="str">
        <f>CdTrp1!$A58</f>
        <v>lot7</v>
      </c>
      <c r="AU104" s="32"/>
      <c r="AV104" s="173">
        <f>IF(CdTrp1!B58=1,3,IF(CdTrp1!B58=0.5,2,IF(CdTrp1!B58=0,1,0)))</f>
        <v>1</v>
      </c>
      <c r="AW104" s="173">
        <f>IF(CdTrp1!C58=1,3,IF(CdTrp1!C58=0.5,2,IF(CdTrp1!C58=0,1,0)))</f>
        <v>1</v>
      </c>
      <c r="AX104" s="173">
        <f>IF(CdTrp1!D58=1,3,IF(CdTrp1!D58=0.5,2,IF(CdTrp1!D58=0,1,0)))</f>
        <v>1</v>
      </c>
      <c r="AY104" s="173">
        <f>IF(CdTrp1!E58=1,3,IF(CdTrp1!E58=0.5,2,IF(CdTrp1!E58=0,1,0)))</f>
        <v>1</v>
      </c>
      <c r="AZ104" s="173">
        <f>IF(CdTrp1!F58=1,3,IF(CdTrp1!F58=0.5,2,IF(CdTrp1!F58=0,1,0)))</f>
        <v>1</v>
      </c>
      <c r="BA104" s="173">
        <f>IF(CdTrp1!G58=1,3,IF(CdTrp1!G58=0.5,2,IF(CdTrp1!G58=0,1,0)))</f>
        <v>1</v>
      </c>
      <c r="BB104" s="173">
        <f>IF(CdTrp1!H58=1,3,IF(CdTrp1!H58=0.5,2,IF(CdTrp1!H58=0,1,0)))</f>
        <v>1</v>
      </c>
      <c r="BC104" s="173">
        <f>IF(CdTrp1!I58=1,3,IF(CdTrp1!I58=0.5,2,IF(CdTrp1!I58=0,1,0)))</f>
        <v>1</v>
      </c>
      <c r="BD104" s="173">
        <f>IF(CdTrp1!J58=1,3,IF(CdTrp1!J58=0.5,2,IF(CdTrp1!J58=0,1,0)))</f>
        <v>1</v>
      </c>
      <c r="BE104" s="173">
        <f>IF(CdTrp1!K58=1,3,IF(CdTrp1!K58=0.5,2,IF(CdTrp1!K58=0,1,0)))</f>
        <v>1</v>
      </c>
      <c r="BF104" s="173">
        <f>IF(CdTrp1!L58=1,3,IF(CdTrp1!L58=0.5,2,IF(CdTrp1!L58=0,1,0)))</f>
        <v>1</v>
      </c>
      <c r="BG104" s="173">
        <f>IF(CdTrp1!M58=1,3,IF(CdTrp1!M58=0.5,2,IF(CdTrp1!M58=0,1,0)))</f>
        <v>1</v>
      </c>
      <c r="BH104" s="173">
        <f>IF(CdTrp1!N58=1,3,IF(CdTrp1!N58=0.5,2,IF(CdTrp1!N58=0,1,0)))</f>
        <v>1</v>
      </c>
      <c r="BI104" s="173">
        <f>IF(CdTrp1!O58=1,3,IF(CdTrp1!O58=0.5,2,IF(CdTrp1!O58=0,1,0)))</f>
        <v>1</v>
      </c>
      <c r="BJ104" s="173">
        <f>IF(CdTrp1!P58=1,3,IF(CdTrp1!P58=0.5,2,IF(CdTrp1!P58=0,1,0)))</f>
        <v>1</v>
      </c>
      <c r="BK104" s="173">
        <f>IF(CdTrp1!Q58=1,3,IF(CdTrp1!Q58=0.5,2,IF(CdTrp1!Q58=0,1,0)))</f>
        <v>1</v>
      </c>
      <c r="BL104" s="173">
        <f>IF(CdTrp1!R58=1,3,IF(CdTrp1!R58=0.5,2,IF(CdTrp1!R58=0,1,0)))</f>
        <v>1</v>
      </c>
      <c r="BM104" s="173">
        <f>IF(CdTrp1!S58=1,3,IF(CdTrp1!S58=0.5,2,IF(CdTrp1!S58=0,1,0)))</f>
        <v>1</v>
      </c>
      <c r="BN104" s="173">
        <f>IF(CdTrp1!T58=1,3,IF(CdTrp1!T58=0.5,2,IF(CdTrp1!T58=0,1,0)))</f>
        <v>1</v>
      </c>
      <c r="BO104" s="173">
        <f>IF(CdTrp1!U58=1,3,IF(CdTrp1!U58=0.5,2,IF(CdTrp1!U58=0,1,0)))</f>
        <v>1</v>
      </c>
      <c r="BP104" s="173">
        <f>IF(CdTrp1!V58=1,3,IF(CdTrp1!V58=0.5,2,IF(CdTrp1!V58=0,1,0)))</f>
        <v>1</v>
      </c>
      <c r="BQ104" s="173">
        <f>IF(CdTrp1!W58=1,3,IF(CdTrp1!W58=0.5,2,IF(CdTrp1!W58=0,1,0)))</f>
        <v>1</v>
      </c>
      <c r="BR104" s="173">
        <f>IF(CdTrp1!X58=1,3,IF(CdTrp1!X58=0.5,2,IF(CdTrp1!X58=0,1,0)))</f>
        <v>1</v>
      </c>
      <c r="BS104" s="173">
        <f>IF(CdTrp1!Y58=1,3,IF(CdTrp1!Y58=0.5,2,IF(CdTrp1!Y58=0,1,0)))</f>
        <v>1</v>
      </c>
      <c r="BZ104" s="189" t="str">
        <f t="shared" si="23"/>
        <v>lot7</v>
      </c>
      <c r="CA104" s="32"/>
      <c r="CB104" s="173">
        <f>IF(CdTrp2!B58=1,3,IF(CdTrp2!B58=0.5,2,IF(CdTrp2!B58=0,1,0)))</f>
        <v>1</v>
      </c>
      <c r="CC104" s="173">
        <f>IF(CdTrp2!C58=1,3,IF(CdTrp2!C58=0.5,2,IF(CdTrp2!C58=0,1,0)))</f>
        <v>1</v>
      </c>
      <c r="CD104" s="173">
        <f>IF(CdTrp2!D58=1,3,IF(CdTrp2!D58=0.5,2,IF(CdTrp2!D58=0,1,0)))</f>
        <v>1</v>
      </c>
      <c r="CE104" s="173">
        <f>IF(CdTrp2!E58=1,3,IF(CdTrp2!E58=0.5,2,IF(CdTrp2!E58=0,1,0)))</f>
        <v>1</v>
      </c>
      <c r="CF104" s="173">
        <f>IF(CdTrp2!F58=1,3,IF(CdTrp2!F58=0.5,2,IF(CdTrp2!F58=0,1,0)))</f>
        <v>1</v>
      </c>
      <c r="CG104" s="173">
        <f>IF(CdTrp2!G58=1,3,IF(CdTrp2!G58=0.5,2,IF(CdTrp2!G58=0,1,0)))</f>
        <v>1</v>
      </c>
      <c r="CH104" s="173">
        <f>IF(CdTrp2!H58=1,3,IF(CdTrp2!H58=0.5,2,IF(CdTrp2!H58=0,1,0)))</f>
        <v>1</v>
      </c>
      <c r="CI104" s="173">
        <f>IF(CdTrp2!I58=1,3,IF(CdTrp2!I58=0.5,2,IF(CdTrp2!I58=0,1,0)))</f>
        <v>1</v>
      </c>
      <c r="CJ104" s="173">
        <f>IF(CdTrp2!J58=1,3,IF(CdTrp2!J58=0.5,2,IF(CdTrp2!J58=0,1,0)))</f>
        <v>1</v>
      </c>
      <c r="CK104" s="173">
        <f>IF(CdTrp2!K58=1,3,IF(CdTrp2!K58=0.5,2,IF(CdTrp2!K58=0,1,0)))</f>
        <v>1</v>
      </c>
      <c r="CL104" s="173">
        <f>IF(CdTrp2!L58=1,3,IF(CdTrp2!L58=0.5,2,IF(CdTrp2!L58=0,1,0)))</f>
        <v>1</v>
      </c>
      <c r="CM104" s="173">
        <f>IF(CdTrp2!M58=1,3,IF(CdTrp2!M58=0.5,2,IF(CdTrp2!M58=0,1,0)))</f>
        <v>1</v>
      </c>
      <c r="CN104" s="173">
        <f>IF(CdTrp2!N58=1,3,IF(CdTrp2!N58=0.5,2,IF(CdTrp2!N58=0,1,0)))</f>
        <v>1</v>
      </c>
      <c r="CO104" s="173">
        <f>IF(CdTrp2!O58=1,3,IF(CdTrp2!O58=0.5,2,IF(CdTrp2!O58=0,1,0)))</f>
        <v>1</v>
      </c>
      <c r="CP104" s="173">
        <f>IF(CdTrp2!P58=1,3,IF(CdTrp2!P58=0.5,2,IF(CdTrp2!P58=0,1,0)))</f>
        <v>1</v>
      </c>
      <c r="CQ104" s="173">
        <f>IF(CdTrp2!Q58=1,3,IF(CdTrp2!Q58=0.5,2,IF(CdTrp2!Q58=0,1,0)))</f>
        <v>1</v>
      </c>
      <c r="CR104" s="173">
        <f>IF(CdTrp2!R58=1,3,IF(CdTrp2!R58=0.5,2,IF(CdTrp2!R58=0,1,0)))</f>
        <v>1</v>
      </c>
      <c r="CS104" s="173">
        <f>IF(CdTrp2!S58=1,3,IF(CdTrp2!S58=0.5,2,IF(CdTrp2!S58=0,1,0)))</f>
        <v>1</v>
      </c>
      <c r="CT104" s="173">
        <f>IF(CdTrp2!T58=1,3,IF(CdTrp2!T58=0.5,2,IF(CdTrp2!T58=0,1,0)))</f>
        <v>1</v>
      </c>
      <c r="CU104" s="173">
        <f>IF(CdTrp2!U58=1,3,IF(CdTrp2!U58=0.5,2,IF(CdTrp2!U58=0,1,0)))</f>
        <v>1</v>
      </c>
      <c r="CV104" s="173">
        <f>IF(CdTrp2!V58=1,3,IF(CdTrp2!V58=0.5,2,IF(CdTrp2!V58=0,1,0)))</f>
        <v>1</v>
      </c>
      <c r="CW104" s="173">
        <f>IF(CdTrp2!W58=1,3,IF(CdTrp2!W58=0.5,2,IF(CdTrp2!W58=0,1,0)))</f>
        <v>1</v>
      </c>
      <c r="CX104" s="173">
        <f>IF(CdTrp2!X58=1,3,IF(CdTrp2!X58=0.5,2,IF(CdTrp2!X58=0,1,0)))</f>
        <v>1</v>
      </c>
      <c r="CY104" s="173">
        <f>IF(CdTrp2!Y58=1,3,IF(CdTrp2!Y58=0.5,2,IF(CdTrp2!Y58=0,1,0)))</f>
        <v>1</v>
      </c>
      <c r="DC104" s="189" t="str">
        <f t="shared" si="24"/>
        <v>lot7</v>
      </c>
      <c r="DD104" s="32"/>
      <c r="DE104" s="173">
        <f>IF(CdTrp3!B58=1,3,IF(CdTrp3!B58=0.5,2,IF(CdTrp3!B58=0,1,0)))</f>
        <v>1</v>
      </c>
      <c r="DF104" s="173">
        <f>IF(CdTrp3!C58=1,3,IF(CdTrp3!C58=0.5,2,IF(CdTrp3!C58=0,1,0)))</f>
        <v>1</v>
      </c>
      <c r="DG104" s="173">
        <f>IF(CdTrp3!D58=1,3,IF(CdTrp3!D58=0.5,2,IF(CdTrp3!D58=0,1,0)))</f>
        <v>1</v>
      </c>
      <c r="DH104" s="173">
        <f>IF(CdTrp3!E58=1,3,IF(CdTrp3!E58=0.5,2,IF(CdTrp3!E58=0,1,0)))</f>
        <v>1</v>
      </c>
      <c r="DI104" s="173">
        <f>IF(CdTrp3!F58=1,3,IF(CdTrp3!F58=0.5,2,IF(CdTrp3!F58=0,1,0)))</f>
        <v>1</v>
      </c>
      <c r="DJ104" s="173">
        <f>IF(CdTrp3!G58=1,3,IF(CdTrp3!G58=0.5,2,IF(CdTrp3!G58=0,1,0)))</f>
        <v>1</v>
      </c>
      <c r="DK104" s="173">
        <f>IF(CdTrp3!H58=1,3,IF(CdTrp3!H58=0.5,2,IF(CdTrp3!H58=0,1,0)))</f>
        <v>1</v>
      </c>
      <c r="DL104" s="173">
        <f>IF(CdTrp3!I58=1,3,IF(CdTrp3!I58=0.5,2,IF(CdTrp3!I58=0,1,0)))</f>
        <v>1</v>
      </c>
      <c r="DM104" s="173">
        <f>IF(CdTrp3!J58=1,3,IF(CdTrp3!J58=0.5,2,IF(CdTrp3!J58=0,1,0)))</f>
        <v>1</v>
      </c>
      <c r="DN104" s="173">
        <f>IF(CdTrp3!K58=1,3,IF(CdTrp3!K58=0.5,2,IF(CdTrp3!K58=0,1,0)))</f>
        <v>1</v>
      </c>
      <c r="DO104" s="173">
        <f>IF(CdTrp3!L58=1,3,IF(CdTrp3!L58=0.5,2,IF(CdTrp3!L58=0,1,0)))</f>
        <v>1</v>
      </c>
      <c r="DP104" s="173">
        <f>IF(CdTrp3!M58=1,3,IF(CdTrp3!M58=0.5,2,IF(CdTrp3!M58=0,1,0)))</f>
        <v>1</v>
      </c>
      <c r="DQ104" s="173">
        <f>IF(CdTrp3!N58=1,3,IF(CdTrp3!N58=0.5,2,IF(CdTrp3!N58=0,1,0)))</f>
        <v>1</v>
      </c>
      <c r="DR104" s="173">
        <f>IF(CdTrp3!O58=1,3,IF(CdTrp3!O58=0.5,2,IF(CdTrp3!O58=0,1,0)))</f>
        <v>1</v>
      </c>
      <c r="DS104" s="173">
        <f>IF(CdTrp3!P58=1,3,IF(CdTrp3!P58=0.5,2,IF(CdTrp3!P58=0,1,0)))</f>
        <v>1</v>
      </c>
      <c r="DT104" s="173">
        <f>IF(CdTrp3!Q58=1,3,IF(CdTrp3!Q58=0.5,2,IF(CdTrp3!Q58=0,1,0)))</f>
        <v>1</v>
      </c>
      <c r="DU104" s="173">
        <f>IF(CdTrp3!R58=1,3,IF(CdTrp3!R58=0.5,2,IF(CdTrp3!R58=0,1,0)))</f>
        <v>1</v>
      </c>
      <c r="DV104" s="173">
        <f>IF(CdTrp3!S58=1,3,IF(CdTrp3!S58=0.5,2,IF(CdTrp3!S58=0,1,0)))</f>
        <v>1</v>
      </c>
      <c r="DW104" s="173">
        <f>IF(CdTrp3!T58=1,3,IF(CdTrp3!T58=0.5,2,IF(CdTrp3!T58=0,1,0)))</f>
        <v>1</v>
      </c>
      <c r="DX104" s="173">
        <f>IF(CdTrp3!U58=1,3,IF(CdTrp3!U58=0.5,2,IF(CdTrp3!U58=0,1,0)))</f>
        <v>1</v>
      </c>
      <c r="DY104" s="173">
        <f>IF(CdTrp3!V58=1,3,IF(CdTrp3!V58=0.5,2,IF(CdTrp3!V58=0,1,0)))</f>
        <v>1</v>
      </c>
      <c r="DZ104" s="173">
        <f>IF(CdTrp3!W58=1,3,IF(CdTrp3!W58=0.5,2,IF(CdTrp3!W58=0,1,0)))</f>
        <v>1</v>
      </c>
      <c r="EA104" s="173">
        <f>IF(CdTrp3!X58=1,3,IF(CdTrp3!X58=0.5,2,IF(CdTrp3!X58=0,1,0)))</f>
        <v>1</v>
      </c>
      <c r="EB104" s="173">
        <f>IF(CdTrp3!Y58=1,3,IF(CdTrp3!Y58=0.5,2,IF(CdTrp3!Y58=0,1,0)))</f>
        <v>1</v>
      </c>
    </row>
    <row r="105" spans="1:132" x14ac:dyDescent="0.25">
      <c r="B105" s="14" t="s">
        <v>1189</v>
      </c>
      <c r="C105" s="173">
        <f>(24-COUNTIF(H132:AE132,0))/2</f>
        <v>12</v>
      </c>
      <c r="D105" s="173">
        <f t="shared" si="25"/>
        <v>12</v>
      </c>
      <c r="F105" s="14"/>
      <c r="G105" s="30" t="str">
        <f>CdTrp2!A76</f>
        <v xml:space="preserve">vaches 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1</v>
      </c>
      <c r="O105" s="30">
        <f>CdTrp2!I76</f>
        <v>1</v>
      </c>
      <c r="P105" s="30">
        <f>CdTrp2!J76</f>
        <v>2</v>
      </c>
      <c r="Q105" s="30">
        <f>CdTrp2!K76</f>
        <v>2</v>
      </c>
      <c r="R105" s="30">
        <f>CdTrp2!L76</f>
        <v>2</v>
      </c>
      <c r="S105" s="30">
        <f>CdTrp2!M76</f>
        <v>2</v>
      </c>
      <c r="T105" s="30">
        <f>CdTrp2!N76</f>
        <v>2</v>
      </c>
      <c r="U105" s="30">
        <f>CdTrp2!O76</f>
        <v>1</v>
      </c>
      <c r="V105" s="30">
        <f>CdTrp2!P76</f>
        <v>1</v>
      </c>
      <c r="W105" s="30">
        <f>CdTrp2!Q76</f>
        <v>1</v>
      </c>
      <c r="X105" s="30">
        <f>CdTrp2!R76</f>
        <v>2</v>
      </c>
      <c r="Y105" s="30">
        <f>CdTrp2!S76</f>
        <v>2</v>
      </c>
      <c r="Z105" s="30">
        <f>CdTrp2!T76</f>
        <v>3</v>
      </c>
      <c r="AA105" s="30">
        <f>CdTrp2!U76</f>
        <v>3</v>
      </c>
      <c r="AB105" s="30">
        <f>CdTrp2!V76</f>
        <v>2</v>
      </c>
      <c r="AC105" s="30">
        <f>CdTrp2!W76</f>
        <v>2</v>
      </c>
      <c r="AD105" s="30">
        <f>CdTrp2!X76</f>
        <v>0</v>
      </c>
      <c r="AE105" s="30">
        <f>CdTrp2!Y76</f>
        <v>0</v>
      </c>
      <c r="AS105" s="5"/>
      <c r="AT105" s="271" t="str">
        <f>CdTrp1!$A59</f>
        <v>lot8</v>
      </c>
      <c r="AU105" s="32"/>
      <c r="AV105" s="173">
        <f>IF(CdTrp1!B59=1,3,IF(CdTrp1!B59=0.5,2,IF(CdTrp1!B59=0,1,0)))</f>
        <v>1</v>
      </c>
      <c r="AW105" s="173">
        <f>IF(CdTrp1!C59=1,3,IF(CdTrp1!C59=0.5,2,IF(CdTrp1!C59=0,1,0)))</f>
        <v>1</v>
      </c>
      <c r="AX105" s="173">
        <f>IF(CdTrp1!D59=1,3,IF(CdTrp1!D59=0.5,2,IF(CdTrp1!D59=0,1,0)))</f>
        <v>1</v>
      </c>
      <c r="AY105" s="173">
        <f>IF(CdTrp1!E59=1,3,IF(CdTrp1!E59=0.5,2,IF(CdTrp1!E59=0,1,0)))</f>
        <v>1</v>
      </c>
      <c r="AZ105" s="173">
        <f>IF(CdTrp1!F59=1,3,IF(CdTrp1!F59=0.5,2,IF(CdTrp1!F59=0,1,0)))</f>
        <v>1</v>
      </c>
      <c r="BA105" s="173">
        <f>IF(CdTrp1!G59=1,3,IF(CdTrp1!G59=0.5,2,IF(CdTrp1!G59=0,1,0)))</f>
        <v>1</v>
      </c>
      <c r="BB105" s="173">
        <f>IF(CdTrp1!H59=1,3,IF(CdTrp1!H59=0.5,2,IF(CdTrp1!H59=0,1,0)))</f>
        <v>1</v>
      </c>
      <c r="BC105" s="173">
        <f>IF(CdTrp1!I59=1,3,IF(CdTrp1!I59=0.5,2,IF(CdTrp1!I59=0,1,0)))</f>
        <v>1</v>
      </c>
      <c r="BD105" s="173">
        <f>IF(CdTrp1!J59=1,3,IF(CdTrp1!J59=0.5,2,IF(CdTrp1!J59=0,1,0)))</f>
        <v>1</v>
      </c>
      <c r="BE105" s="173">
        <f>IF(CdTrp1!K59=1,3,IF(CdTrp1!K59=0.5,2,IF(CdTrp1!K59=0,1,0)))</f>
        <v>1</v>
      </c>
      <c r="BF105" s="173">
        <f>IF(CdTrp1!L59=1,3,IF(CdTrp1!L59=0.5,2,IF(CdTrp1!L59=0,1,0)))</f>
        <v>1</v>
      </c>
      <c r="BG105" s="173">
        <f>IF(CdTrp1!M59=1,3,IF(CdTrp1!M59=0.5,2,IF(CdTrp1!M59=0,1,0)))</f>
        <v>1</v>
      </c>
      <c r="BH105" s="173">
        <f>IF(CdTrp1!N59=1,3,IF(CdTrp1!N59=0.5,2,IF(CdTrp1!N59=0,1,0)))</f>
        <v>1</v>
      </c>
      <c r="BI105" s="173">
        <f>IF(CdTrp1!O59=1,3,IF(CdTrp1!O59=0.5,2,IF(CdTrp1!O59=0,1,0)))</f>
        <v>1</v>
      </c>
      <c r="BJ105" s="173">
        <f>IF(CdTrp1!P59=1,3,IF(CdTrp1!P59=0.5,2,IF(CdTrp1!P59=0,1,0)))</f>
        <v>1</v>
      </c>
      <c r="BK105" s="173">
        <f>IF(CdTrp1!Q59=1,3,IF(CdTrp1!Q59=0.5,2,IF(CdTrp1!Q59=0,1,0)))</f>
        <v>1</v>
      </c>
      <c r="BL105" s="173">
        <f>IF(CdTrp1!R59=1,3,IF(CdTrp1!R59=0.5,2,IF(CdTrp1!R59=0,1,0)))</f>
        <v>1</v>
      </c>
      <c r="BM105" s="173">
        <f>IF(CdTrp1!S59=1,3,IF(CdTrp1!S59=0.5,2,IF(CdTrp1!S59=0,1,0)))</f>
        <v>1</v>
      </c>
      <c r="BN105" s="173">
        <f>IF(CdTrp1!T59=1,3,IF(CdTrp1!T59=0.5,2,IF(CdTrp1!T59=0,1,0)))</f>
        <v>1</v>
      </c>
      <c r="BO105" s="173">
        <f>IF(CdTrp1!U59=1,3,IF(CdTrp1!U59=0.5,2,IF(CdTrp1!U59=0,1,0)))</f>
        <v>1</v>
      </c>
      <c r="BP105" s="173">
        <f>IF(CdTrp1!V59=1,3,IF(CdTrp1!V59=0.5,2,IF(CdTrp1!V59=0,1,0)))</f>
        <v>1</v>
      </c>
      <c r="BQ105" s="173">
        <f>IF(CdTrp1!W59=1,3,IF(CdTrp1!W59=0.5,2,IF(CdTrp1!W59=0,1,0)))</f>
        <v>1</v>
      </c>
      <c r="BR105" s="173">
        <f>IF(CdTrp1!X59=1,3,IF(CdTrp1!X59=0.5,2,IF(CdTrp1!X59=0,1,0)))</f>
        <v>1</v>
      </c>
      <c r="BS105" s="173">
        <f>IF(CdTrp1!Y59=1,3,IF(CdTrp1!Y59=0.5,2,IF(CdTrp1!Y59=0,1,0)))</f>
        <v>1</v>
      </c>
      <c r="BZ105" s="189" t="str">
        <f t="shared" si="23"/>
        <v>lot8</v>
      </c>
      <c r="CA105" s="32"/>
      <c r="CB105" s="173">
        <f>IF(CdTrp2!B59=1,3,IF(CdTrp2!B59=0.5,2,IF(CdTrp2!B59=0,1,0)))</f>
        <v>1</v>
      </c>
      <c r="CC105" s="173">
        <f>IF(CdTrp2!C59=1,3,IF(CdTrp2!C59=0.5,2,IF(CdTrp2!C59=0,1,0)))</f>
        <v>1</v>
      </c>
      <c r="CD105" s="173">
        <f>IF(CdTrp2!D59=1,3,IF(CdTrp2!D59=0.5,2,IF(CdTrp2!D59=0,1,0)))</f>
        <v>1</v>
      </c>
      <c r="CE105" s="173">
        <f>IF(CdTrp2!E59=1,3,IF(CdTrp2!E59=0.5,2,IF(CdTrp2!E59=0,1,0)))</f>
        <v>1</v>
      </c>
      <c r="CF105" s="173">
        <f>IF(CdTrp2!F59=1,3,IF(CdTrp2!F59=0.5,2,IF(CdTrp2!F59=0,1,0)))</f>
        <v>1</v>
      </c>
      <c r="CG105" s="173">
        <f>IF(CdTrp2!G59=1,3,IF(CdTrp2!G59=0.5,2,IF(CdTrp2!G59=0,1,0)))</f>
        <v>1</v>
      </c>
      <c r="CH105" s="173">
        <f>IF(CdTrp2!H59=1,3,IF(CdTrp2!H59=0.5,2,IF(CdTrp2!H59=0,1,0)))</f>
        <v>1</v>
      </c>
      <c r="CI105" s="173">
        <f>IF(CdTrp2!I59=1,3,IF(CdTrp2!I59=0.5,2,IF(CdTrp2!I59=0,1,0)))</f>
        <v>1</v>
      </c>
      <c r="CJ105" s="173">
        <f>IF(CdTrp2!J59=1,3,IF(CdTrp2!J59=0.5,2,IF(CdTrp2!J59=0,1,0)))</f>
        <v>1</v>
      </c>
      <c r="CK105" s="173">
        <f>IF(CdTrp2!K59=1,3,IF(CdTrp2!K59=0.5,2,IF(CdTrp2!K59=0,1,0)))</f>
        <v>1</v>
      </c>
      <c r="CL105" s="173">
        <f>IF(CdTrp2!L59=1,3,IF(CdTrp2!L59=0.5,2,IF(CdTrp2!L59=0,1,0)))</f>
        <v>1</v>
      </c>
      <c r="CM105" s="173">
        <f>IF(CdTrp2!M59=1,3,IF(CdTrp2!M59=0.5,2,IF(CdTrp2!M59=0,1,0)))</f>
        <v>1</v>
      </c>
      <c r="CN105" s="173">
        <f>IF(CdTrp2!N59=1,3,IF(CdTrp2!N59=0.5,2,IF(CdTrp2!N59=0,1,0)))</f>
        <v>1</v>
      </c>
      <c r="CO105" s="173">
        <f>IF(CdTrp2!O59=1,3,IF(CdTrp2!O59=0.5,2,IF(CdTrp2!O59=0,1,0)))</f>
        <v>1</v>
      </c>
      <c r="CP105" s="173">
        <f>IF(CdTrp2!P59=1,3,IF(CdTrp2!P59=0.5,2,IF(CdTrp2!P59=0,1,0)))</f>
        <v>1</v>
      </c>
      <c r="CQ105" s="173">
        <f>IF(CdTrp2!Q59=1,3,IF(CdTrp2!Q59=0.5,2,IF(CdTrp2!Q59=0,1,0)))</f>
        <v>1</v>
      </c>
      <c r="CR105" s="173">
        <f>IF(CdTrp2!R59=1,3,IF(CdTrp2!R59=0.5,2,IF(CdTrp2!R59=0,1,0)))</f>
        <v>1</v>
      </c>
      <c r="CS105" s="173">
        <f>IF(CdTrp2!S59=1,3,IF(CdTrp2!S59=0.5,2,IF(CdTrp2!S59=0,1,0)))</f>
        <v>1</v>
      </c>
      <c r="CT105" s="173">
        <f>IF(CdTrp2!T59=1,3,IF(CdTrp2!T59=0.5,2,IF(CdTrp2!T59=0,1,0)))</f>
        <v>1</v>
      </c>
      <c r="CU105" s="173">
        <f>IF(CdTrp2!U59=1,3,IF(CdTrp2!U59=0.5,2,IF(CdTrp2!U59=0,1,0)))</f>
        <v>1</v>
      </c>
      <c r="CV105" s="173">
        <f>IF(CdTrp2!V59=1,3,IF(CdTrp2!V59=0.5,2,IF(CdTrp2!V59=0,1,0)))</f>
        <v>1</v>
      </c>
      <c r="CW105" s="173">
        <f>IF(CdTrp2!W59=1,3,IF(CdTrp2!W59=0.5,2,IF(CdTrp2!W59=0,1,0)))</f>
        <v>1</v>
      </c>
      <c r="CX105" s="173">
        <f>IF(CdTrp2!X59=1,3,IF(CdTrp2!X59=0.5,2,IF(CdTrp2!X59=0,1,0)))</f>
        <v>1</v>
      </c>
      <c r="CY105" s="173">
        <f>IF(CdTrp2!Y59=1,3,IF(CdTrp2!Y59=0.5,2,IF(CdTrp2!Y59=0,1,0)))</f>
        <v>1</v>
      </c>
      <c r="DC105" s="189" t="str">
        <f t="shared" si="24"/>
        <v>lot8</v>
      </c>
      <c r="DD105" s="32"/>
      <c r="DE105" s="173">
        <f>IF(CdTrp3!B59=1,3,IF(CdTrp3!B59=0.5,2,IF(CdTrp3!B59=0,1,0)))</f>
        <v>1</v>
      </c>
      <c r="DF105" s="173">
        <f>IF(CdTrp3!C59=1,3,IF(CdTrp3!C59=0.5,2,IF(CdTrp3!C59=0,1,0)))</f>
        <v>1</v>
      </c>
      <c r="DG105" s="173">
        <f>IF(CdTrp3!D59=1,3,IF(CdTrp3!D59=0.5,2,IF(CdTrp3!D59=0,1,0)))</f>
        <v>1</v>
      </c>
      <c r="DH105" s="173">
        <f>IF(CdTrp3!E59=1,3,IF(CdTrp3!E59=0.5,2,IF(CdTrp3!E59=0,1,0)))</f>
        <v>1</v>
      </c>
      <c r="DI105" s="173">
        <f>IF(CdTrp3!F59=1,3,IF(CdTrp3!F59=0.5,2,IF(CdTrp3!F59=0,1,0)))</f>
        <v>1</v>
      </c>
      <c r="DJ105" s="173">
        <f>IF(CdTrp3!G59=1,3,IF(CdTrp3!G59=0.5,2,IF(CdTrp3!G59=0,1,0)))</f>
        <v>1</v>
      </c>
      <c r="DK105" s="173">
        <f>IF(CdTrp3!H59=1,3,IF(CdTrp3!H59=0.5,2,IF(CdTrp3!H59=0,1,0)))</f>
        <v>1</v>
      </c>
      <c r="DL105" s="173">
        <f>IF(CdTrp3!I59=1,3,IF(CdTrp3!I59=0.5,2,IF(CdTrp3!I59=0,1,0)))</f>
        <v>1</v>
      </c>
      <c r="DM105" s="173">
        <f>IF(CdTrp3!J59=1,3,IF(CdTrp3!J59=0.5,2,IF(CdTrp3!J59=0,1,0)))</f>
        <v>1</v>
      </c>
      <c r="DN105" s="173">
        <f>IF(CdTrp3!K59=1,3,IF(CdTrp3!K59=0.5,2,IF(CdTrp3!K59=0,1,0)))</f>
        <v>1</v>
      </c>
      <c r="DO105" s="173">
        <f>IF(CdTrp3!L59=1,3,IF(CdTrp3!L59=0.5,2,IF(CdTrp3!L59=0,1,0)))</f>
        <v>1</v>
      </c>
      <c r="DP105" s="173">
        <f>IF(CdTrp3!M59=1,3,IF(CdTrp3!M59=0.5,2,IF(CdTrp3!M59=0,1,0)))</f>
        <v>1</v>
      </c>
      <c r="DQ105" s="173">
        <f>IF(CdTrp3!N59=1,3,IF(CdTrp3!N59=0.5,2,IF(CdTrp3!N59=0,1,0)))</f>
        <v>1</v>
      </c>
      <c r="DR105" s="173">
        <f>IF(CdTrp3!O59=1,3,IF(CdTrp3!O59=0.5,2,IF(CdTrp3!O59=0,1,0)))</f>
        <v>1</v>
      </c>
      <c r="DS105" s="173">
        <f>IF(CdTrp3!P59=1,3,IF(CdTrp3!P59=0.5,2,IF(CdTrp3!P59=0,1,0)))</f>
        <v>1</v>
      </c>
      <c r="DT105" s="173">
        <f>IF(CdTrp3!Q59=1,3,IF(CdTrp3!Q59=0.5,2,IF(CdTrp3!Q59=0,1,0)))</f>
        <v>1</v>
      </c>
      <c r="DU105" s="173">
        <f>IF(CdTrp3!R59=1,3,IF(CdTrp3!R59=0.5,2,IF(CdTrp3!R59=0,1,0)))</f>
        <v>1</v>
      </c>
      <c r="DV105" s="173">
        <f>IF(CdTrp3!S59=1,3,IF(CdTrp3!S59=0.5,2,IF(CdTrp3!S59=0,1,0)))</f>
        <v>1</v>
      </c>
      <c r="DW105" s="173">
        <f>IF(CdTrp3!T59=1,3,IF(CdTrp3!T59=0.5,2,IF(CdTrp3!T59=0,1,0)))</f>
        <v>1</v>
      </c>
      <c r="DX105" s="173">
        <f>IF(CdTrp3!U59=1,3,IF(CdTrp3!U59=0.5,2,IF(CdTrp3!U59=0,1,0)))</f>
        <v>1</v>
      </c>
      <c r="DY105" s="173">
        <f>IF(CdTrp3!V59=1,3,IF(CdTrp3!V59=0.5,2,IF(CdTrp3!V59=0,1,0)))</f>
        <v>1</v>
      </c>
      <c r="DZ105" s="173">
        <f>IF(CdTrp3!W59=1,3,IF(CdTrp3!W59=0.5,2,IF(CdTrp3!W59=0,1,0)))</f>
        <v>1</v>
      </c>
      <c r="EA105" s="173">
        <f>IF(CdTrp3!X59=1,3,IF(CdTrp3!X59=0.5,2,IF(CdTrp3!X59=0,1,0)))</f>
        <v>1</v>
      </c>
      <c r="EB105" s="173">
        <f>IF(CdTrp3!Y59=1,3,IF(CdTrp3!Y59=0.5,2,IF(CdTrp3!Y59=0,1,0)))</f>
        <v>1</v>
      </c>
    </row>
    <row r="106" spans="1:132" x14ac:dyDescent="0.25">
      <c r="B106" s="14" t="s">
        <v>1190</v>
      </c>
      <c r="C106" s="173">
        <f>SUM(H129:AE129)/2</f>
        <v>31</v>
      </c>
      <c r="D106" s="173">
        <f t="shared" si="25"/>
        <v>31</v>
      </c>
      <c r="F106" s="14"/>
      <c r="G106" s="186" t="str">
        <f>CdTrp2!A77</f>
        <v>genisses -1an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1</v>
      </c>
      <c r="N106" s="30">
        <f>CdTrp2!H77</f>
        <v>1</v>
      </c>
      <c r="O106" s="30">
        <f>CdTrp2!I77</f>
        <v>1</v>
      </c>
      <c r="P106" s="30">
        <f>CdTrp2!J77</f>
        <v>1</v>
      </c>
      <c r="Q106" s="30">
        <f>CdTrp2!K77</f>
        <v>1</v>
      </c>
      <c r="R106" s="30">
        <f>CdTrp2!L77</f>
        <v>1</v>
      </c>
      <c r="S106" s="30">
        <f>CdTrp2!M77</f>
        <v>1</v>
      </c>
      <c r="T106" s="30">
        <f>CdTrp2!N77</f>
        <v>1</v>
      </c>
      <c r="U106" s="30">
        <f>CdTrp2!O77</f>
        <v>1</v>
      </c>
      <c r="V106" s="30">
        <f>CdTrp2!P77</f>
        <v>1</v>
      </c>
      <c r="W106" s="30">
        <f>CdTrp2!Q77</f>
        <v>1</v>
      </c>
      <c r="X106" s="30">
        <f>CdTrp2!R77</f>
        <v>1</v>
      </c>
      <c r="Y106" s="30">
        <f>CdTrp2!S77</f>
        <v>1</v>
      </c>
      <c r="Z106" s="30">
        <f>CdTrp2!T77</f>
        <v>1</v>
      </c>
      <c r="AA106" s="30">
        <f>CdTrp2!U77</f>
        <v>1</v>
      </c>
      <c r="AB106" s="30">
        <f>CdTrp2!V77</f>
        <v>1</v>
      </c>
      <c r="AC106" s="30">
        <f>CdTrp2!W77</f>
        <v>1</v>
      </c>
      <c r="AD106" s="30">
        <f>CdTrp2!X77</f>
        <v>0</v>
      </c>
      <c r="AE106" s="30">
        <f>CdTrp2!Y77</f>
        <v>0</v>
      </c>
      <c r="AS106" s="5"/>
      <c r="AT106" s="189" t="str">
        <f>CdTrp1!$A60</f>
        <v>lot9</v>
      </c>
      <c r="AU106" s="32"/>
      <c r="AV106" s="173">
        <f>IF(CdTrp1!B60=1,3,IF(CdTrp1!B60=0.5,2,IF(CdTrp1!B60=0,1,0)))</f>
        <v>1</v>
      </c>
      <c r="AW106" s="173">
        <f>IF(CdTrp1!C60=1,3,IF(CdTrp1!C60=0.5,2,IF(CdTrp1!C60=0,1,0)))</f>
        <v>1</v>
      </c>
      <c r="AX106" s="173">
        <f>IF(CdTrp1!D60=1,3,IF(CdTrp1!D60=0.5,2,IF(CdTrp1!D60=0,1,0)))</f>
        <v>1</v>
      </c>
      <c r="AY106" s="173">
        <f>IF(CdTrp1!E60=1,3,IF(CdTrp1!E60=0.5,2,IF(CdTrp1!E60=0,1,0)))</f>
        <v>1</v>
      </c>
      <c r="AZ106" s="173">
        <f>IF(CdTrp1!F60=1,3,IF(CdTrp1!F60=0.5,2,IF(CdTrp1!F60=0,1,0)))</f>
        <v>1</v>
      </c>
      <c r="BA106" s="173">
        <f>IF(CdTrp1!G60=1,3,IF(CdTrp1!G60=0.5,2,IF(CdTrp1!G60=0,1,0)))</f>
        <v>1</v>
      </c>
      <c r="BB106" s="173">
        <f>IF(CdTrp1!H60=1,3,IF(CdTrp1!H60=0.5,2,IF(CdTrp1!H60=0,1,0)))</f>
        <v>1</v>
      </c>
      <c r="BC106" s="173">
        <f>IF(CdTrp1!I60=1,3,IF(CdTrp1!I60=0.5,2,IF(CdTrp1!I60=0,1,0)))</f>
        <v>1</v>
      </c>
      <c r="BD106" s="173">
        <f>IF(CdTrp1!J60=1,3,IF(CdTrp1!J60=0.5,2,IF(CdTrp1!J60=0,1,0)))</f>
        <v>1</v>
      </c>
      <c r="BE106" s="173">
        <f>IF(CdTrp1!K60=1,3,IF(CdTrp1!K60=0.5,2,IF(CdTrp1!K60=0,1,0)))</f>
        <v>1</v>
      </c>
      <c r="BF106" s="173">
        <f>IF(CdTrp1!L60=1,3,IF(CdTrp1!L60=0.5,2,IF(CdTrp1!L60=0,1,0)))</f>
        <v>1</v>
      </c>
      <c r="BG106" s="173">
        <f>IF(CdTrp1!M60=1,3,IF(CdTrp1!M60=0.5,2,IF(CdTrp1!M60=0,1,0)))</f>
        <v>1</v>
      </c>
      <c r="BH106" s="173">
        <f>IF(CdTrp1!N60=1,3,IF(CdTrp1!N60=0.5,2,IF(CdTrp1!N60=0,1,0)))</f>
        <v>1</v>
      </c>
      <c r="BI106" s="173">
        <f>IF(CdTrp1!O60=1,3,IF(CdTrp1!O60=0.5,2,IF(CdTrp1!O60=0,1,0)))</f>
        <v>1</v>
      </c>
      <c r="BJ106" s="173">
        <f>IF(CdTrp1!P60=1,3,IF(CdTrp1!P60=0.5,2,IF(CdTrp1!P60=0,1,0)))</f>
        <v>1</v>
      </c>
      <c r="BK106" s="173">
        <f>IF(CdTrp1!Q60=1,3,IF(CdTrp1!Q60=0.5,2,IF(CdTrp1!Q60=0,1,0)))</f>
        <v>1</v>
      </c>
      <c r="BL106" s="173">
        <f>IF(CdTrp1!R60=1,3,IF(CdTrp1!R60=0.5,2,IF(CdTrp1!R60=0,1,0)))</f>
        <v>1</v>
      </c>
      <c r="BM106" s="173">
        <f>IF(CdTrp1!S60=1,3,IF(CdTrp1!S60=0.5,2,IF(CdTrp1!S60=0,1,0)))</f>
        <v>1</v>
      </c>
      <c r="BN106" s="173">
        <f>IF(CdTrp1!T60=1,3,IF(CdTrp1!T60=0.5,2,IF(CdTrp1!T60=0,1,0)))</f>
        <v>1</v>
      </c>
      <c r="BO106" s="173">
        <f>IF(CdTrp1!U60=1,3,IF(CdTrp1!U60=0.5,2,IF(CdTrp1!U60=0,1,0)))</f>
        <v>1</v>
      </c>
      <c r="BP106" s="173">
        <f>IF(CdTrp1!V60=1,3,IF(CdTrp1!V60=0.5,2,IF(CdTrp1!V60=0,1,0)))</f>
        <v>1</v>
      </c>
      <c r="BQ106" s="173">
        <f>IF(CdTrp1!W60=1,3,IF(CdTrp1!W60=0.5,2,IF(CdTrp1!W60=0,1,0)))</f>
        <v>1</v>
      </c>
      <c r="BR106" s="173">
        <f>IF(CdTrp1!X60=1,3,IF(CdTrp1!X60=0.5,2,IF(CdTrp1!X60=0,1,0)))</f>
        <v>1</v>
      </c>
      <c r="BS106" s="173">
        <f>IF(CdTrp1!Y60=1,3,IF(CdTrp1!Y60=0.5,2,IF(CdTrp1!Y60=0,1,0)))</f>
        <v>1</v>
      </c>
      <c r="BZ106" s="189" t="str">
        <f t="shared" si="23"/>
        <v>lot9</v>
      </c>
      <c r="CA106" s="32"/>
      <c r="CB106" s="173">
        <f>IF(CdTrp2!B60=1,3,IF(CdTrp2!B60=0.5,2,IF(CdTrp2!B60=0,1,0)))</f>
        <v>1</v>
      </c>
      <c r="CC106" s="173">
        <f>IF(CdTrp2!C60=1,3,IF(CdTrp2!C60=0.5,2,IF(CdTrp2!C60=0,1,0)))</f>
        <v>1</v>
      </c>
      <c r="CD106" s="173">
        <f>IF(CdTrp2!D60=1,3,IF(CdTrp2!D60=0.5,2,IF(CdTrp2!D60=0,1,0)))</f>
        <v>1</v>
      </c>
      <c r="CE106" s="173">
        <f>IF(CdTrp2!E60=1,3,IF(CdTrp2!E60=0.5,2,IF(CdTrp2!E60=0,1,0)))</f>
        <v>1</v>
      </c>
      <c r="CF106" s="173">
        <f>IF(CdTrp2!F60=1,3,IF(CdTrp2!F60=0.5,2,IF(CdTrp2!F60=0,1,0)))</f>
        <v>1</v>
      </c>
      <c r="CG106" s="173">
        <f>IF(CdTrp2!G60=1,3,IF(CdTrp2!G60=0.5,2,IF(CdTrp2!G60=0,1,0)))</f>
        <v>1</v>
      </c>
      <c r="CH106" s="173">
        <f>IF(CdTrp2!H60=1,3,IF(CdTrp2!H60=0.5,2,IF(CdTrp2!H60=0,1,0)))</f>
        <v>1</v>
      </c>
      <c r="CI106" s="173">
        <f>IF(CdTrp2!I60=1,3,IF(CdTrp2!I60=0.5,2,IF(CdTrp2!I60=0,1,0)))</f>
        <v>1</v>
      </c>
      <c r="CJ106" s="173">
        <f>IF(CdTrp2!J60=1,3,IF(CdTrp2!J60=0.5,2,IF(CdTrp2!J60=0,1,0)))</f>
        <v>1</v>
      </c>
      <c r="CK106" s="173">
        <f>IF(CdTrp2!K60=1,3,IF(CdTrp2!K60=0.5,2,IF(CdTrp2!K60=0,1,0)))</f>
        <v>1</v>
      </c>
      <c r="CL106" s="173">
        <f>IF(CdTrp2!L60=1,3,IF(CdTrp2!L60=0.5,2,IF(CdTrp2!L60=0,1,0)))</f>
        <v>1</v>
      </c>
      <c r="CM106" s="173">
        <f>IF(CdTrp2!M60=1,3,IF(CdTrp2!M60=0.5,2,IF(CdTrp2!M60=0,1,0)))</f>
        <v>1</v>
      </c>
      <c r="CN106" s="173">
        <f>IF(CdTrp2!N60=1,3,IF(CdTrp2!N60=0.5,2,IF(CdTrp2!N60=0,1,0)))</f>
        <v>1</v>
      </c>
      <c r="CO106" s="173">
        <f>IF(CdTrp2!O60=1,3,IF(CdTrp2!O60=0.5,2,IF(CdTrp2!O60=0,1,0)))</f>
        <v>1</v>
      </c>
      <c r="CP106" s="173">
        <f>IF(CdTrp2!P60=1,3,IF(CdTrp2!P60=0.5,2,IF(CdTrp2!P60=0,1,0)))</f>
        <v>1</v>
      </c>
      <c r="CQ106" s="173">
        <f>IF(CdTrp2!Q60=1,3,IF(CdTrp2!Q60=0.5,2,IF(CdTrp2!Q60=0,1,0)))</f>
        <v>1</v>
      </c>
      <c r="CR106" s="173">
        <f>IF(CdTrp2!R60=1,3,IF(CdTrp2!R60=0.5,2,IF(CdTrp2!R60=0,1,0)))</f>
        <v>1</v>
      </c>
      <c r="CS106" s="173">
        <f>IF(CdTrp2!S60=1,3,IF(CdTrp2!S60=0.5,2,IF(CdTrp2!S60=0,1,0)))</f>
        <v>1</v>
      </c>
      <c r="CT106" s="173">
        <f>IF(CdTrp2!T60=1,3,IF(CdTrp2!T60=0.5,2,IF(CdTrp2!T60=0,1,0)))</f>
        <v>1</v>
      </c>
      <c r="CU106" s="173">
        <f>IF(CdTrp2!U60=1,3,IF(CdTrp2!U60=0.5,2,IF(CdTrp2!U60=0,1,0)))</f>
        <v>1</v>
      </c>
      <c r="CV106" s="173">
        <f>IF(CdTrp2!V60=1,3,IF(CdTrp2!V60=0.5,2,IF(CdTrp2!V60=0,1,0)))</f>
        <v>1</v>
      </c>
      <c r="CW106" s="173">
        <f>IF(CdTrp2!W60=1,3,IF(CdTrp2!W60=0.5,2,IF(CdTrp2!W60=0,1,0)))</f>
        <v>1</v>
      </c>
      <c r="CX106" s="173">
        <f>IF(CdTrp2!X60=1,3,IF(CdTrp2!X60=0.5,2,IF(CdTrp2!X60=0,1,0)))</f>
        <v>1</v>
      </c>
      <c r="CY106" s="173">
        <f>IF(CdTrp2!Y60=1,3,IF(CdTrp2!Y60=0.5,2,IF(CdTrp2!Y60=0,1,0)))</f>
        <v>1</v>
      </c>
      <c r="DC106" s="189" t="str">
        <f t="shared" si="24"/>
        <v>lot9</v>
      </c>
      <c r="DD106" s="32"/>
      <c r="DE106" s="173">
        <f>IF(CdTrp3!B60=1,3,IF(CdTrp3!B60=0.5,2,IF(CdTrp3!B60=0,1,0)))</f>
        <v>1</v>
      </c>
      <c r="DF106" s="173">
        <f>IF(CdTrp3!C60=1,3,IF(CdTrp3!C60=0.5,2,IF(CdTrp3!C60=0,1,0)))</f>
        <v>1</v>
      </c>
      <c r="DG106" s="173">
        <f>IF(CdTrp3!D60=1,3,IF(CdTrp3!D60=0.5,2,IF(CdTrp3!D60=0,1,0)))</f>
        <v>1</v>
      </c>
      <c r="DH106" s="173">
        <f>IF(CdTrp3!E60=1,3,IF(CdTrp3!E60=0.5,2,IF(CdTrp3!E60=0,1,0)))</f>
        <v>1</v>
      </c>
      <c r="DI106" s="173">
        <f>IF(CdTrp3!F60=1,3,IF(CdTrp3!F60=0.5,2,IF(CdTrp3!F60=0,1,0)))</f>
        <v>1</v>
      </c>
      <c r="DJ106" s="173">
        <f>IF(CdTrp3!G60=1,3,IF(CdTrp3!G60=0.5,2,IF(CdTrp3!G60=0,1,0)))</f>
        <v>1</v>
      </c>
      <c r="DK106" s="173">
        <f>IF(CdTrp3!H60=1,3,IF(CdTrp3!H60=0.5,2,IF(CdTrp3!H60=0,1,0)))</f>
        <v>1</v>
      </c>
      <c r="DL106" s="173">
        <f>IF(CdTrp3!I60=1,3,IF(CdTrp3!I60=0.5,2,IF(CdTrp3!I60=0,1,0)))</f>
        <v>1</v>
      </c>
      <c r="DM106" s="173">
        <f>IF(CdTrp3!J60=1,3,IF(CdTrp3!J60=0.5,2,IF(CdTrp3!J60=0,1,0)))</f>
        <v>1</v>
      </c>
      <c r="DN106" s="173">
        <f>IF(CdTrp3!K60=1,3,IF(CdTrp3!K60=0.5,2,IF(CdTrp3!K60=0,1,0)))</f>
        <v>1</v>
      </c>
      <c r="DO106" s="173">
        <f>IF(CdTrp3!L60=1,3,IF(CdTrp3!L60=0.5,2,IF(CdTrp3!L60=0,1,0)))</f>
        <v>1</v>
      </c>
      <c r="DP106" s="173">
        <f>IF(CdTrp3!M60=1,3,IF(CdTrp3!M60=0.5,2,IF(CdTrp3!M60=0,1,0)))</f>
        <v>1</v>
      </c>
      <c r="DQ106" s="173">
        <f>IF(CdTrp3!N60=1,3,IF(CdTrp3!N60=0.5,2,IF(CdTrp3!N60=0,1,0)))</f>
        <v>1</v>
      </c>
      <c r="DR106" s="173">
        <f>IF(CdTrp3!O60=1,3,IF(CdTrp3!O60=0.5,2,IF(CdTrp3!O60=0,1,0)))</f>
        <v>1</v>
      </c>
      <c r="DS106" s="173">
        <f>IF(CdTrp3!P60=1,3,IF(CdTrp3!P60=0.5,2,IF(CdTrp3!P60=0,1,0)))</f>
        <v>1</v>
      </c>
      <c r="DT106" s="173">
        <f>IF(CdTrp3!Q60=1,3,IF(CdTrp3!Q60=0.5,2,IF(CdTrp3!Q60=0,1,0)))</f>
        <v>1</v>
      </c>
      <c r="DU106" s="173">
        <f>IF(CdTrp3!R60=1,3,IF(CdTrp3!R60=0.5,2,IF(CdTrp3!R60=0,1,0)))</f>
        <v>1</v>
      </c>
      <c r="DV106" s="173">
        <f>IF(CdTrp3!S60=1,3,IF(CdTrp3!S60=0.5,2,IF(CdTrp3!S60=0,1,0)))</f>
        <v>1</v>
      </c>
      <c r="DW106" s="173">
        <f>IF(CdTrp3!T60=1,3,IF(CdTrp3!T60=0.5,2,IF(CdTrp3!T60=0,1,0)))</f>
        <v>1</v>
      </c>
      <c r="DX106" s="173">
        <f>IF(CdTrp3!U60=1,3,IF(CdTrp3!U60=0.5,2,IF(CdTrp3!U60=0,1,0)))</f>
        <v>1</v>
      </c>
      <c r="DY106" s="173">
        <f>IF(CdTrp3!V60=1,3,IF(CdTrp3!V60=0.5,2,IF(CdTrp3!V60=0,1,0)))</f>
        <v>1</v>
      </c>
      <c r="DZ106" s="173">
        <f>IF(CdTrp3!W60=1,3,IF(CdTrp3!W60=0.5,2,IF(CdTrp3!W60=0,1,0)))</f>
        <v>1</v>
      </c>
      <c r="EA106" s="173">
        <f>IF(CdTrp3!X60=1,3,IF(CdTrp3!X60=0.5,2,IF(CdTrp3!X60=0,1,0)))</f>
        <v>1</v>
      </c>
      <c r="EB106" s="173">
        <f>IF(CdTrp3!Y60=1,3,IF(CdTrp3!Y60=0.5,2,IF(CdTrp3!Y60=0,1,0)))</f>
        <v>1</v>
      </c>
    </row>
    <row r="107" spans="1:132" x14ac:dyDescent="0.25">
      <c r="B107" s="14" t="s">
        <v>1191</v>
      </c>
      <c r="C107" s="173">
        <f>SUM(H130:AE130)/2</f>
        <v>26.5</v>
      </c>
      <c r="D107" s="173">
        <f t="shared" si="25"/>
        <v>26.5</v>
      </c>
      <c r="F107" s="14"/>
      <c r="G107" s="186" t="str">
        <f>CdTrp2!A78</f>
        <v>genisses +1an</v>
      </c>
      <c r="H107" s="30">
        <f>CdTrp2!B78</f>
        <v>0</v>
      </c>
      <c r="I107" s="30">
        <f>CdTrp2!C78</f>
        <v>0</v>
      </c>
      <c r="J107" s="30">
        <f>CdTrp2!D78</f>
        <v>2</v>
      </c>
      <c r="K107" s="30">
        <f>CdTrp2!E78</f>
        <v>2</v>
      </c>
      <c r="L107" s="30">
        <f>CdTrp2!F78</f>
        <v>2</v>
      </c>
      <c r="M107" s="30">
        <f>CdTrp2!G78</f>
        <v>2</v>
      </c>
      <c r="N107" s="30">
        <f>CdTrp2!H78</f>
        <v>2</v>
      </c>
      <c r="O107" s="30">
        <f>CdTrp2!I78</f>
        <v>2</v>
      </c>
      <c r="P107" s="30">
        <f>CdTrp2!J78</f>
        <v>2</v>
      </c>
      <c r="Q107" s="30">
        <f>CdTrp2!K78</f>
        <v>2</v>
      </c>
      <c r="R107" s="30">
        <f>CdTrp2!L78</f>
        <v>2</v>
      </c>
      <c r="S107" s="30">
        <f>CdTrp2!M78</f>
        <v>2</v>
      </c>
      <c r="T107" s="30">
        <f>CdTrp2!N78</f>
        <v>2</v>
      </c>
      <c r="U107" s="30">
        <f>CdTrp2!O78</f>
        <v>2</v>
      </c>
      <c r="V107" s="30">
        <f>CdTrp2!P78</f>
        <v>2</v>
      </c>
      <c r="W107" s="30">
        <f>CdTrp2!Q78</f>
        <v>2</v>
      </c>
      <c r="X107" s="30">
        <f>CdTrp2!R78</f>
        <v>2</v>
      </c>
      <c r="Y107" s="30">
        <f>CdTrp2!S78</f>
        <v>2</v>
      </c>
      <c r="Z107" s="30">
        <f>CdTrp2!T78</f>
        <v>3</v>
      </c>
      <c r="AA107" s="30">
        <f>CdTrp2!U78</f>
        <v>1</v>
      </c>
      <c r="AB107" s="30">
        <f>CdTrp2!V78</f>
        <v>1</v>
      </c>
      <c r="AC107" s="30">
        <f>CdTrp2!W78</f>
        <v>1</v>
      </c>
      <c r="AD107" s="30">
        <f>CdTrp2!X78</f>
        <v>0</v>
      </c>
      <c r="AE107" s="30">
        <f>CdTrp2!Y78</f>
        <v>0</v>
      </c>
      <c r="AS107" s="5"/>
      <c r="AT107" s="271" t="str">
        <f>CdTrp1!$A61</f>
        <v>lot10</v>
      </c>
      <c r="AU107" s="32"/>
      <c r="AV107" s="173">
        <f>IF(CdTrp1!B61=1,3,IF(CdTrp1!B61=0.5,2,IF(CdTrp1!B61=0,1,0)))</f>
        <v>1</v>
      </c>
      <c r="AW107" s="173">
        <f>IF(CdTrp1!C61=1,3,IF(CdTrp1!C61=0.5,2,IF(CdTrp1!C61=0,1,0)))</f>
        <v>1</v>
      </c>
      <c r="AX107" s="173">
        <f>IF(CdTrp1!D61=1,3,IF(CdTrp1!D61=0.5,2,IF(CdTrp1!D61=0,1,0)))</f>
        <v>1</v>
      </c>
      <c r="AY107" s="173">
        <f>IF(CdTrp1!E61=1,3,IF(CdTrp1!E61=0.5,2,IF(CdTrp1!E61=0,1,0)))</f>
        <v>1</v>
      </c>
      <c r="AZ107" s="173">
        <f>IF(CdTrp1!F61=1,3,IF(CdTrp1!F61=0.5,2,IF(CdTrp1!F61=0,1,0)))</f>
        <v>1</v>
      </c>
      <c r="BA107" s="173">
        <f>IF(CdTrp1!G61=1,3,IF(CdTrp1!G61=0.5,2,IF(CdTrp1!G61=0,1,0)))</f>
        <v>1</v>
      </c>
      <c r="BB107" s="173">
        <f>IF(CdTrp1!H61=1,3,IF(CdTrp1!H61=0.5,2,IF(CdTrp1!H61=0,1,0)))</f>
        <v>1</v>
      </c>
      <c r="BC107" s="173">
        <f>IF(CdTrp1!I61=1,3,IF(CdTrp1!I61=0.5,2,IF(CdTrp1!I61=0,1,0)))</f>
        <v>1</v>
      </c>
      <c r="BD107" s="173">
        <f>IF(CdTrp1!J61=1,3,IF(CdTrp1!J61=0.5,2,IF(CdTrp1!J61=0,1,0)))</f>
        <v>1</v>
      </c>
      <c r="BE107" s="173">
        <f>IF(CdTrp1!K61=1,3,IF(CdTrp1!K61=0.5,2,IF(CdTrp1!K61=0,1,0)))</f>
        <v>1</v>
      </c>
      <c r="BF107" s="173">
        <f>IF(CdTrp1!L61=1,3,IF(CdTrp1!L61=0.5,2,IF(CdTrp1!L61=0,1,0)))</f>
        <v>1</v>
      </c>
      <c r="BG107" s="173">
        <f>IF(CdTrp1!M61=1,3,IF(CdTrp1!M61=0.5,2,IF(CdTrp1!M61=0,1,0)))</f>
        <v>1</v>
      </c>
      <c r="BH107" s="173">
        <f>IF(CdTrp1!N61=1,3,IF(CdTrp1!N61=0.5,2,IF(CdTrp1!N61=0,1,0)))</f>
        <v>1</v>
      </c>
      <c r="BI107" s="173">
        <f>IF(CdTrp1!O61=1,3,IF(CdTrp1!O61=0.5,2,IF(CdTrp1!O61=0,1,0)))</f>
        <v>1</v>
      </c>
      <c r="BJ107" s="173">
        <f>IF(CdTrp1!P61=1,3,IF(CdTrp1!P61=0.5,2,IF(CdTrp1!P61=0,1,0)))</f>
        <v>1</v>
      </c>
      <c r="BK107" s="173">
        <f>IF(CdTrp1!Q61=1,3,IF(CdTrp1!Q61=0.5,2,IF(CdTrp1!Q61=0,1,0)))</f>
        <v>1</v>
      </c>
      <c r="BL107" s="173">
        <f>IF(CdTrp1!R61=1,3,IF(CdTrp1!R61=0.5,2,IF(CdTrp1!R61=0,1,0)))</f>
        <v>1</v>
      </c>
      <c r="BM107" s="173">
        <f>IF(CdTrp1!S61=1,3,IF(CdTrp1!S61=0.5,2,IF(CdTrp1!S61=0,1,0)))</f>
        <v>1</v>
      </c>
      <c r="BN107" s="173">
        <f>IF(CdTrp1!T61=1,3,IF(CdTrp1!T61=0.5,2,IF(CdTrp1!T61=0,1,0)))</f>
        <v>1</v>
      </c>
      <c r="BO107" s="173">
        <f>IF(CdTrp1!U61=1,3,IF(CdTrp1!U61=0.5,2,IF(CdTrp1!U61=0,1,0)))</f>
        <v>1</v>
      </c>
      <c r="BP107" s="173">
        <f>IF(CdTrp1!V61=1,3,IF(CdTrp1!V61=0.5,2,IF(CdTrp1!V61=0,1,0)))</f>
        <v>1</v>
      </c>
      <c r="BQ107" s="173">
        <f>IF(CdTrp1!W61=1,3,IF(CdTrp1!W61=0.5,2,IF(CdTrp1!W61=0,1,0)))</f>
        <v>1</v>
      </c>
      <c r="BR107" s="173">
        <f>IF(CdTrp1!X61=1,3,IF(CdTrp1!X61=0.5,2,IF(CdTrp1!X61=0,1,0)))</f>
        <v>1</v>
      </c>
      <c r="BS107" s="173">
        <f>IF(CdTrp1!Y61=1,3,IF(CdTrp1!Y61=0.5,2,IF(CdTrp1!Y61=0,1,0)))</f>
        <v>1</v>
      </c>
      <c r="BZ107" s="189" t="str">
        <f t="shared" si="23"/>
        <v>lot10</v>
      </c>
      <c r="CA107" s="32"/>
      <c r="CB107" s="173">
        <f>IF(CdTrp2!B61=1,3,IF(CdTrp2!B61=0.5,2,IF(CdTrp2!B61=0,1,0)))</f>
        <v>1</v>
      </c>
      <c r="CC107" s="173">
        <f>IF(CdTrp2!C61=1,3,IF(CdTrp2!C61=0.5,2,IF(CdTrp2!C61=0,1,0)))</f>
        <v>1</v>
      </c>
      <c r="CD107" s="173">
        <f>IF(CdTrp2!D61=1,3,IF(CdTrp2!D61=0.5,2,IF(CdTrp2!D61=0,1,0)))</f>
        <v>1</v>
      </c>
      <c r="CE107" s="173">
        <f>IF(CdTrp2!E61=1,3,IF(CdTrp2!E61=0.5,2,IF(CdTrp2!E61=0,1,0)))</f>
        <v>1</v>
      </c>
      <c r="CF107" s="173">
        <f>IF(CdTrp2!F61=1,3,IF(CdTrp2!F61=0.5,2,IF(CdTrp2!F61=0,1,0)))</f>
        <v>1</v>
      </c>
      <c r="CG107" s="173">
        <f>IF(CdTrp2!G61=1,3,IF(CdTrp2!G61=0.5,2,IF(CdTrp2!G61=0,1,0)))</f>
        <v>1</v>
      </c>
      <c r="CH107" s="173">
        <f>IF(CdTrp2!H61=1,3,IF(CdTrp2!H61=0.5,2,IF(CdTrp2!H61=0,1,0)))</f>
        <v>1</v>
      </c>
      <c r="CI107" s="173">
        <f>IF(CdTrp2!I61=1,3,IF(CdTrp2!I61=0.5,2,IF(CdTrp2!I61=0,1,0)))</f>
        <v>1</v>
      </c>
      <c r="CJ107" s="173">
        <f>IF(CdTrp2!J61=1,3,IF(CdTrp2!J61=0.5,2,IF(CdTrp2!J61=0,1,0)))</f>
        <v>1</v>
      </c>
      <c r="CK107" s="173">
        <f>IF(CdTrp2!K61=1,3,IF(CdTrp2!K61=0.5,2,IF(CdTrp2!K61=0,1,0)))</f>
        <v>1</v>
      </c>
      <c r="CL107" s="173">
        <f>IF(CdTrp2!L61=1,3,IF(CdTrp2!L61=0.5,2,IF(CdTrp2!L61=0,1,0)))</f>
        <v>1</v>
      </c>
      <c r="CM107" s="173">
        <f>IF(CdTrp2!M61=1,3,IF(CdTrp2!M61=0.5,2,IF(CdTrp2!M61=0,1,0)))</f>
        <v>1</v>
      </c>
      <c r="CN107" s="173">
        <f>IF(CdTrp2!N61=1,3,IF(CdTrp2!N61=0.5,2,IF(CdTrp2!N61=0,1,0)))</f>
        <v>1</v>
      </c>
      <c r="CO107" s="173">
        <f>IF(CdTrp2!O61=1,3,IF(CdTrp2!O61=0.5,2,IF(CdTrp2!O61=0,1,0)))</f>
        <v>1</v>
      </c>
      <c r="CP107" s="173">
        <f>IF(CdTrp2!P61=1,3,IF(CdTrp2!P61=0.5,2,IF(CdTrp2!P61=0,1,0)))</f>
        <v>1</v>
      </c>
      <c r="CQ107" s="173">
        <f>IF(CdTrp2!Q61=1,3,IF(CdTrp2!Q61=0.5,2,IF(CdTrp2!Q61=0,1,0)))</f>
        <v>1</v>
      </c>
      <c r="CR107" s="173">
        <f>IF(CdTrp2!R61=1,3,IF(CdTrp2!R61=0.5,2,IF(CdTrp2!R61=0,1,0)))</f>
        <v>1</v>
      </c>
      <c r="CS107" s="173">
        <f>IF(CdTrp2!S61=1,3,IF(CdTrp2!S61=0.5,2,IF(CdTrp2!S61=0,1,0)))</f>
        <v>1</v>
      </c>
      <c r="CT107" s="173">
        <f>IF(CdTrp2!T61=1,3,IF(CdTrp2!T61=0.5,2,IF(CdTrp2!T61=0,1,0)))</f>
        <v>1</v>
      </c>
      <c r="CU107" s="173">
        <f>IF(CdTrp2!U61=1,3,IF(CdTrp2!U61=0.5,2,IF(CdTrp2!U61=0,1,0)))</f>
        <v>1</v>
      </c>
      <c r="CV107" s="173">
        <f>IF(CdTrp2!V61=1,3,IF(CdTrp2!V61=0.5,2,IF(CdTrp2!V61=0,1,0)))</f>
        <v>1</v>
      </c>
      <c r="CW107" s="173">
        <f>IF(CdTrp2!W61=1,3,IF(CdTrp2!W61=0.5,2,IF(CdTrp2!W61=0,1,0)))</f>
        <v>1</v>
      </c>
      <c r="CX107" s="173">
        <f>IF(CdTrp2!X61=1,3,IF(CdTrp2!X61=0.5,2,IF(CdTrp2!X61=0,1,0)))</f>
        <v>1</v>
      </c>
      <c r="CY107" s="173">
        <f>IF(CdTrp2!Y61=1,3,IF(CdTrp2!Y61=0.5,2,IF(CdTrp2!Y61=0,1,0)))</f>
        <v>1</v>
      </c>
      <c r="DC107" s="189" t="str">
        <f t="shared" si="24"/>
        <v>lot10</v>
      </c>
      <c r="DD107" s="32"/>
      <c r="DE107" s="173">
        <f>IF(CdTrp3!B61=1,3,IF(CdTrp3!B61=0.5,2,IF(CdTrp3!B61=0,1,0)))</f>
        <v>1</v>
      </c>
      <c r="DF107" s="173">
        <f>IF(CdTrp3!C61=1,3,IF(CdTrp3!C61=0.5,2,IF(CdTrp3!C61=0,1,0)))</f>
        <v>1</v>
      </c>
      <c r="DG107" s="173">
        <f>IF(CdTrp3!D61=1,3,IF(CdTrp3!D61=0.5,2,IF(CdTrp3!D61=0,1,0)))</f>
        <v>1</v>
      </c>
      <c r="DH107" s="173">
        <f>IF(CdTrp3!E61=1,3,IF(CdTrp3!E61=0.5,2,IF(CdTrp3!E61=0,1,0)))</f>
        <v>1</v>
      </c>
      <c r="DI107" s="173">
        <f>IF(CdTrp3!F61=1,3,IF(CdTrp3!F61=0.5,2,IF(CdTrp3!F61=0,1,0)))</f>
        <v>1</v>
      </c>
      <c r="DJ107" s="173">
        <f>IF(CdTrp3!G61=1,3,IF(CdTrp3!G61=0.5,2,IF(CdTrp3!G61=0,1,0)))</f>
        <v>1</v>
      </c>
      <c r="DK107" s="173">
        <f>IF(CdTrp3!H61=1,3,IF(CdTrp3!H61=0.5,2,IF(CdTrp3!H61=0,1,0)))</f>
        <v>1</v>
      </c>
      <c r="DL107" s="173">
        <f>IF(CdTrp3!I61=1,3,IF(CdTrp3!I61=0.5,2,IF(CdTrp3!I61=0,1,0)))</f>
        <v>1</v>
      </c>
      <c r="DM107" s="173">
        <f>IF(CdTrp3!J61=1,3,IF(CdTrp3!J61=0.5,2,IF(CdTrp3!J61=0,1,0)))</f>
        <v>1</v>
      </c>
      <c r="DN107" s="173">
        <f>IF(CdTrp3!K61=1,3,IF(CdTrp3!K61=0.5,2,IF(CdTrp3!K61=0,1,0)))</f>
        <v>1</v>
      </c>
      <c r="DO107" s="173">
        <f>IF(CdTrp3!L61=1,3,IF(CdTrp3!L61=0.5,2,IF(CdTrp3!L61=0,1,0)))</f>
        <v>1</v>
      </c>
      <c r="DP107" s="173">
        <f>IF(CdTrp3!M61=1,3,IF(CdTrp3!M61=0.5,2,IF(CdTrp3!M61=0,1,0)))</f>
        <v>1</v>
      </c>
      <c r="DQ107" s="173">
        <f>IF(CdTrp3!N61=1,3,IF(CdTrp3!N61=0.5,2,IF(CdTrp3!N61=0,1,0)))</f>
        <v>1</v>
      </c>
      <c r="DR107" s="173">
        <f>IF(CdTrp3!O61=1,3,IF(CdTrp3!O61=0.5,2,IF(CdTrp3!O61=0,1,0)))</f>
        <v>1</v>
      </c>
      <c r="DS107" s="173">
        <f>IF(CdTrp3!P61=1,3,IF(CdTrp3!P61=0.5,2,IF(CdTrp3!P61=0,1,0)))</f>
        <v>1</v>
      </c>
      <c r="DT107" s="173">
        <f>IF(CdTrp3!Q61=1,3,IF(CdTrp3!Q61=0.5,2,IF(CdTrp3!Q61=0,1,0)))</f>
        <v>1</v>
      </c>
      <c r="DU107" s="173">
        <f>IF(CdTrp3!R61=1,3,IF(CdTrp3!R61=0.5,2,IF(CdTrp3!R61=0,1,0)))</f>
        <v>1</v>
      </c>
      <c r="DV107" s="173">
        <f>IF(CdTrp3!S61=1,3,IF(CdTrp3!S61=0.5,2,IF(CdTrp3!S61=0,1,0)))</f>
        <v>1</v>
      </c>
      <c r="DW107" s="173">
        <f>IF(CdTrp3!T61=1,3,IF(CdTrp3!T61=0.5,2,IF(CdTrp3!T61=0,1,0)))</f>
        <v>1</v>
      </c>
      <c r="DX107" s="173">
        <f>IF(CdTrp3!U61=1,3,IF(CdTrp3!U61=0.5,2,IF(CdTrp3!U61=0,1,0)))</f>
        <v>1</v>
      </c>
      <c r="DY107" s="173">
        <f>IF(CdTrp3!V61=1,3,IF(CdTrp3!V61=0.5,2,IF(CdTrp3!V61=0,1,0)))</f>
        <v>1</v>
      </c>
      <c r="DZ107" s="173">
        <f>IF(CdTrp3!W61=1,3,IF(CdTrp3!W61=0.5,2,IF(CdTrp3!W61=0,1,0)))</f>
        <v>1</v>
      </c>
      <c r="EA107" s="173">
        <f>IF(CdTrp3!X61=1,3,IF(CdTrp3!X61=0.5,2,IF(CdTrp3!X61=0,1,0)))</f>
        <v>1</v>
      </c>
      <c r="EB107" s="173">
        <f>IF(CdTrp3!Y61=1,3,IF(CdTrp3!Y61=0.5,2,IF(CdTrp3!Y61=0,1,0)))</f>
        <v>1</v>
      </c>
    </row>
    <row r="108" spans="1:132" x14ac:dyDescent="0.25">
      <c r="B108" s="14" t="s">
        <v>1192</v>
      </c>
      <c r="C108" s="173">
        <f>SUM(H131:AE131)/2</f>
        <v>0</v>
      </c>
      <c r="D108" s="173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778</v>
      </c>
      <c r="AV108" s="273"/>
      <c r="AW108" s="273"/>
      <c r="AX108" s="273"/>
      <c r="AY108" s="273"/>
      <c r="AZ108" s="273"/>
      <c r="BA108" s="273"/>
      <c r="BB108" s="273"/>
      <c r="BC108" s="273"/>
      <c r="BD108" s="273"/>
      <c r="BE108" s="273"/>
      <c r="BF108" s="273"/>
      <c r="BG108" s="273"/>
      <c r="BH108" s="273"/>
      <c r="BI108" s="273"/>
      <c r="BJ108" s="273"/>
      <c r="BK108" s="273"/>
      <c r="BL108" s="273"/>
      <c r="BM108" s="273"/>
      <c r="BN108" s="273"/>
      <c r="BO108" s="273"/>
      <c r="BP108" s="273"/>
      <c r="BQ108" s="273"/>
      <c r="BR108" s="273"/>
      <c r="BS108" s="273"/>
      <c r="BZ108" s="2" t="s">
        <v>778</v>
      </c>
      <c r="CB108" s="273"/>
      <c r="CC108" s="273"/>
      <c r="CD108" s="273"/>
      <c r="CE108" s="273"/>
      <c r="CF108" s="273"/>
      <c r="CG108" s="273"/>
      <c r="CH108" s="273"/>
      <c r="CI108" s="273"/>
      <c r="CJ108" s="273"/>
      <c r="CK108" s="273"/>
      <c r="CL108" s="273"/>
      <c r="CM108" s="273"/>
      <c r="CN108" s="273"/>
      <c r="CO108" s="273"/>
      <c r="CP108" s="273"/>
      <c r="CQ108" s="273"/>
      <c r="CR108" s="273"/>
      <c r="CS108" s="273"/>
      <c r="CT108" s="273"/>
      <c r="CU108" s="273"/>
      <c r="CV108" s="273"/>
      <c r="CW108" s="273"/>
      <c r="CX108" s="273"/>
      <c r="CY108" s="273"/>
      <c r="DC108" s="2" t="s">
        <v>778</v>
      </c>
      <c r="DE108" s="273"/>
      <c r="DF108" s="273"/>
      <c r="DG108" s="273"/>
      <c r="DH108" s="273"/>
      <c r="DI108" s="273"/>
      <c r="DJ108" s="273"/>
      <c r="DK108" s="273"/>
      <c r="DL108" s="273"/>
      <c r="DM108" s="273"/>
      <c r="DN108" s="273"/>
      <c r="DO108" s="273"/>
      <c r="DP108" s="273"/>
      <c r="DQ108" s="273"/>
      <c r="DR108" s="273"/>
      <c r="DS108" s="273"/>
      <c r="DT108" s="273"/>
      <c r="DU108" s="273"/>
      <c r="DV108" s="273"/>
      <c r="DW108" s="273"/>
      <c r="DX108" s="273"/>
      <c r="DY108" s="273"/>
      <c r="DZ108" s="273"/>
      <c r="EA108" s="273"/>
      <c r="EB108" s="273"/>
    </row>
    <row r="109" spans="1:132" x14ac:dyDescent="0.25">
      <c r="B109" s="14" t="s">
        <v>1193</v>
      </c>
      <c r="C109" s="173">
        <f>SUM(H132:AE132)/2</f>
        <v>57.5</v>
      </c>
      <c r="D109" s="173">
        <f t="shared" si="25"/>
        <v>57.5</v>
      </c>
      <c r="F109" s="14"/>
      <c r="G109" s="186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9" t="str">
        <f>AT98</f>
        <v>brebis</v>
      </c>
      <c r="AU109" s="32"/>
      <c r="AV109" s="173">
        <f>IF(CdTrp1!B76=1,1,IF(CdTrp1!B76=2,2,IF(CdTrp1!B76=3,2,IF(CdTrp1!B76=4,4,0))))</f>
        <v>0</v>
      </c>
      <c r="AW109" s="173">
        <f>IF(CdTrp1!C76=1,1,IF(CdTrp1!C76=2,2,IF(CdTrp1!C76=3,2,IF(CdTrp1!C76=4,4,0))))</f>
        <v>0</v>
      </c>
      <c r="AX109" s="173">
        <f>IF(CdTrp1!D76=1,1,IF(CdTrp1!D76=2,2,IF(CdTrp1!D76=3,2,IF(CdTrp1!D76=4,4,0))))</f>
        <v>0</v>
      </c>
      <c r="AY109" s="173">
        <f>IF(CdTrp1!E76=1,1,IF(CdTrp1!E76=2,2,IF(CdTrp1!E76=3,2,IF(CdTrp1!E76=4,4,0))))</f>
        <v>1</v>
      </c>
      <c r="AZ109" s="173">
        <f>IF(CdTrp1!F76=1,1,IF(CdTrp1!F76=2,2,IF(CdTrp1!F76=3,2,IF(CdTrp1!F76=4,4,0))))</f>
        <v>1</v>
      </c>
      <c r="BA109" s="173">
        <f>IF(CdTrp1!G76=1,1,IF(CdTrp1!G76=2,2,IF(CdTrp1!G76=3,2,IF(CdTrp1!G76=4,4,0))))</f>
        <v>1</v>
      </c>
      <c r="BB109" s="173">
        <f>IF(CdTrp1!H76=1,1,IF(CdTrp1!H76=2,2,IF(CdTrp1!H76=3,2,IF(CdTrp1!H76=4,4,0))))</f>
        <v>1</v>
      </c>
      <c r="BC109" s="173">
        <f>IF(CdTrp1!I76=1,1,IF(CdTrp1!I76=2,2,IF(CdTrp1!I76=3,2,IF(CdTrp1!I76=4,4,0))))</f>
        <v>1</v>
      </c>
      <c r="BD109" s="173">
        <f>IF(CdTrp1!J76=1,1,IF(CdTrp1!J76=2,2,IF(CdTrp1!J76=3,2,IF(CdTrp1!J76=4,4,0))))</f>
        <v>1</v>
      </c>
      <c r="BE109" s="173">
        <f>IF(CdTrp1!K76=1,1,IF(CdTrp1!K76=2,2,IF(CdTrp1!K76=3,2,IF(CdTrp1!K76=4,4,0))))</f>
        <v>1</v>
      </c>
      <c r="BF109" s="173">
        <f>IF(CdTrp1!L76=1,1,IF(CdTrp1!L76=2,2,IF(CdTrp1!L76=3,2,IF(CdTrp1!L76=4,4,0))))</f>
        <v>1</v>
      </c>
      <c r="BG109" s="173">
        <f>IF(CdTrp1!M76=1,1,IF(CdTrp1!M76=2,2,IF(CdTrp1!M76=3,2,IF(CdTrp1!M76=4,4,0))))</f>
        <v>0</v>
      </c>
      <c r="BH109" s="173">
        <v>2</v>
      </c>
      <c r="BI109" s="173">
        <f>IF(CdTrp1!O76=1,1,IF(CdTrp1!O76=2,2,IF(CdTrp1!O76=3,2,IF(CdTrp1!O76=4,4,0))))</f>
        <v>0</v>
      </c>
      <c r="BJ109" s="173">
        <f>IF(CdTrp1!P76=1,1,IF(CdTrp1!P76=2,2,IF(CdTrp1!P76=3,2,IF(CdTrp1!P76=4,4,0))))</f>
        <v>0</v>
      </c>
      <c r="BK109" s="173">
        <f>IF(CdTrp1!Q76=1,1,IF(CdTrp1!Q76=2,2,IF(CdTrp1!Q76=3,2,IF(CdTrp1!Q76=4,4,0))))</f>
        <v>0</v>
      </c>
      <c r="BL109" s="173">
        <f>IF(CdTrp1!R76=1,1,IF(CdTrp1!R76=2,2,IF(CdTrp1!R76=3,2,IF(CdTrp1!R76=4,4,0))))</f>
        <v>0</v>
      </c>
      <c r="BM109" s="173">
        <f>IF(CdTrp1!S76=1,1,IF(CdTrp1!S76=2,2,IF(CdTrp1!S76=3,2,IF(CdTrp1!S76=4,4,0))))</f>
        <v>0</v>
      </c>
      <c r="BN109" s="173">
        <f>IF(CdTrp1!T76=1,1,IF(CdTrp1!T76=2,2,IF(CdTrp1!T76=3,2,IF(CdTrp1!T76=4,4,0))))</f>
        <v>1</v>
      </c>
      <c r="BO109" s="173">
        <f>IF(CdTrp1!U76=1,1,IF(CdTrp1!U76=2,2,IF(CdTrp1!U76=3,2,IF(CdTrp1!U76=4,4,0))))</f>
        <v>1</v>
      </c>
      <c r="BP109" s="173">
        <f>IF(CdTrp1!V76=1,1,IF(CdTrp1!V76=2,2,IF(CdTrp1!V76=3,2,IF(CdTrp1!V76=4,4,0))))</f>
        <v>0</v>
      </c>
      <c r="BQ109" s="173">
        <f>IF(CdTrp1!W76=1,1,IF(CdTrp1!W76=2,2,IF(CdTrp1!W76=3,2,IF(CdTrp1!W76=4,4,0))))</f>
        <v>0</v>
      </c>
      <c r="BR109" s="173">
        <f>IF(CdTrp1!X76=1,1,IF(CdTrp1!X76=2,2,IF(CdTrp1!X76=3,2,IF(CdTrp1!X76=4,4,0))))</f>
        <v>0</v>
      </c>
      <c r="BS109" s="173">
        <f>IF(CdTrp1!Y76=1,1,IF(CdTrp1!Y76=2,2,IF(CdTrp1!Y76=3,2,IF(CdTrp1!Y76=4,4,0))))</f>
        <v>0</v>
      </c>
      <c r="BU109">
        <v>1</v>
      </c>
      <c r="BV109" t="s">
        <v>217</v>
      </c>
      <c r="BZ109" s="189" t="str">
        <f t="shared" ref="BZ109:BZ116" si="26">+BZ75</f>
        <v xml:space="preserve">vaches </v>
      </c>
      <c r="CA109" s="32"/>
      <c r="CB109" s="173">
        <f>IF(CdTrp2!B76=1,1,IF(CdTrp2!B76=2,2,IF(CdTrp2!B76=3,2,IF(CdTrp2!B76=4,4,0))))</f>
        <v>0</v>
      </c>
      <c r="CC109" s="173">
        <f>IF(CdTrp2!C76=1,1,IF(CdTrp2!C76=2,2,IF(CdTrp2!C76=3,2,IF(CdTrp2!C76=4,4,0))))</f>
        <v>0</v>
      </c>
      <c r="CD109" s="173">
        <f>IF(CdTrp2!D76=1,1,IF(CdTrp2!D76=2,2,IF(CdTrp2!D76=3,2,IF(CdTrp2!D76=4,4,0))))</f>
        <v>0</v>
      </c>
      <c r="CE109" s="173">
        <f>IF(CdTrp2!E76=1,1,IF(CdTrp2!E76=2,2,IF(CdTrp2!E76=3,2,IF(CdTrp2!E76=4,4,0))))</f>
        <v>0</v>
      </c>
      <c r="CF109" s="173">
        <f>IF(CdTrp2!F76=1,1,IF(CdTrp2!F76=2,2,IF(CdTrp2!F76=3,2,IF(CdTrp2!F76=4,4,0))))</f>
        <v>0</v>
      </c>
      <c r="CG109" s="173">
        <f>IF(CdTrp2!G76=1,1,IF(CdTrp2!G76=2,2,IF(CdTrp2!G76=3,2,IF(CdTrp2!G76=4,4,0))))</f>
        <v>0</v>
      </c>
      <c r="CH109" s="173">
        <f>IF(CdTrp2!H76=1,1,IF(CdTrp2!H76=2,2,IF(CdTrp2!H76=3,2,IF(CdTrp2!H76=4,4,0))))</f>
        <v>1</v>
      </c>
      <c r="CI109" s="173">
        <f>IF(CdTrp2!I76=1,1,IF(CdTrp2!I76=2,2,IF(CdTrp2!I76=3,2,IF(CdTrp2!I76=4,4,0))))</f>
        <v>1</v>
      </c>
      <c r="CJ109" s="173">
        <f>IF(CdTrp2!J76=1,1,IF(CdTrp2!J76=2,2,IF(CdTrp2!J76=3,2,IF(CdTrp2!J76=4,4,0))))</f>
        <v>2</v>
      </c>
      <c r="CK109" s="173">
        <f>IF(CdTrp2!K76=1,1,IF(CdTrp2!K76=2,2,IF(CdTrp2!K76=3,2,IF(CdTrp2!K76=4,4,0))))</f>
        <v>2</v>
      </c>
      <c r="CL109" s="173">
        <f>IF(CdTrp2!L76=1,1,IF(CdTrp2!L76=2,2,IF(CdTrp2!L76=3,2,IF(CdTrp2!L76=4,4,0))))</f>
        <v>2</v>
      </c>
      <c r="CM109" s="173">
        <f>IF(CdTrp2!M76=1,1,IF(CdTrp2!M76=2,2,IF(CdTrp2!M76=3,2,IF(CdTrp2!M76=4,4,0))))</f>
        <v>2</v>
      </c>
      <c r="CN109" s="173">
        <f>IF(CdTrp2!N76=1,1,IF(CdTrp2!N76=2,2,IF(CdTrp2!N76=3,2,IF(CdTrp2!N76=4,4,0))))</f>
        <v>2</v>
      </c>
      <c r="CO109" s="173">
        <f>IF(CdTrp2!O76=1,1,IF(CdTrp2!O76=2,2,IF(CdTrp2!O76=3,2,IF(CdTrp2!O76=4,4,0))))</f>
        <v>1</v>
      </c>
      <c r="CP109" s="173">
        <f>IF(CdTrp2!P76=1,1,IF(CdTrp2!P76=2,2,IF(CdTrp2!P76=3,2,IF(CdTrp2!P76=4,4,0))))</f>
        <v>1</v>
      </c>
      <c r="CQ109" s="173">
        <f>IF(CdTrp2!Q76=1,1,IF(CdTrp2!Q76=2,2,IF(CdTrp2!Q76=3,2,IF(CdTrp2!Q76=4,4,0))))</f>
        <v>1</v>
      </c>
      <c r="CR109" s="173">
        <f>IF(CdTrp2!R76=1,1,IF(CdTrp2!R76=2,2,IF(CdTrp2!R76=3,2,IF(CdTrp2!R76=4,4,0))))</f>
        <v>2</v>
      </c>
      <c r="CS109" s="173">
        <f>IF(CdTrp2!S76=1,1,IF(CdTrp2!S76=2,2,IF(CdTrp2!S76=3,2,IF(CdTrp2!S76=4,4,0))))</f>
        <v>2</v>
      </c>
      <c r="CT109" s="173">
        <f>IF(CdTrp2!T76=1,1,IF(CdTrp2!T76=2,2,IF(CdTrp2!T76=3,2,IF(CdTrp2!T76=4,4,0))))</f>
        <v>2</v>
      </c>
      <c r="CU109" s="173">
        <f>IF(CdTrp2!U76=1,1,IF(CdTrp2!U76=2,2,IF(CdTrp2!U76=3,2,IF(CdTrp2!U76=4,4,0))))</f>
        <v>2</v>
      </c>
      <c r="CV109" s="173">
        <f>IF(CdTrp2!V76=1,1,IF(CdTrp2!V76=2,2,IF(CdTrp2!V76=3,2,IF(CdTrp2!V76=4,4,0))))</f>
        <v>2</v>
      </c>
      <c r="CW109" s="173">
        <f>IF(CdTrp2!W76=1,1,IF(CdTrp2!W76=2,2,IF(CdTrp2!W76=3,2,IF(CdTrp2!W76=4,4,0))))</f>
        <v>2</v>
      </c>
      <c r="CX109" s="173">
        <f>IF(CdTrp2!X76=1,1,IF(CdTrp2!X76=2,2,IF(CdTrp2!X76=3,2,IF(CdTrp2!X76=4,4,0))))</f>
        <v>0</v>
      </c>
      <c r="CY109" s="173">
        <f>IF(CdTrp2!Y76=1,1,IF(CdTrp2!Y76=2,2,IF(CdTrp2!Y76=3,2,IF(CdTrp2!Y76=4,4,0))))</f>
        <v>0</v>
      </c>
      <c r="DC109" s="189" t="str">
        <f t="shared" ref="DC109:DC116" si="27">+DC75</f>
        <v>lot1</v>
      </c>
      <c r="DD109" s="32"/>
      <c r="DE109" s="173">
        <f>IF(CdTrp3!B76=1,1,IF(CdTrp3!B76=2,2,IF(CdTrp3!B76=3,2,IF(CdTrp3!B76=4,4,0))))</f>
        <v>0</v>
      </c>
      <c r="DF109" s="173">
        <f>IF(CdTrp3!C76=1,1,IF(CdTrp3!C76=2,2,IF(CdTrp3!C76=3,2,IF(CdTrp3!C76=4,4,0))))</f>
        <v>0</v>
      </c>
      <c r="DG109" s="173">
        <f>IF(CdTrp3!D76=1,1,IF(CdTrp3!D76=2,2,IF(CdTrp3!D76=3,2,IF(CdTrp3!D76=4,4,0))))</f>
        <v>0</v>
      </c>
      <c r="DH109" s="173">
        <f>IF(CdTrp3!E76=1,1,IF(CdTrp3!E76=2,2,IF(CdTrp3!E76=3,2,IF(CdTrp3!E76=4,4,0))))</f>
        <v>0</v>
      </c>
      <c r="DI109" s="173">
        <f>IF(CdTrp3!F76=1,1,IF(CdTrp3!F76=2,2,IF(CdTrp3!F76=3,2,IF(CdTrp3!F76=4,4,0))))</f>
        <v>0</v>
      </c>
      <c r="DJ109" s="173">
        <f>IF(CdTrp3!G76=1,1,IF(CdTrp3!G76=2,2,IF(CdTrp3!G76=3,2,IF(CdTrp3!G76=4,4,0))))</f>
        <v>0</v>
      </c>
      <c r="DK109" s="173">
        <f>IF(CdTrp3!H76=1,1,IF(CdTrp3!H76=2,2,IF(CdTrp3!H76=3,2,IF(CdTrp3!H76=4,4,0))))</f>
        <v>0</v>
      </c>
      <c r="DL109" s="173">
        <f>IF(CdTrp3!I76=1,1,IF(CdTrp3!I76=2,2,IF(CdTrp3!I76=3,2,IF(CdTrp3!I76=4,4,0))))</f>
        <v>0</v>
      </c>
      <c r="DM109" s="173">
        <f>IF(CdTrp3!J76=1,1,IF(CdTrp3!J76=2,2,IF(CdTrp3!J76=3,2,IF(CdTrp3!J76=4,4,0))))</f>
        <v>0</v>
      </c>
      <c r="DN109" s="173">
        <f>IF(CdTrp3!K76=1,1,IF(CdTrp3!K76=2,2,IF(CdTrp3!K76=3,2,IF(CdTrp3!K76=4,4,0))))</f>
        <v>0</v>
      </c>
      <c r="DO109" s="173">
        <f>IF(CdTrp3!L76=1,1,IF(CdTrp3!L76=2,2,IF(CdTrp3!L76=3,2,IF(CdTrp3!L76=4,4,0))))</f>
        <v>0</v>
      </c>
      <c r="DP109" s="173">
        <f>IF(CdTrp3!M76=1,1,IF(CdTrp3!M76=2,2,IF(CdTrp3!M76=3,2,IF(CdTrp3!M76=4,4,0))))</f>
        <v>0</v>
      </c>
      <c r="DQ109" s="173">
        <f>IF(CdTrp3!N76=1,1,IF(CdTrp3!N76=2,2,IF(CdTrp3!N76=3,2,IF(CdTrp3!N76=4,4,0))))</f>
        <v>0</v>
      </c>
      <c r="DR109" s="173">
        <f>IF(CdTrp3!O76=1,1,IF(CdTrp3!O76=2,2,IF(CdTrp3!O76=3,2,IF(CdTrp3!O76=4,4,0))))</f>
        <v>0</v>
      </c>
      <c r="DS109" s="173">
        <f>IF(CdTrp3!P76=1,1,IF(CdTrp3!P76=2,2,IF(CdTrp3!P76=3,2,IF(CdTrp3!P76=4,4,0))))</f>
        <v>0</v>
      </c>
      <c r="DT109" s="173">
        <f>IF(CdTrp3!Q76=1,1,IF(CdTrp3!Q76=2,2,IF(CdTrp3!Q76=3,2,IF(CdTrp3!Q76=4,4,0))))</f>
        <v>0</v>
      </c>
      <c r="DU109" s="173">
        <f>IF(CdTrp3!R76=1,1,IF(CdTrp3!R76=2,2,IF(CdTrp3!R76=3,2,IF(CdTrp3!R76=4,4,0))))</f>
        <v>0</v>
      </c>
      <c r="DV109" s="173">
        <f>IF(CdTrp3!S76=1,1,IF(CdTrp3!S76=2,2,IF(CdTrp3!S76=3,2,IF(CdTrp3!S76=4,4,0))))</f>
        <v>0</v>
      </c>
      <c r="DW109" s="173">
        <f>IF(CdTrp3!T76=1,1,IF(CdTrp3!T76=2,2,IF(CdTrp3!T76=3,2,IF(CdTrp3!T76=4,4,0))))</f>
        <v>0</v>
      </c>
      <c r="DX109" s="173">
        <f>IF(CdTrp3!U76=1,1,IF(CdTrp3!U76=2,2,IF(CdTrp3!U76=3,2,IF(CdTrp3!U76=4,4,0))))</f>
        <v>0</v>
      </c>
      <c r="DY109" s="173">
        <f>IF(CdTrp3!V76=1,1,IF(CdTrp3!V76=2,2,IF(CdTrp3!V76=3,2,IF(CdTrp3!V76=4,4,0))))</f>
        <v>0</v>
      </c>
      <c r="DZ109" s="173">
        <f>IF(CdTrp3!W76=1,1,IF(CdTrp3!W76=2,2,IF(CdTrp3!W76=3,2,IF(CdTrp3!W76=4,4,0))))</f>
        <v>0</v>
      </c>
      <c r="EA109" s="173">
        <f>IF(CdTrp3!X76=1,1,IF(CdTrp3!X76=2,2,IF(CdTrp3!X76=3,2,IF(CdTrp3!X76=4,4,0))))</f>
        <v>0</v>
      </c>
      <c r="EB109" s="173">
        <f>IF(CdTrp3!Y76=1,1,IF(CdTrp3!Y76=2,2,IF(CdTrp3!Y76=3,2,IF(CdTrp3!Y76=4,4,0))))</f>
        <v>0</v>
      </c>
    </row>
    <row r="110" spans="1:132" x14ac:dyDescent="0.25">
      <c r="B110" s="14" t="s">
        <v>1194</v>
      </c>
      <c r="C110" s="173">
        <f>COUNTIF($H$94:$AE$103,1)/2</f>
        <v>14</v>
      </c>
      <c r="D110" s="173">
        <f t="shared" si="25"/>
        <v>14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9" t="str">
        <f t="shared" ref="AT110:AT118" si="28">AT99</f>
        <v>vides</v>
      </c>
      <c r="AU110" s="32"/>
      <c r="AV110" s="173">
        <f>IF(CdTrp1!B77=1,1,IF(CdTrp1!B77=2,2,IF(CdTrp1!B77=3,2,IF(CdTrp1!B77=4,4,0))))</f>
        <v>2</v>
      </c>
      <c r="AW110" s="173">
        <f>IF(CdTrp1!C77=1,1,IF(CdTrp1!C77=2,2,IF(CdTrp1!C77=3,2,IF(CdTrp1!C77=4,4,0))))</f>
        <v>2</v>
      </c>
      <c r="AX110" s="173">
        <f>IF(CdTrp1!D77=1,1,IF(CdTrp1!D77=2,2,IF(CdTrp1!D77=3,2,IF(CdTrp1!D77=4,4,0))))</f>
        <v>2</v>
      </c>
      <c r="AY110" s="173">
        <f>IF(CdTrp1!E77=1,1,IF(CdTrp1!E77=2,2,IF(CdTrp1!E77=3,2,IF(CdTrp1!E77=4,4,0))))</f>
        <v>2</v>
      </c>
      <c r="AZ110" s="173">
        <f>IF(CdTrp1!F77=1,1,IF(CdTrp1!F77=2,2,IF(CdTrp1!F77=3,2,IF(CdTrp1!F77=4,4,0))))</f>
        <v>2</v>
      </c>
      <c r="BA110" s="173">
        <f>IF(CdTrp1!G77=1,1,IF(CdTrp1!G77=2,2,IF(CdTrp1!G77=3,2,IF(CdTrp1!G77=4,4,0))))</f>
        <v>2</v>
      </c>
      <c r="BB110" s="173">
        <f>IF(CdTrp1!H77=1,1,IF(CdTrp1!H77=2,2,IF(CdTrp1!H77=3,2,IF(CdTrp1!H77=4,4,0))))</f>
        <v>2</v>
      </c>
      <c r="BC110" s="173">
        <f>IF(CdTrp1!I77=1,1,IF(CdTrp1!I77=2,2,IF(CdTrp1!I77=3,2,IF(CdTrp1!I77=4,4,0))))</f>
        <v>2</v>
      </c>
      <c r="BD110" s="173">
        <f>IF(CdTrp1!J77=1,1,IF(CdTrp1!J77=2,2,IF(CdTrp1!J77=3,2,IF(CdTrp1!J77=4,4,0))))</f>
        <v>2</v>
      </c>
      <c r="BE110" s="173">
        <f>IF(CdTrp1!K77=1,1,IF(CdTrp1!K77=2,2,IF(CdTrp1!K77=3,2,IF(CdTrp1!K77=4,4,0))))</f>
        <v>0</v>
      </c>
      <c r="BF110" s="173">
        <f>IF(CdTrp1!L77=1,1,IF(CdTrp1!L77=2,2,IF(CdTrp1!L77=3,2,IF(CdTrp1!L77=4,4,0))))</f>
        <v>0</v>
      </c>
      <c r="BG110" s="173">
        <f>IF(CdTrp1!M77=1,1,IF(CdTrp1!M77=2,2,IF(CdTrp1!M77=3,2,IF(CdTrp1!M77=4,4,0))))</f>
        <v>0</v>
      </c>
      <c r="BH110" s="173">
        <f>IF(CdTrp1!N77=1,1,IF(CdTrp1!N77=2,2,IF(CdTrp1!N77=3,2,IF(CdTrp1!N77=4,4,0))))</f>
        <v>0</v>
      </c>
      <c r="BI110" s="173">
        <f>IF(CdTrp1!O77=1,1,IF(CdTrp1!O77=2,2,IF(CdTrp1!O77=3,2,IF(CdTrp1!O77=4,4,0))))</f>
        <v>0</v>
      </c>
      <c r="BJ110" s="173">
        <f>IF(CdTrp1!P77=1,1,IF(CdTrp1!P77=2,2,IF(CdTrp1!P77=3,2,IF(CdTrp1!P77=4,4,0))))</f>
        <v>0</v>
      </c>
      <c r="BK110" s="173">
        <f>IF(CdTrp1!Q77=1,1,IF(CdTrp1!Q77=2,2,IF(CdTrp1!Q77=3,2,IF(CdTrp1!Q77=4,4,0))))</f>
        <v>0</v>
      </c>
      <c r="BL110" s="173">
        <f>IF(CdTrp1!R77=1,1,IF(CdTrp1!R77=2,2,IF(CdTrp1!R77=3,2,IF(CdTrp1!R77=4,4,0))))</f>
        <v>0</v>
      </c>
      <c r="BM110" s="173">
        <f>IF(CdTrp1!S77=1,1,IF(CdTrp1!S77=2,2,IF(CdTrp1!S77=3,2,IF(CdTrp1!S77=4,4,0))))</f>
        <v>0</v>
      </c>
      <c r="BN110" s="173">
        <f>IF(CdTrp1!T77=1,1,IF(CdTrp1!T77=2,2,IF(CdTrp1!T77=3,2,IF(CdTrp1!T77=4,4,0))))</f>
        <v>0</v>
      </c>
      <c r="BO110" s="173">
        <f>IF(CdTrp1!U77=1,1,IF(CdTrp1!U77=2,2,IF(CdTrp1!U77=3,2,IF(CdTrp1!U77=4,4,0))))</f>
        <v>2</v>
      </c>
      <c r="BP110" s="173">
        <f>IF(CdTrp1!V77=1,1,IF(CdTrp1!V77=2,2,IF(CdTrp1!V77=3,2,IF(CdTrp1!V77=4,4,0))))</f>
        <v>2</v>
      </c>
      <c r="BQ110" s="173">
        <f>IF(CdTrp1!W77=1,1,IF(CdTrp1!W77=2,2,IF(CdTrp1!W77=3,2,IF(CdTrp1!W77=4,4,0))))</f>
        <v>2</v>
      </c>
      <c r="BR110" s="173">
        <f>IF(CdTrp1!X77=1,1,IF(CdTrp1!X77=2,2,IF(CdTrp1!X77=3,2,IF(CdTrp1!X77=4,4,0))))</f>
        <v>2</v>
      </c>
      <c r="BS110" s="173">
        <f>IF(CdTrp1!Y77=1,1,IF(CdTrp1!Y77=2,2,IF(CdTrp1!Y77=3,2,IF(CdTrp1!Y77=4,4,0))))</f>
        <v>2</v>
      </c>
      <c r="BU110">
        <v>2</v>
      </c>
      <c r="BV110" t="s">
        <v>782</v>
      </c>
      <c r="BY110" s="17"/>
      <c r="BZ110" s="189" t="str">
        <f t="shared" si="26"/>
        <v>genisses -1an</v>
      </c>
      <c r="CA110" s="32"/>
      <c r="CB110" s="173">
        <f>IF(CdTrp2!B77=1,1,IF(CdTrp2!B77=2,2,IF(CdTrp2!B77=3,2,IF(CdTrp2!B77=4,4,0))))</f>
        <v>0</v>
      </c>
      <c r="CC110" s="173">
        <f>IF(CdTrp2!C77=1,1,IF(CdTrp2!C77=2,2,IF(CdTrp2!C77=3,2,IF(CdTrp2!C77=4,4,0))))</f>
        <v>0</v>
      </c>
      <c r="CD110" s="173">
        <f>IF(CdTrp2!D77=1,1,IF(CdTrp2!D77=2,2,IF(CdTrp2!D77=3,2,IF(CdTrp2!D77=4,4,0))))</f>
        <v>0</v>
      </c>
      <c r="CE110" s="173">
        <f>IF(CdTrp2!E77=1,1,IF(CdTrp2!E77=2,2,IF(CdTrp2!E77=3,2,IF(CdTrp2!E77=4,4,0))))</f>
        <v>0</v>
      </c>
      <c r="CF110" s="173">
        <f>IF(CdTrp2!F77=1,1,IF(CdTrp2!F77=2,2,IF(CdTrp2!F77=3,2,IF(CdTrp2!F77=4,4,0))))</f>
        <v>0</v>
      </c>
      <c r="CG110" s="173">
        <f>IF(CdTrp2!G77=1,1,IF(CdTrp2!G77=2,2,IF(CdTrp2!G77=3,2,IF(CdTrp2!G77=4,4,0))))</f>
        <v>1</v>
      </c>
      <c r="CH110" s="173">
        <f>IF(CdTrp2!H77=1,1,IF(CdTrp2!H77=2,2,IF(CdTrp2!H77=3,2,IF(CdTrp2!H77=4,4,0))))</f>
        <v>1</v>
      </c>
      <c r="CI110" s="173">
        <f>IF(CdTrp2!I77=1,1,IF(CdTrp2!I77=2,2,IF(CdTrp2!I77=3,2,IF(CdTrp2!I77=4,4,0))))</f>
        <v>1</v>
      </c>
      <c r="CJ110" s="173">
        <f>IF(CdTrp2!J77=1,1,IF(CdTrp2!J77=2,2,IF(CdTrp2!J77=3,2,IF(CdTrp2!J77=4,4,0))))</f>
        <v>1</v>
      </c>
      <c r="CK110" s="173">
        <f>IF(CdTrp2!K77=1,1,IF(CdTrp2!K77=2,2,IF(CdTrp2!K77=3,2,IF(CdTrp2!K77=4,4,0))))</f>
        <v>1</v>
      </c>
      <c r="CL110" s="173">
        <f>IF(CdTrp2!L77=1,1,IF(CdTrp2!L77=2,2,IF(CdTrp2!L77=3,2,IF(CdTrp2!L77=4,4,0))))</f>
        <v>1</v>
      </c>
      <c r="CM110" s="173">
        <f>IF(CdTrp2!M77=1,1,IF(CdTrp2!M77=2,2,IF(CdTrp2!M77=3,2,IF(CdTrp2!M77=4,4,0))))</f>
        <v>1</v>
      </c>
      <c r="CN110" s="173">
        <f>IF(CdTrp2!N77=1,1,IF(CdTrp2!N77=2,2,IF(CdTrp2!N77=3,2,IF(CdTrp2!N77=4,4,0))))</f>
        <v>1</v>
      </c>
      <c r="CO110" s="173">
        <f>IF(CdTrp2!O77=1,1,IF(CdTrp2!O77=2,2,IF(CdTrp2!O77=3,2,IF(CdTrp2!O77=4,4,0))))</f>
        <v>1</v>
      </c>
      <c r="CP110" s="173">
        <f>IF(CdTrp2!P77=1,1,IF(CdTrp2!P77=2,2,IF(CdTrp2!P77=3,2,IF(CdTrp2!P77=4,4,0))))</f>
        <v>1</v>
      </c>
      <c r="CQ110" s="173">
        <f>IF(CdTrp2!Q77=1,1,IF(CdTrp2!Q77=2,2,IF(CdTrp2!Q77=3,2,IF(CdTrp2!Q77=4,4,0))))</f>
        <v>1</v>
      </c>
      <c r="CR110" s="173">
        <f>IF(CdTrp2!R77=1,1,IF(CdTrp2!R77=2,2,IF(CdTrp2!R77=3,2,IF(CdTrp2!R77=4,4,0))))</f>
        <v>1</v>
      </c>
      <c r="CS110" s="173">
        <f>IF(CdTrp2!S77=1,1,IF(CdTrp2!S77=2,2,IF(CdTrp2!S77=3,2,IF(CdTrp2!S77=4,4,0))))</f>
        <v>1</v>
      </c>
      <c r="CT110" s="173">
        <f>IF(CdTrp2!T77=1,1,IF(CdTrp2!T77=2,2,IF(CdTrp2!T77=3,2,IF(CdTrp2!T77=4,4,0))))</f>
        <v>1</v>
      </c>
      <c r="CU110" s="173">
        <f>IF(CdTrp2!U77=1,1,IF(CdTrp2!U77=2,2,IF(CdTrp2!U77=3,2,IF(CdTrp2!U77=4,4,0))))</f>
        <v>1</v>
      </c>
      <c r="CV110" s="173">
        <f>IF(CdTrp2!V77=1,1,IF(CdTrp2!V77=2,2,IF(CdTrp2!V77=3,2,IF(CdTrp2!V77=4,4,0))))</f>
        <v>1</v>
      </c>
      <c r="CW110" s="173">
        <f>IF(CdTrp2!W77=1,1,IF(CdTrp2!W77=2,2,IF(CdTrp2!W77=3,2,IF(CdTrp2!W77=4,4,0))))</f>
        <v>1</v>
      </c>
      <c r="CX110" s="173">
        <f>IF(CdTrp2!X77=1,1,IF(CdTrp2!X77=2,2,IF(CdTrp2!X77=3,2,IF(CdTrp2!X77=4,4,0))))</f>
        <v>0</v>
      </c>
      <c r="CY110" s="173">
        <f>IF(CdTrp2!Y77=1,1,IF(CdTrp2!Y77=2,2,IF(CdTrp2!Y77=3,2,IF(CdTrp2!Y77=4,4,0))))</f>
        <v>0</v>
      </c>
      <c r="DB110" s="17"/>
      <c r="DC110" s="189" t="str">
        <f t="shared" si="27"/>
        <v>lot2</v>
      </c>
      <c r="DD110" s="32"/>
      <c r="DE110" s="173">
        <f>IF(CdTrp3!B77=1,1,IF(CdTrp3!B77=2,2,IF(CdTrp3!B77=3,2,IF(CdTrp3!B77=4,4,0))))</f>
        <v>0</v>
      </c>
      <c r="DF110" s="173">
        <f>IF(CdTrp3!C77=1,1,IF(CdTrp3!C77=2,2,IF(CdTrp3!C77=3,2,IF(CdTrp3!C77=4,4,0))))</f>
        <v>0</v>
      </c>
      <c r="DG110" s="173">
        <f>IF(CdTrp3!D77=1,1,IF(CdTrp3!D77=2,2,IF(CdTrp3!D77=3,2,IF(CdTrp3!D77=4,4,0))))</f>
        <v>0</v>
      </c>
      <c r="DH110" s="173">
        <f>IF(CdTrp3!E77=1,1,IF(CdTrp3!E77=2,2,IF(CdTrp3!E77=3,2,IF(CdTrp3!E77=4,4,0))))</f>
        <v>0</v>
      </c>
      <c r="DI110" s="173">
        <f>IF(CdTrp3!F77=1,1,IF(CdTrp3!F77=2,2,IF(CdTrp3!F77=3,2,IF(CdTrp3!F77=4,4,0))))</f>
        <v>0</v>
      </c>
      <c r="DJ110" s="173">
        <f>IF(CdTrp3!G77=1,1,IF(CdTrp3!G77=2,2,IF(CdTrp3!G77=3,2,IF(CdTrp3!G77=4,4,0))))</f>
        <v>0</v>
      </c>
      <c r="DK110" s="173">
        <f>IF(CdTrp3!H77=1,1,IF(CdTrp3!H77=2,2,IF(CdTrp3!H77=3,2,IF(CdTrp3!H77=4,4,0))))</f>
        <v>0</v>
      </c>
      <c r="DL110" s="173">
        <f>IF(CdTrp3!I77=1,1,IF(CdTrp3!I77=2,2,IF(CdTrp3!I77=3,2,IF(CdTrp3!I77=4,4,0))))</f>
        <v>0</v>
      </c>
      <c r="DM110" s="173">
        <f>IF(CdTrp3!J77=1,1,IF(CdTrp3!J77=2,2,IF(CdTrp3!J77=3,2,IF(CdTrp3!J77=4,4,0))))</f>
        <v>0</v>
      </c>
      <c r="DN110" s="173">
        <f>IF(CdTrp3!K77=1,1,IF(CdTrp3!K77=2,2,IF(CdTrp3!K77=3,2,IF(CdTrp3!K77=4,4,0))))</f>
        <v>0</v>
      </c>
      <c r="DO110" s="173">
        <f>IF(CdTrp3!L77=1,1,IF(CdTrp3!L77=2,2,IF(CdTrp3!L77=3,2,IF(CdTrp3!L77=4,4,0))))</f>
        <v>0</v>
      </c>
      <c r="DP110" s="173">
        <f>IF(CdTrp3!M77=1,1,IF(CdTrp3!M77=2,2,IF(CdTrp3!M77=3,2,IF(CdTrp3!M77=4,4,0))))</f>
        <v>0</v>
      </c>
      <c r="DQ110" s="173">
        <f>IF(CdTrp3!N77=1,1,IF(CdTrp3!N77=2,2,IF(CdTrp3!N77=3,2,IF(CdTrp3!N77=4,4,0))))</f>
        <v>0</v>
      </c>
      <c r="DR110" s="173">
        <f>IF(CdTrp3!O77=1,1,IF(CdTrp3!O77=2,2,IF(CdTrp3!O77=3,2,IF(CdTrp3!O77=4,4,0))))</f>
        <v>0</v>
      </c>
      <c r="DS110" s="173">
        <f>IF(CdTrp3!P77=1,1,IF(CdTrp3!P77=2,2,IF(CdTrp3!P77=3,2,IF(CdTrp3!P77=4,4,0))))</f>
        <v>0</v>
      </c>
      <c r="DT110" s="173">
        <f>IF(CdTrp3!Q77=1,1,IF(CdTrp3!Q77=2,2,IF(CdTrp3!Q77=3,2,IF(CdTrp3!Q77=4,4,0))))</f>
        <v>0</v>
      </c>
      <c r="DU110" s="173">
        <f>IF(CdTrp3!R77=1,1,IF(CdTrp3!R77=2,2,IF(CdTrp3!R77=3,2,IF(CdTrp3!R77=4,4,0))))</f>
        <v>0</v>
      </c>
      <c r="DV110" s="173">
        <f>IF(CdTrp3!S77=1,1,IF(CdTrp3!S77=2,2,IF(CdTrp3!S77=3,2,IF(CdTrp3!S77=4,4,0))))</f>
        <v>0</v>
      </c>
      <c r="DW110" s="173">
        <f>IF(CdTrp3!T77=1,1,IF(CdTrp3!T77=2,2,IF(CdTrp3!T77=3,2,IF(CdTrp3!T77=4,4,0))))</f>
        <v>0</v>
      </c>
      <c r="DX110" s="173">
        <f>IF(CdTrp3!U77=1,1,IF(CdTrp3!U77=2,2,IF(CdTrp3!U77=3,2,IF(CdTrp3!U77=4,4,0))))</f>
        <v>0</v>
      </c>
      <c r="DY110" s="173">
        <f>IF(CdTrp3!V77=1,1,IF(CdTrp3!V77=2,2,IF(CdTrp3!V77=3,2,IF(CdTrp3!V77=4,4,0))))</f>
        <v>0</v>
      </c>
      <c r="DZ110" s="173">
        <f>IF(CdTrp3!W77=1,1,IF(CdTrp3!W77=2,2,IF(CdTrp3!W77=3,2,IF(CdTrp3!W77=4,4,0))))</f>
        <v>0</v>
      </c>
      <c r="EA110" s="173">
        <f>IF(CdTrp3!X77=1,1,IF(CdTrp3!X77=2,2,IF(CdTrp3!X77=3,2,IF(CdTrp3!X77=4,4,0))))</f>
        <v>0</v>
      </c>
      <c r="EB110" s="173">
        <f>IF(CdTrp3!Y77=1,1,IF(CdTrp3!Y77=2,2,IF(CdTrp3!Y77=3,2,IF(CdTrp3!Y77=4,4,0))))</f>
        <v>0</v>
      </c>
    </row>
    <row r="111" spans="1:132" x14ac:dyDescent="0.25">
      <c r="B111" s="14" t="s">
        <v>1195</v>
      </c>
      <c r="C111" s="173">
        <f>COUNTIF($H$105:$AE$114,1)/2</f>
        <v>12.5</v>
      </c>
      <c r="D111" s="173">
        <f t="shared" si="25"/>
        <v>12.5</v>
      </c>
      <c r="F111" s="14"/>
      <c r="G111" s="186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9" t="str">
        <f t="shared" si="28"/>
        <v>agnelles</v>
      </c>
      <c r="AU111" s="32"/>
      <c r="AV111" s="173">
        <f>IF(CdTrp1!B78=1,1,IF(CdTrp1!B78=2,2,IF(CdTrp1!B78=3,2,IF(CdTrp1!B78=4,4,0))))</f>
        <v>0</v>
      </c>
      <c r="AW111" s="173">
        <f>IF(CdTrp1!C78=1,1,IF(CdTrp1!C78=2,2,IF(CdTrp1!C78=3,2,IF(CdTrp1!C78=4,4,0))))</f>
        <v>0</v>
      </c>
      <c r="AX111" s="173">
        <f>IF(CdTrp1!D78=1,1,IF(CdTrp1!D78=2,2,IF(CdTrp1!D78=3,2,IF(CdTrp1!D78=4,4,0))))</f>
        <v>1</v>
      </c>
      <c r="AY111" s="173">
        <f>IF(CdTrp1!E78=1,1,IF(CdTrp1!E78=2,2,IF(CdTrp1!E78=3,2,IF(CdTrp1!E78=4,4,0))))</f>
        <v>1</v>
      </c>
      <c r="AZ111" s="173">
        <f>IF(CdTrp1!F78=1,1,IF(CdTrp1!F78=2,2,IF(CdTrp1!F78=3,2,IF(CdTrp1!F78=4,4,0))))</f>
        <v>1</v>
      </c>
      <c r="BA111" s="173">
        <f>IF(CdTrp1!G78=1,1,IF(CdTrp1!G78=2,2,IF(CdTrp1!G78=3,2,IF(CdTrp1!G78=4,4,0))))</f>
        <v>1</v>
      </c>
      <c r="BB111" s="173">
        <f>IF(CdTrp1!H78=1,1,IF(CdTrp1!H78=2,2,IF(CdTrp1!H78=3,2,IF(CdTrp1!H78=4,4,0))))</f>
        <v>1</v>
      </c>
      <c r="BC111" s="173">
        <f>IF(CdTrp1!I78=1,1,IF(CdTrp1!I78=2,2,IF(CdTrp1!I78=3,2,IF(CdTrp1!I78=4,4,0))))</f>
        <v>1</v>
      </c>
      <c r="BD111" s="173">
        <f>IF(CdTrp1!J78=1,1,IF(CdTrp1!J78=2,2,IF(CdTrp1!J78=3,2,IF(CdTrp1!J78=4,4,0))))</f>
        <v>1</v>
      </c>
      <c r="BE111" s="173">
        <f>IF(CdTrp1!K78=1,1,IF(CdTrp1!K78=2,2,IF(CdTrp1!K78=3,2,IF(CdTrp1!K78=4,4,0))))</f>
        <v>1</v>
      </c>
      <c r="BF111" s="173">
        <f>IF(CdTrp1!L78=1,1,IF(CdTrp1!L78=2,2,IF(CdTrp1!L78=3,2,IF(CdTrp1!L78=4,4,0))))</f>
        <v>1</v>
      </c>
      <c r="BG111" s="173">
        <f>IF(CdTrp1!M78=1,1,IF(CdTrp1!M78=2,2,IF(CdTrp1!M78=3,2,IF(CdTrp1!M78=4,4,0))))</f>
        <v>1</v>
      </c>
      <c r="BH111" s="173">
        <f>IF(CdTrp1!N78=1,1,IF(CdTrp1!N78=2,2,IF(CdTrp1!N78=3,2,IF(CdTrp1!N78=4,4,0))))</f>
        <v>1</v>
      </c>
      <c r="BI111" s="173">
        <f>IF(CdTrp1!O78=1,1,IF(CdTrp1!O78=2,2,IF(CdTrp1!O78=3,2,IF(CdTrp1!O78=4,4,0))))</f>
        <v>1</v>
      </c>
      <c r="BJ111" s="173">
        <f>IF(CdTrp1!P78=1,1,IF(CdTrp1!P78=2,2,IF(CdTrp1!P78=3,2,IF(CdTrp1!P78=4,4,0))))</f>
        <v>1</v>
      </c>
      <c r="BK111" s="173">
        <f>IF(CdTrp1!Q78=1,1,IF(CdTrp1!Q78=2,2,IF(CdTrp1!Q78=3,2,IF(CdTrp1!Q78=4,4,0))))</f>
        <v>1</v>
      </c>
      <c r="BL111" s="173">
        <f>IF(CdTrp1!R78=1,1,IF(CdTrp1!R78=2,2,IF(CdTrp1!R78=3,2,IF(CdTrp1!R78=4,4,0))))</f>
        <v>1</v>
      </c>
      <c r="BM111" s="173">
        <f>IF(CdTrp1!S78=1,1,IF(CdTrp1!S78=2,2,IF(CdTrp1!S78=3,2,IF(CdTrp1!S78=4,4,0))))</f>
        <v>1</v>
      </c>
      <c r="BN111" s="173">
        <f>IF(CdTrp1!T78=1,1,IF(CdTrp1!T78=2,2,IF(CdTrp1!T78=3,2,IF(CdTrp1!T78=4,4,0))))</f>
        <v>1</v>
      </c>
      <c r="BO111" s="173">
        <f>IF(CdTrp1!U78=1,1,IF(CdTrp1!U78=2,2,IF(CdTrp1!U78=3,2,IF(CdTrp1!U78=4,4,0))))</f>
        <v>0</v>
      </c>
      <c r="BP111" s="173">
        <f>IF(CdTrp1!V78=1,1,IF(CdTrp1!V78=2,2,IF(CdTrp1!V78=3,2,IF(CdTrp1!V78=4,4,0))))</f>
        <v>0</v>
      </c>
      <c r="BQ111" s="173">
        <f>IF(CdTrp1!W78=1,1,IF(CdTrp1!W78=2,2,IF(CdTrp1!W78=3,2,IF(CdTrp1!W78=4,4,0))))</f>
        <v>0</v>
      </c>
      <c r="BR111" s="173">
        <f>IF(CdTrp1!X78=1,1,IF(CdTrp1!X78=2,2,IF(CdTrp1!X78=3,2,IF(CdTrp1!X78=4,4,0))))</f>
        <v>0</v>
      </c>
      <c r="BS111" s="173">
        <f>IF(CdTrp1!Y78=1,1,IF(CdTrp1!Y78=2,2,IF(CdTrp1!Y78=3,2,IF(CdTrp1!Y78=4,4,0))))</f>
        <v>0</v>
      </c>
      <c r="BU111" s="196">
        <v>4</v>
      </c>
      <c r="BV111" t="s">
        <v>784</v>
      </c>
      <c r="BZ111" s="189" t="str">
        <f t="shared" si="26"/>
        <v>genisses +1an</v>
      </c>
      <c r="CA111" s="32"/>
      <c r="CB111" s="173">
        <f>IF(CdTrp2!B78=1,1,IF(CdTrp2!B78=2,2,IF(CdTrp2!B78=3,2,IF(CdTrp2!B78=4,4,0))))</f>
        <v>0</v>
      </c>
      <c r="CC111" s="173">
        <f>IF(CdTrp2!C78=1,1,IF(CdTrp2!C78=2,2,IF(CdTrp2!C78=3,2,IF(CdTrp2!C78=4,4,0))))</f>
        <v>0</v>
      </c>
      <c r="CD111" s="173">
        <f>IF(CdTrp2!D78=1,1,IF(CdTrp2!D78=2,2,IF(CdTrp2!D78=3,2,IF(CdTrp2!D78=4,4,0))))</f>
        <v>2</v>
      </c>
      <c r="CE111" s="173">
        <f>IF(CdTrp2!E78=1,1,IF(CdTrp2!E78=2,2,IF(CdTrp2!E78=3,2,IF(CdTrp2!E78=4,4,0))))</f>
        <v>2</v>
      </c>
      <c r="CF111" s="173">
        <f>IF(CdTrp2!F78=1,1,IF(CdTrp2!F78=2,2,IF(CdTrp2!F78=3,2,IF(CdTrp2!F78=4,4,0))))</f>
        <v>2</v>
      </c>
      <c r="CG111" s="173">
        <f>IF(CdTrp2!G78=1,1,IF(CdTrp2!G78=2,2,IF(CdTrp2!G78=3,2,IF(CdTrp2!G78=4,4,0))))</f>
        <v>2</v>
      </c>
      <c r="CH111" s="173">
        <f>IF(CdTrp2!H78=1,1,IF(CdTrp2!H78=2,2,IF(CdTrp2!H78=3,2,IF(CdTrp2!H78=4,4,0))))</f>
        <v>2</v>
      </c>
      <c r="CI111" s="173">
        <f>IF(CdTrp2!I78=1,1,IF(CdTrp2!I78=2,2,IF(CdTrp2!I78=3,2,IF(CdTrp2!I78=4,4,0))))</f>
        <v>2</v>
      </c>
      <c r="CJ111" s="173">
        <f>IF(CdTrp2!J78=1,1,IF(CdTrp2!J78=2,2,IF(CdTrp2!J78=3,2,IF(CdTrp2!J78=4,4,0))))</f>
        <v>2</v>
      </c>
      <c r="CK111" s="173">
        <f>IF(CdTrp2!K78=1,1,IF(CdTrp2!K78=2,2,IF(CdTrp2!K78=3,2,IF(CdTrp2!K78=4,4,0))))</f>
        <v>2</v>
      </c>
      <c r="CL111" s="173">
        <f>IF(CdTrp2!L78=1,1,IF(CdTrp2!L78=2,2,IF(CdTrp2!L78=3,2,IF(CdTrp2!L78=4,4,0))))</f>
        <v>2</v>
      </c>
      <c r="CM111" s="173">
        <f>IF(CdTrp2!M78=1,1,IF(CdTrp2!M78=2,2,IF(CdTrp2!M78=3,2,IF(CdTrp2!M78=4,4,0))))</f>
        <v>2</v>
      </c>
      <c r="CN111" s="173">
        <f>IF(CdTrp2!N78=1,1,IF(CdTrp2!N78=2,2,IF(CdTrp2!N78=3,2,IF(CdTrp2!N78=4,4,0))))</f>
        <v>2</v>
      </c>
      <c r="CO111" s="173">
        <f>IF(CdTrp2!O78=1,1,IF(CdTrp2!O78=2,2,IF(CdTrp2!O78=3,2,IF(CdTrp2!O78=4,4,0))))</f>
        <v>2</v>
      </c>
      <c r="CP111" s="173">
        <f>IF(CdTrp2!P78=1,1,IF(CdTrp2!P78=2,2,IF(CdTrp2!P78=3,2,IF(CdTrp2!P78=4,4,0))))</f>
        <v>2</v>
      </c>
      <c r="CQ111" s="173">
        <f>IF(CdTrp2!Q78=1,1,IF(CdTrp2!Q78=2,2,IF(CdTrp2!Q78=3,2,IF(CdTrp2!Q78=4,4,0))))</f>
        <v>2</v>
      </c>
      <c r="CR111" s="173">
        <f>IF(CdTrp2!R78=1,1,IF(CdTrp2!R78=2,2,IF(CdTrp2!R78=3,2,IF(CdTrp2!R78=4,4,0))))</f>
        <v>2</v>
      </c>
      <c r="CS111" s="173">
        <f>IF(CdTrp2!S78=1,1,IF(CdTrp2!S78=2,2,IF(CdTrp2!S78=3,2,IF(CdTrp2!S78=4,4,0))))</f>
        <v>2</v>
      </c>
      <c r="CT111" s="173">
        <f>IF(CdTrp2!T78=1,1,IF(CdTrp2!T78=2,2,IF(CdTrp2!T78=3,2,IF(CdTrp2!T78=4,4,0))))</f>
        <v>2</v>
      </c>
      <c r="CU111" s="173">
        <f>IF(CdTrp2!U78=1,1,IF(CdTrp2!U78=2,2,IF(CdTrp2!U78=3,2,IF(CdTrp2!U78=4,4,0))))</f>
        <v>1</v>
      </c>
      <c r="CV111" s="173">
        <f>IF(CdTrp2!V78=1,1,IF(CdTrp2!V78=2,2,IF(CdTrp2!V78=3,2,IF(CdTrp2!V78=4,4,0))))</f>
        <v>1</v>
      </c>
      <c r="CW111" s="173">
        <f>IF(CdTrp2!W78=1,1,IF(CdTrp2!W78=2,2,IF(CdTrp2!W78=3,2,IF(CdTrp2!W78=4,4,0))))</f>
        <v>1</v>
      </c>
      <c r="CX111" s="173">
        <f>IF(CdTrp2!X78=1,1,IF(CdTrp2!X78=2,2,IF(CdTrp2!X78=3,2,IF(CdTrp2!X78=4,4,0))))</f>
        <v>0</v>
      </c>
      <c r="CY111" s="173">
        <f>IF(CdTrp2!Y78=1,1,IF(CdTrp2!Y78=2,2,IF(CdTrp2!Y78=3,2,IF(CdTrp2!Y78=4,4,0))))</f>
        <v>0</v>
      </c>
      <c r="DC111" s="189" t="str">
        <f t="shared" si="27"/>
        <v>lot3</v>
      </c>
      <c r="DD111" s="32"/>
      <c r="DE111" s="173">
        <f>IF(CdTrp3!B78=1,1,IF(CdTrp3!B78=2,2,IF(CdTrp3!B78=3,2,IF(CdTrp3!B78=4,4,0))))</f>
        <v>0</v>
      </c>
      <c r="DF111" s="173">
        <f>IF(CdTrp3!C78=1,1,IF(CdTrp3!C78=2,2,IF(CdTrp3!C78=3,2,IF(CdTrp3!C78=4,4,0))))</f>
        <v>0</v>
      </c>
      <c r="DG111" s="173">
        <f>IF(CdTrp3!D78=1,1,IF(CdTrp3!D78=2,2,IF(CdTrp3!D78=3,2,IF(CdTrp3!D78=4,4,0))))</f>
        <v>0</v>
      </c>
      <c r="DH111" s="173">
        <f>IF(CdTrp3!E78=1,1,IF(CdTrp3!E78=2,2,IF(CdTrp3!E78=3,2,IF(CdTrp3!E78=4,4,0))))</f>
        <v>0</v>
      </c>
      <c r="DI111" s="173">
        <f>IF(CdTrp3!F78=1,1,IF(CdTrp3!F78=2,2,IF(CdTrp3!F78=3,2,IF(CdTrp3!F78=4,4,0))))</f>
        <v>0</v>
      </c>
      <c r="DJ111" s="173">
        <f>IF(CdTrp3!G78=1,1,IF(CdTrp3!G78=2,2,IF(CdTrp3!G78=3,2,IF(CdTrp3!G78=4,4,0))))</f>
        <v>0</v>
      </c>
      <c r="DK111" s="173">
        <f>IF(CdTrp3!H78=1,1,IF(CdTrp3!H78=2,2,IF(CdTrp3!H78=3,2,IF(CdTrp3!H78=4,4,0))))</f>
        <v>0</v>
      </c>
      <c r="DL111" s="173">
        <f>IF(CdTrp3!I78=1,1,IF(CdTrp3!I78=2,2,IF(CdTrp3!I78=3,2,IF(CdTrp3!I78=4,4,0))))</f>
        <v>0</v>
      </c>
      <c r="DM111" s="173">
        <f>IF(CdTrp3!J78=1,1,IF(CdTrp3!J78=2,2,IF(CdTrp3!J78=3,2,IF(CdTrp3!J78=4,4,0))))</f>
        <v>0</v>
      </c>
      <c r="DN111" s="173">
        <f>IF(CdTrp3!K78=1,1,IF(CdTrp3!K78=2,2,IF(CdTrp3!K78=3,2,IF(CdTrp3!K78=4,4,0))))</f>
        <v>0</v>
      </c>
      <c r="DO111" s="173">
        <f>IF(CdTrp3!L78=1,1,IF(CdTrp3!L78=2,2,IF(CdTrp3!L78=3,2,IF(CdTrp3!L78=4,4,0))))</f>
        <v>0</v>
      </c>
      <c r="DP111" s="173">
        <f>IF(CdTrp3!M78=1,1,IF(CdTrp3!M78=2,2,IF(CdTrp3!M78=3,2,IF(CdTrp3!M78=4,4,0))))</f>
        <v>0</v>
      </c>
      <c r="DQ111" s="173">
        <f>IF(CdTrp3!N78=1,1,IF(CdTrp3!N78=2,2,IF(CdTrp3!N78=3,2,IF(CdTrp3!N78=4,4,0))))</f>
        <v>0</v>
      </c>
      <c r="DR111" s="173">
        <f>IF(CdTrp3!O78=1,1,IF(CdTrp3!O78=2,2,IF(CdTrp3!O78=3,2,IF(CdTrp3!O78=4,4,0))))</f>
        <v>0</v>
      </c>
      <c r="DS111" s="173">
        <f>IF(CdTrp3!P78=1,1,IF(CdTrp3!P78=2,2,IF(CdTrp3!P78=3,2,IF(CdTrp3!P78=4,4,0))))</f>
        <v>0</v>
      </c>
      <c r="DT111" s="173">
        <f>IF(CdTrp3!Q78=1,1,IF(CdTrp3!Q78=2,2,IF(CdTrp3!Q78=3,2,IF(CdTrp3!Q78=4,4,0))))</f>
        <v>0</v>
      </c>
      <c r="DU111" s="173">
        <f>IF(CdTrp3!R78=1,1,IF(CdTrp3!R78=2,2,IF(CdTrp3!R78=3,2,IF(CdTrp3!R78=4,4,0))))</f>
        <v>0</v>
      </c>
      <c r="DV111" s="173">
        <f>IF(CdTrp3!S78=1,1,IF(CdTrp3!S78=2,2,IF(CdTrp3!S78=3,2,IF(CdTrp3!S78=4,4,0))))</f>
        <v>0</v>
      </c>
      <c r="DW111" s="173">
        <f>IF(CdTrp3!T78=1,1,IF(CdTrp3!T78=2,2,IF(CdTrp3!T78=3,2,IF(CdTrp3!T78=4,4,0))))</f>
        <v>0</v>
      </c>
      <c r="DX111" s="173">
        <f>IF(CdTrp3!U78=1,1,IF(CdTrp3!U78=2,2,IF(CdTrp3!U78=3,2,IF(CdTrp3!U78=4,4,0))))</f>
        <v>0</v>
      </c>
      <c r="DY111" s="173">
        <f>IF(CdTrp3!V78=1,1,IF(CdTrp3!V78=2,2,IF(CdTrp3!V78=3,2,IF(CdTrp3!V78=4,4,0))))</f>
        <v>0</v>
      </c>
      <c r="DZ111" s="173">
        <f>IF(CdTrp3!W78=1,1,IF(CdTrp3!W78=2,2,IF(CdTrp3!W78=3,2,IF(CdTrp3!W78=4,4,0))))</f>
        <v>0</v>
      </c>
      <c r="EA111" s="173">
        <f>IF(CdTrp3!X78=1,1,IF(CdTrp3!X78=2,2,IF(CdTrp3!X78=3,2,IF(CdTrp3!X78=4,4,0))))</f>
        <v>0</v>
      </c>
      <c r="EB111" s="173">
        <f>IF(CdTrp3!Y78=1,1,IF(CdTrp3!Y78=2,2,IF(CdTrp3!Y78=3,2,IF(CdTrp3!Y78=4,4,0))))</f>
        <v>0</v>
      </c>
    </row>
    <row r="112" spans="1:132" x14ac:dyDescent="0.25">
      <c r="B112" s="14" t="s">
        <v>1196</v>
      </c>
      <c r="C112" s="173">
        <f>COUNTIF($H$116:$AE$125,1)/2</f>
        <v>0</v>
      </c>
      <c r="D112" s="173">
        <f t="shared" si="25"/>
        <v>0</v>
      </c>
      <c r="F112" s="14"/>
      <c r="G112" s="186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9" t="str">
        <f t="shared" si="28"/>
        <v>beliers</v>
      </c>
      <c r="AU112" s="32"/>
      <c r="AV112" s="173">
        <f>IF(CdTrp1!B79=1,1,IF(CdTrp1!B79=2,2,IF(CdTrp1!B79=3,2,IF(CdTrp1!B79=4,4,0))))</f>
        <v>2</v>
      </c>
      <c r="AW112" s="173">
        <f>IF(CdTrp1!C79=1,1,IF(CdTrp1!C79=2,2,IF(CdTrp1!C79=3,2,IF(CdTrp1!C79=4,4,0))))</f>
        <v>2</v>
      </c>
      <c r="AX112" s="173">
        <f>IF(CdTrp1!D79=1,1,IF(CdTrp1!D79=2,2,IF(CdTrp1!D79=3,2,IF(CdTrp1!D79=4,4,0))))</f>
        <v>2</v>
      </c>
      <c r="AY112" s="173">
        <f>IF(CdTrp1!E79=1,1,IF(CdTrp1!E79=2,2,IF(CdTrp1!E79=3,2,IF(CdTrp1!E79=4,4,0))))</f>
        <v>2</v>
      </c>
      <c r="AZ112" s="173">
        <f>IF(CdTrp1!F79=1,1,IF(CdTrp1!F79=2,2,IF(CdTrp1!F79=3,2,IF(CdTrp1!F79=4,4,0))))</f>
        <v>2</v>
      </c>
      <c r="BA112" s="173">
        <f>IF(CdTrp1!G79=1,1,IF(CdTrp1!G79=2,2,IF(CdTrp1!G79=3,2,IF(CdTrp1!G79=4,4,0))))</f>
        <v>2</v>
      </c>
      <c r="BB112" s="173">
        <f>IF(CdTrp1!H79=1,1,IF(CdTrp1!H79=2,2,IF(CdTrp1!H79=3,2,IF(CdTrp1!H79=4,4,0))))</f>
        <v>2</v>
      </c>
      <c r="BC112" s="173">
        <f>IF(CdTrp1!I79=1,1,IF(CdTrp1!I79=2,2,IF(CdTrp1!I79=3,2,IF(CdTrp1!I79=4,4,0))))</f>
        <v>2</v>
      </c>
      <c r="BD112" s="173">
        <f>IF(CdTrp1!J79=1,1,IF(CdTrp1!J79=2,2,IF(CdTrp1!J79=3,2,IF(CdTrp1!J79=4,4,0))))</f>
        <v>1</v>
      </c>
      <c r="BE112" s="173">
        <f>IF(CdTrp1!K79=1,1,IF(CdTrp1!K79=2,2,IF(CdTrp1!K79=3,2,IF(CdTrp1!K79=4,4,0))))</f>
        <v>0</v>
      </c>
      <c r="BF112" s="173">
        <f>IF(CdTrp1!L79=1,1,IF(CdTrp1!L79=2,2,IF(CdTrp1!L79=3,2,IF(CdTrp1!L79=4,4,0))))</f>
        <v>0</v>
      </c>
      <c r="BG112" s="173">
        <f>IF(CdTrp1!M79=1,1,IF(CdTrp1!M79=2,2,IF(CdTrp1!M79=3,2,IF(CdTrp1!M79=4,4,0))))</f>
        <v>0</v>
      </c>
      <c r="BH112" s="173">
        <f>IF(CdTrp1!N79=1,1,IF(CdTrp1!N79=2,2,IF(CdTrp1!N79=3,2,IF(CdTrp1!N79=4,4,0))))</f>
        <v>0</v>
      </c>
      <c r="BI112" s="173">
        <f>IF(CdTrp1!O79=1,1,IF(CdTrp1!O79=2,2,IF(CdTrp1!O79=3,2,IF(CdTrp1!O79=4,4,0))))</f>
        <v>0</v>
      </c>
      <c r="BJ112" s="173">
        <f>IF(CdTrp1!P79=1,1,IF(CdTrp1!P79=2,2,IF(CdTrp1!P79=3,2,IF(CdTrp1!P79=4,4,0))))</f>
        <v>0</v>
      </c>
      <c r="BK112" s="173">
        <f>IF(CdTrp1!Q79=1,1,IF(CdTrp1!Q79=2,2,IF(CdTrp1!Q79=3,2,IF(CdTrp1!Q79=4,4,0))))</f>
        <v>0</v>
      </c>
      <c r="BL112" s="173">
        <f>IF(CdTrp1!R79=1,1,IF(CdTrp1!R79=2,2,IF(CdTrp1!R79=3,2,IF(CdTrp1!R79=4,4,0))))</f>
        <v>0</v>
      </c>
      <c r="BM112" s="173">
        <f>IF(CdTrp1!S79=1,1,IF(CdTrp1!S79=2,2,IF(CdTrp1!S79=3,2,IF(CdTrp1!S79=4,4,0))))</f>
        <v>0</v>
      </c>
      <c r="BN112" s="173">
        <f>IF(CdTrp1!T79=1,1,IF(CdTrp1!T79=2,2,IF(CdTrp1!T79=3,2,IF(CdTrp1!T79=4,4,0))))</f>
        <v>0</v>
      </c>
      <c r="BO112" s="173">
        <f>IF(CdTrp1!U79=1,1,IF(CdTrp1!U79=2,2,IF(CdTrp1!U79=3,2,IF(CdTrp1!U79=4,4,0))))</f>
        <v>2</v>
      </c>
      <c r="BP112" s="173">
        <f>IF(CdTrp1!V79=1,1,IF(CdTrp1!V79=2,2,IF(CdTrp1!V79=3,2,IF(CdTrp1!V79=4,4,0))))</f>
        <v>2</v>
      </c>
      <c r="BQ112" s="173">
        <f>IF(CdTrp1!W79=1,1,IF(CdTrp1!W79=2,2,IF(CdTrp1!W79=3,2,IF(CdTrp1!W79=4,4,0))))</f>
        <v>2</v>
      </c>
      <c r="BR112" s="173">
        <f>IF(CdTrp1!X79=1,1,IF(CdTrp1!X79=2,2,IF(CdTrp1!X79=3,2,IF(CdTrp1!X79=4,4,0))))</f>
        <v>2</v>
      </c>
      <c r="BS112" s="173">
        <f>IF(CdTrp1!Y79=1,1,IF(CdTrp1!Y79=2,2,IF(CdTrp1!Y79=3,2,IF(CdTrp1!Y79=4,4,0))))</f>
        <v>2</v>
      </c>
      <c r="BU112">
        <v>0</v>
      </c>
      <c r="BV112" t="s">
        <v>786</v>
      </c>
      <c r="BZ112" s="189" t="str">
        <f t="shared" si="26"/>
        <v>lot4</v>
      </c>
      <c r="CA112" s="32"/>
      <c r="CB112" s="173">
        <f>IF(CdTrp2!B79=1,1,IF(CdTrp2!B79=2,2,IF(CdTrp2!B79=3,2,IF(CdTrp2!B79=4,4,0))))</f>
        <v>0</v>
      </c>
      <c r="CC112" s="173">
        <f>IF(CdTrp2!C79=1,1,IF(CdTrp2!C79=2,2,IF(CdTrp2!C79=3,2,IF(CdTrp2!C79=4,4,0))))</f>
        <v>0</v>
      </c>
      <c r="CD112" s="173">
        <f>IF(CdTrp2!D79=1,1,IF(CdTrp2!D79=2,2,IF(CdTrp2!D79=3,2,IF(CdTrp2!D79=4,4,0))))</f>
        <v>0</v>
      </c>
      <c r="CE112" s="173">
        <f>IF(CdTrp2!E79=1,1,IF(CdTrp2!E79=2,2,IF(CdTrp2!E79=3,2,IF(CdTrp2!E79=4,4,0))))</f>
        <v>0</v>
      </c>
      <c r="CF112" s="173">
        <f>IF(CdTrp2!F79=1,1,IF(CdTrp2!F79=2,2,IF(CdTrp2!F79=3,2,IF(CdTrp2!F79=4,4,0))))</f>
        <v>0</v>
      </c>
      <c r="CG112" s="173">
        <f>IF(CdTrp2!G79=1,1,IF(CdTrp2!G79=2,2,IF(CdTrp2!G79=3,2,IF(CdTrp2!G79=4,4,0))))</f>
        <v>0</v>
      </c>
      <c r="CH112" s="173">
        <f>IF(CdTrp2!H79=1,1,IF(CdTrp2!H79=2,2,IF(CdTrp2!H79=3,2,IF(CdTrp2!H79=4,4,0))))</f>
        <v>0</v>
      </c>
      <c r="CI112" s="173">
        <f>IF(CdTrp2!I79=1,1,IF(CdTrp2!I79=2,2,IF(CdTrp2!I79=3,2,IF(CdTrp2!I79=4,4,0))))</f>
        <v>0</v>
      </c>
      <c r="CJ112" s="173">
        <f>IF(CdTrp2!J79=1,1,IF(CdTrp2!J79=2,2,IF(CdTrp2!J79=3,2,IF(CdTrp2!J79=4,4,0))))</f>
        <v>0</v>
      </c>
      <c r="CK112" s="173">
        <f>IF(CdTrp2!K79=1,1,IF(CdTrp2!K79=2,2,IF(CdTrp2!K79=3,2,IF(CdTrp2!K79=4,4,0))))</f>
        <v>0</v>
      </c>
      <c r="CL112" s="173">
        <f>IF(CdTrp2!L79=1,1,IF(CdTrp2!L79=2,2,IF(CdTrp2!L79=3,2,IF(CdTrp2!L79=4,4,0))))</f>
        <v>0</v>
      </c>
      <c r="CM112" s="173">
        <f>IF(CdTrp2!M79=1,1,IF(CdTrp2!M79=2,2,IF(CdTrp2!M79=3,2,IF(CdTrp2!M79=4,4,0))))</f>
        <v>0</v>
      </c>
      <c r="CN112" s="173">
        <f>IF(CdTrp2!N79=1,1,IF(CdTrp2!N79=2,2,IF(CdTrp2!N79=3,2,IF(CdTrp2!N79=4,4,0))))</f>
        <v>0</v>
      </c>
      <c r="CO112" s="173">
        <f>IF(CdTrp2!O79=1,1,IF(CdTrp2!O79=2,2,IF(CdTrp2!O79=3,2,IF(CdTrp2!O79=4,4,0))))</f>
        <v>0</v>
      </c>
      <c r="CP112" s="173">
        <f>IF(CdTrp2!P79=1,1,IF(CdTrp2!P79=2,2,IF(CdTrp2!P79=3,2,IF(CdTrp2!P79=4,4,0))))</f>
        <v>0</v>
      </c>
      <c r="CQ112" s="173">
        <f>IF(CdTrp2!Q79=1,1,IF(CdTrp2!Q79=2,2,IF(CdTrp2!Q79=3,2,IF(CdTrp2!Q79=4,4,0))))</f>
        <v>0</v>
      </c>
      <c r="CR112" s="173">
        <f>IF(CdTrp2!R79=1,1,IF(CdTrp2!R79=2,2,IF(CdTrp2!R79=3,2,IF(CdTrp2!R79=4,4,0))))</f>
        <v>0</v>
      </c>
      <c r="CS112" s="173">
        <f>IF(CdTrp2!S79=1,1,IF(CdTrp2!S79=2,2,IF(CdTrp2!S79=3,2,IF(CdTrp2!S79=4,4,0))))</f>
        <v>0</v>
      </c>
      <c r="CT112" s="173">
        <f>IF(CdTrp2!T79=1,1,IF(CdTrp2!T79=2,2,IF(CdTrp2!T79=3,2,IF(CdTrp2!T79=4,4,0))))</f>
        <v>0</v>
      </c>
      <c r="CU112" s="173">
        <f>IF(CdTrp2!U79=1,1,IF(CdTrp2!U79=2,2,IF(CdTrp2!U79=3,2,IF(CdTrp2!U79=4,4,0))))</f>
        <v>0</v>
      </c>
      <c r="CV112" s="173">
        <f>IF(CdTrp2!V79=1,1,IF(CdTrp2!V79=2,2,IF(CdTrp2!V79=3,2,IF(CdTrp2!V79=4,4,0))))</f>
        <v>0</v>
      </c>
      <c r="CW112" s="173">
        <f>IF(CdTrp2!W79=1,1,IF(CdTrp2!W79=2,2,IF(CdTrp2!W79=3,2,IF(CdTrp2!W79=4,4,0))))</f>
        <v>0</v>
      </c>
      <c r="CX112" s="173">
        <f>IF(CdTrp2!X79=1,1,IF(CdTrp2!X79=2,2,IF(CdTrp2!X79=3,2,IF(CdTrp2!X79=4,4,0))))</f>
        <v>0</v>
      </c>
      <c r="CY112" s="173">
        <f>IF(CdTrp2!Y79=1,1,IF(CdTrp2!Y79=2,2,IF(CdTrp2!Y79=3,2,IF(CdTrp2!Y79=4,4,0))))</f>
        <v>0</v>
      </c>
      <c r="DC112" s="189" t="str">
        <f t="shared" si="27"/>
        <v>lot4</v>
      </c>
      <c r="DD112" s="32"/>
      <c r="DE112" s="173">
        <f>IF(CdTrp3!B79=1,1,IF(CdTrp3!B79=2,2,IF(CdTrp3!B79=3,2,IF(CdTrp3!B79=4,4,0))))</f>
        <v>0</v>
      </c>
      <c r="DF112" s="173">
        <f>IF(CdTrp3!C79=1,1,IF(CdTrp3!C79=2,2,IF(CdTrp3!C79=3,2,IF(CdTrp3!C79=4,4,0))))</f>
        <v>0</v>
      </c>
      <c r="DG112" s="173">
        <f>IF(CdTrp3!D79=1,1,IF(CdTrp3!D79=2,2,IF(CdTrp3!D79=3,2,IF(CdTrp3!D79=4,4,0))))</f>
        <v>0</v>
      </c>
      <c r="DH112" s="173">
        <f>IF(CdTrp3!E79=1,1,IF(CdTrp3!E79=2,2,IF(CdTrp3!E79=3,2,IF(CdTrp3!E79=4,4,0))))</f>
        <v>0</v>
      </c>
      <c r="DI112" s="173">
        <f>IF(CdTrp3!F79=1,1,IF(CdTrp3!F79=2,2,IF(CdTrp3!F79=3,2,IF(CdTrp3!F79=4,4,0))))</f>
        <v>0</v>
      </c>
      <c r="DJ112" s="173">
        <f>IF(CdTrp3!G79=1,1,IF(CdTrp3!G79=2,2,IF(CdTrp3!G79=3,2,IF(CdTrp3!G79=4,4,0))))</f>
        <v>0</v>
      </c>
      <c r="DK112" s="173">
        <f>IF(CdTrp3!H79=1,1,IF(CdTrp3!H79=2,2,IF(CdTrp3!H79=3,2,IF(CdTrp3!H79=4,4,0))))</f>
        <v>0</v>
      </c>
      <c r="DL112" s="173">
        <f>IF(CdTrp3!I79=1,1,IF(CdTrp3!I79=2,2,IF(CdTrp3!I79=3,2,IF(CdTrp3!I79=4,4,0))))</f>
        <v>0</v>
      </c>
      <c r="DM112" s="173">
        <f>IF(CdTrp3!J79=1,1,IF(CdTrp3!J79=2,2,IF(CdTrp3!J79=3,2,IF(CdTrp3!J79=4,4,0))))</f>
        <v>0</v>
      </c>
      <c r="DN112" s="173">
        <f>IF(CdTrp3!K79=1,1,IF(CdTrp3!K79=2,2,IF(CdTrp3!K79=3,2,IF(CdTrp3!K79=4,4,0))))</f>
        <v>0</v>
      </c>
      <c r="DO112" s="173">
        <f>IF(CdTrp3!L79=1,1,IF(CdTrp3!L79=2,2,IF(CdTrp3!L79=3,2,IF(CdTrp3!L79=4,4,0))))</f>
        <v>0</v>
      </c>
      <c r="DP112" s="173">
        <f>IF(CdTrp3!M79=1,1,IF(CdTrp3!M79=2,2,IF(CdTrp3!M79=3,2,IF(CdTrp3!M79=4,4,0))))</f>
        <v>0</v>
      </c>
      <c r="DQ112" s="173">
        <f>IF(CdTrp3!N79=1,1,IF(CdTrp3!N79=2,2,IF(CdTrp3!N79=3,2,IF(CdTrp3!N79=4,4,0))))</f>
        <v>0</v>
      </c>
      <c r="DR112" s="173">
        <f>IF(CdTrp3!O79=1,1,IF(CdTrp3!O79=2,2,IF(CdTrp3!O79=3,2,IF(CdTrp3!O79=4,4,0))))</f>
        <v>0</v>
      </c>
      <c r="DS112" s="173">
        <f>IF(CdTrp3!P79=1,1,IF(CdTrp3!P79=2,2,IF(CdTrp3!P79=3,2,IF(CdTrp3!P79=4,4,0))))</f>
        <v>0</v>
      </c>
      <c r="DT112" s="173">
        <f>IF(CdTrp3!Q79=1,1,IF(CdTrp3!Q79=2,2,IF(CdTrp3!Q79=3,2,IF(CdTrp3!Q79=4,4,0))))</f>
        <v>0</v>
      </c>
      <c r="DU112" s="173">
        <f>IF(CdTrp3!R79=1,1,IF(CdTrp3!R79=2,2,IF(CdTrp3!R79=3,2,IF(CdTrp3!R79=4,4,0))))</f>
        <v>0</v>
      </c>
      <c r="DV112" s="173">
        <f>IF(CdTrp3!S79=1,1,IF(CdTrp3!S79=2,2,IF(CdTrp3!S79=3,2,IF(CdTrp3!S79=4,4,0))))</f>
        <v>0</v>
      </c>
      <c r="DW112" s="173">
        <f>IF(CdTrp3!T79=1,1,IF(CdTrp3!T79=2,2,IF(CdTrp3!T79=3,2,IF(CdTrp3!T79=4,4,0))))</f>
        <v>0</v>
      </c>
      <c r="DX112" s="173">
        <f>IF(CdTrp3!U79=1,1,IF(CdTrp3!U79=2,2,IF(CdTrp3!U79=3,2,IF(CdTrp3!U79=4,4,0))))</f>
        <v>0</v>
      </c>
      <c r="DY112" s="173">
        <f>IF(CdTrp3!V79=1,1,IF(CdTrp3!V79=2,2,IF(CdTrp3!V79=3,2,IF(CdTrp3!V79=4,4,0))))</f>
        <v>0</v>
      </c>
      <c r="DZ112" s="173">
        <f>IF(CdTrp3!W79=1,1,IF(CdTrp3!W79=2,2,IF(CdTrp3!W79=3,2,IF(CdTrp3!W79=4,4,0))))</f>
        <v>0</v>
      </c>
      <c r="EA112" s="173">
        <f>IF(CdTrp3!X79=1,1,IF(CdTrp3!X79=2,2,IF(CdTrp3!X79=3,2,IF(CdTrp3!X79=4,4,0))))</f>
        <v>0</v>
      </c>
      <c r="EB112" s="173">
        <f>IF(CdTrp3!Y79=1,1,IF(CdTrp3!Y79=2,2,IF(CdTrp3!Y79=3,2,IF(CdTrp3!Y79=4,4,0))))</f>
        <v>0</v>
      </c>
    </row>
    <row r="113" spans="2:132" x14ac:dyDescent="0.25">
      <c r="B113" s="14" t="s">
        <v>1197</v>
      </c>
      <c r="C113" s="173">
        <f>COUNTIF($H$94:$AE$103,2)/2</f>
        <v>9</v>
      </c>
      <c r="D113" s="173">
        <f t="shared" si="25"/>
        <v>9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9" t="str">
        <f t="shared" si="28"/>
        <v>lot5</v>
      </c>
      <c r="AU113" s="32"/>
      <c r="AV113" s="173">
        <f>IF(CdTrp1!B80=1,1,IF(CdTrp1!B80=2,2,IF(CdTrp1!B80=3,2,IF(CdTrp1!B80=4,4,0))))</f>
        <v>0</v>
      </c>
      <c r="AW113" s="173">
        <f>IF(CdTrp1!C80=1,1,IF(CdTrp1!C80=2,2,IF(CdTrp1!C80=3,2,IF(CdTrp1!C80=4,4,0))))</f>
        <v>0</v>
      </c>
      <c r="AX113" s="173">
        <f>IF(CdTrp1!D80=1,1,IF(CdTrp1!D80=2,2,IF(CdTrp1!D80=3,2,IF(CdTrp1!D80=4,4,0))))</f>
        <v>0</v>
      </c>
      <c r="AY113" s="173">
        <f>IF(CdTrp1!E80=1,1,IF(CdTrp1!E80=2,2,IF(CdTrp1!E80=3,2,IF(CdTrp1!E80=4,4,0))))</f>
        <v>0</v>
      </c>
      <c r="AZ113" s="173">
        <f>IF(CdTrp1!F80=1,1,IF(CdTrp1!F80=2,2,IF(CdTrp1!F80=3,2,IF(CdTrp1!F80=4,4,0))))</f>
        <v>0</v>
      </c>
      <c r="BA113" s="173">
        <f>IF(CdTrp1!G80=1,1,IF(CdTrp1!G80=2,2,IF(CdTrp1!G80=3,2,IF(CdTrp1!G80=4,4,0))))</f>
        <v>0</v>
      </c>
      <c r="BB113" s="173">
        <f>IF(CdTrp1!H80=1,1,IF(CdTrp1!H80=2,2,IF(CdTrp1!H80=3,2,IF(CdTrp1!H80=4,4,0))))</f>
        <v>0</v>
      </c>
      <c r="BC113" s="173">
        <f>IF(CdTrp1!I80=1,1,IF(CdTrp1!I80=2,2,IF(CdTrp1!I80=3,2,IF(CdTrp1!I80=4,4,0))))</f>
        <v>0</v>
      </c>
      <c r="BD113" s="173">
        <f>IF(CdTrp1!J80=1,1,IF(CdTrp1!J80=2,2,IF(CdTrp1!J80=3,2,IF(CdTrp1!J80=4,4,0))))</f>
        <v>0</v>
      </c>
      <c r="BE113" s="173">
        <f>IF(CdTrp1!K80=1,1,IF(CdTrp1!K80=2,2,IF(CdTrp1!K80=3,2,IF(CdTrp1!K80=4,4,0))))</f>
        <v>0</v>
      </c>
      <c r="BF113" s="173">
        <f>IF(CdTrp1!L80=1,1,IF(CdTrp1!L80=2,2,IF(CdTrp1!L80=3,2,IF(CdTrp1!L80=4,4,0))))</f>
        <v>0</v>
      </c>
      <c r="BG113" s="173">
        <f>IF(CdTrp1!M80=1,1,IF(CdTrp1!M80=2,2,IF(CdTrp1!M80=3,2,IF(CdTrp1!M80=4,4,0))))</f>
        <v>0</v>
      </c>
      <c r="BH113" s="173">
        <f>IF(CdTrp1!N80=1,1,IF(CdTrp1!N80=2,2,IF(CdTrp1!N80=3,2,IF(CdTrp1!N80=4,4,0))))</f>
        <v>0</v>
      </c>
      <c r="BI113" s="173">
        <f>IF(CdTrp1!O80=1,1,IF(CdTrp1!O80=2,2,IF(CdTrp1!O80=3,2,IF(CdTrp1!O80=4,4,0))))</f>
        <v>0</v>
      </c>
      <c r="BJ113" s="173">
        <f>IF(CdTrp1!P80=1,1,IF(CdTrp1!P80=2,2,IF(CdTrp1!P80=3,2,IF(CdTrp1!P80=4,4,0))))</f>
        <v>0</v>
      </c>
      <c r="BK113" s="173">
        <f>IF(CdTrp1!Q80=1,1,IF(CdTrp1!Q80=2,2,IF(CdTrp1!Q80=3,2,IF(CdTrp1!Q80=4,4,0))))</f>
        <v>0</v>
      </c>
      <c r="BL113" s="173">
        <f>IF(CdTrp1!R80=1,1,IF(CdTrp1!R80=2,2,IF(CdTrp1!R80=3,2,IF(CdTrp1!R80=4,4,0))))</f>
        <v>0</v>
      </c>
      <c r="BM113" s="173">
        <f>IF(CdTrp1!S80=1,1,IF(CdTrp1!S80=2,2,IF(CdTrp1!S80=3,2,IF(CdTrp1!S80=4,4,0))))</f>
        <v>0</v>
      </c>
      <c r="BN113" s="173">
        <f>IF(CdTrp1!T80=1,1,IF(CdTrp1!T80=2,2,IF(CdTrp1!T80=3,2,IF(CdTrp1!T80=4,4,0))))</f>
        <v>0</v>
      </c>
      <c r="BO113" s="173">
        <f>IF(CdTrp1!U80=1,1,IF(CdTrp1!U80=2,2,IF(CdTrp1!U80=3,2,IF(CdTrp1!U80=4,4,0))))</f>
        <v>0</v>
      </c>
      <c r="BP113" s="173">
        <f>IF(CdTrp1!V80=1,1,IF(CdTrp1!V80=2,2,IF(CdTrp1!V80=3,2,IF(CdTrp1!V80=4,4,0))))</f>
        <v>0</v>
      </c>
      <c r="BQ113" s="173">
        <f>IF(CdTrp1!W80=1,1,IF(CdTrp1!W80=2,2,IF(CdTrp1!W80=3,2,IF(CdTrp1!W80=4,4,0))))</f>
        <v>0</v>
      </c>
      <c r="BR113" s="173">
        <f>IF(CdTrp1!X80=1,1,IF(CdTrp1!X80=2,2,IF(CdTrp1!X80=3,2,IF(CdTrp1!X80=4,4,0))))</f>
        <v>0</v>
      </c>
      <c r="BS113" s="173">
        <f>IF(CdTrp1!Y80=1,1,IF(CdTrp1!Y80=2,2,IF(CdTrp1!Y80=3,2,IF(CdTrp1!Y80=4,4,0))))</f>
        <v>0</v>
      </c>
      <c r="BZ113" s="189" t="str">
        <f t="shared" si="26"/>
        <v>lot5</v>
      </c>
      <c r="CA113" s="32"/>
      <c r="CB113" s="173">
        <f>IF(CdTrp2!B80=1,1,IF(CdTrp2!B80=2,2,IF(CdTrp2!B80=3,2,IF(CdTrp2!B80=4,4,0))))</f>
        <v>0</v>
      </c>
      <c r="CC113" s="173">
        <f>IF(CdTrp2!C80=1,1,IF(CdTrp2!C80=2,2,IF(CdTrp2!C80=3,2,IF(CdTrp2!C80=4,4,0))))</f>
        <v>0</v>
      </c>
      <c r="CD113" s="173">
        <f>IF(CdTrp2!D80=1,1,IF(CdTrp2!D80=2,2,IF(CdTrp2!D80=3,2,IF(CdTrp2!D80=4,4,0))))</f>
        <v>0</v>
      </c>
      <c r="CE113" s="173">
        <f>IF(CdTrp2!E80=1,1,IF(CdTrp2!E80=2,2,IF(CdTrp2!E80=3,2,IF(CdTrp2!E80=4,4,0))))</f>
        <v>0</v>
      </c>
      <c r="CF113" s="173">
        <f>IF(CdTrp2!F80=1,1,IF(CdTrp2!F80=2,2,IF(CdTrp2!F80=3,2,IF(CdTrp2!F80=4,4,0))))</f>
        <v>0</v>
      </c>
      <c r="CG113" s="173">
        <f>IF(CdTrp2!G80=1,1,IF(CdTrp2!G80=2,2,IF(CdTrp2!G80=3,2,IF(CdTrp2!G80=4,4,0))))</f>
        <v>0</v>
      </c>
      <c r="CH113" s="173">
        <f>IF(CdTrp2!H80=1,1,IF(CdTrp2!H80=2,2,IF(CdTrp2!H80=3,2,IF(CdTrp2!H80=4,4,0))))</f>
        <v>0</v>
      </c>
      <c r="CI113" s="173">
        <f>IF(CdTrp2!I80=1,1,IF(CdTrp2!I80=2,2,IF(CdTrp2!I80=3,2,IF(CdTrp2!I80=4,4,0))))</f>
        <v>0</v>
      </c>
      <c r="CJ113" s="173">
        <f>IF(CdTrp2!J80=1,1,IF(CdTrp2!J80=2,2,IF(CdTrp2!J80=3,2,IF(CdTrp2!J80=4,4,0))))</f>
        <v>0</v>
      </c>
      <c r="CK113" s="173">
        <f>IF(CdTrp2!K80=1,1,IF(CdTrp2!K80=2,2,IF(CdTrp2!K80=3,2,IF(CdTrp2!K80=4,4,0))))</f>
        <v>0</v>
      </c>
      <c r="CL113" s="173">
        <f>IF(CdTrp2!L80=1,1,IF(CdTrp2!L80=2,2,IF(CdTrp2!L80=3,2,IF(CdTrp2!L80=4,4,0))))</f>
        <v>0</v>
      </c>
      <c r="CM113" s="173">
        <f>IF(CdTrp2!M80=1,1,IF(CdTrp2!M80=2,2,IF(CdTrp2!M80=3,2,IF(CdTrp2!M80=4,4,0))))</f>
        <v>0</v>
      </c>
      <c r="CN113" s="173">
        <f>IF(CdTrp2!N80=1,1,IF(CdTrp2!N80=2,2,IF(CdTrp2!N80=3,2,IF(CdTrp2!N80=4,4,0))))</f>
        <v>0</v>
      </c>
      <c r="CO113" s="173">
        <f>IF(CdTrp2!O80=1,1,IF(CdTrp2!O80=2,2,IF(CdTrp2!O80=3,2,IF(CdTrp2!O80=4,4,0))))</f>
        <v>0</v>
      </c>
      <c r="CP113" s="173">
        <f>IF(CdTrp2!P80=1,1,IF(CdTrp2!P80=2,2,IF(CdTrp2!P80=3,2,IF(CdTrp2!P80=4,4,0))))</f>
        <v>0</v>
      </c>
      <c r="CQ113" s="173">
        <f>IF(CdTrp2!Q80=1,1,IF(CdTrp2!Q80=2,2,IF(CdTrp2!Q80=3,2,IF(CdTrp2!Q80=4,4,0))))</f>
        <v>0</v>
      </c>
      <c r="CR113" s="173">
        <f>IF(CdTrp2!R80=1,1,IF(CdTrp2!R80=2,2,IF(CdTrp2!R80=3,2,IF(CdTrp2!R80=4,4,0))))</f>
        <v>0</v>
      </c>
      <c r="CS113" s="173">
        <f>IF(CdTrp2!S80=1,1,IF(CdTrp2!S80=2,2,IF(CdTrp2!S80=3,2,IF(CdTrp2!S80=4,4,0))))</f>
        <v>0</v>
      </c>
      <c r="CT113" s="173">
        <f>IF(CdTrp2!T80=1,1,IF(CdTrp2!T80=2,2,IF(CdTrp2!T80=3,2,IF(CdTrp2!T80=4,4,0))))</f>
        <v>0</v>
      </c>
      <c r="CU113" s="173">
        <f>IF(CdTrp2!U80=1,1,IF(CdTrp2!U80=2,2,IF(CdTrp2!U80=3,2,IF(CdTrp2!U80=4,4,0))))</f>
        <v>0</v>
      </c>
      <c r="CV113" s="173">
        <f>IF(CdTrp2!V80=1,1,IF(CdTrp2!V80=2,2,IF(CdTrp2!V80=3,2,IF(CdTrp2!V80=4,4,0))))</f>
        <v>0</v>
      </c>
      <c r="CW113" s="173">
        <f>IF(CdTrp2!W80=1,1,IF(CdTrp2!W80=2,2,IF(CdTrp2!W80=3,2,IF(CdTrp2!W80=4,4,0))))</f>
        <v>0</v>
      </c>
      <c r="CX113" s="173">
        <f>IF(CdTrp2!X80=1,1,IF(CdTrp2!X80=2,2,IF(CdTrp2!X80=3,2,IF(CdTrp2!X80=4,4,0))))</f>
        <v>0</v>
      </c>
      <c r="CY113" s="173">
        <f>IF(CdTrp2!Y80=1,1,IF(CdTrp2!Y80=2,2,IF(CdTrp2!Y80=3,2,IF(CdTrp2!Y80=4,4,0))))</f>
        <v>0</v>
      </c>
      <c r="DC113" s="189" t="str">
        <f t="shared" si="27"/>
        <v>lot5</v>
      </c>
      <c r="DD113" s="32"/>
      <c r="DE113" s="173">
        <f>IF(CdTrp3!B80=1,1,IF(CdTrp3!B80=2,2,IF(CdTrp3!B80=3,2,IF(CdTrp3!B80=4,4,0))))</f>
        <v>0</v>
      </c>
      <c r="DF113" s="173">
        <f>IF(CdTrp3!C80=1,1,IF(CdTrp3!C80=2,2,IF(CdTrp3!C80=3,2,IF(CdTrp3!C80=4,4,0))))</f>
        <v>0</v>
      </c>
      <c r="DG113" s="173">
        <f>IF(CdTrp3!D80=1,1,IF(CdTrp3!D80=2,2,IF(CdTrp3!D80=3,2,IF(CdTrp3!D80=4,4,0))))</f>
        <v>0</v>
      </c>
      <c r="DH113" s="173">
        <f>IF(CdTrp3!E80=1,1,IF(CdTrp3!E80=2,2,IF(CdTrp3!E80=3,2,IF(CdTrp3!E80=4,4,0))))</f>
        <v>0</v>
      </c>
      <c r="DI113" s="173">
        <f>IF(CdTrp3!F80=1,1,IF(CdTrp3!F80=2,2,IF(CdTrp3!F80=3,2,IF(CdTrp3!F80=4,4,0))))</f>
        <v>0</v>
      </c>
      <c r="DJ113" s="173">
        <f>IF(CdTrp3!G80=1,1,IF(CdTrp3!G80=2,2,IF(CdTrp3!G80=3,2,IF(CdTrp3!G80=4,4,0))))</f>
        <v>0</v>
      </c>
      <c r="DK113" s="173">
        <f>IF(CdTrp3!H80=1,1,IF(CdTrp3!H80=2,2,IF(CdTrp3!H80=3,2,IF(CdTrp3!H80=4,4,0))))</f>
        <v>0</v>
      </c>
      <c r="DL113" s="173">
        <f>IF(CdTrp3!I80=1,1,IF(CdTrp3!I80=2,2,IF(CdTrp3!I80=3,2,IF(CdTrp3!I80=4,4,0))))</f>
        <v>0</v>
      </c>
      <c r="DM113" s="173">
        <f>IF(CdTrp3!J80=1,1,IF(CdTrp3!J80=2,2,IF(CdTrp3!J80=3,2,IF(CdTrp3!J80=4,4,0))))</f>
        <v>0</v>
      </c>
      <c r="DN113" s="173">
        <f>IF(CdTrp3!K80=1,1,IF(CdTrp3!K80=2,2,IF(CdTrp3!K80=3,2,IF(CdTrp3!K80=4,4,0))))</f>
        <v>0</v>
      </c>
      <c r="DO113" s="173">
        <f>IF(CdTrp3!L80=1,1,IF(CdTrp3!L80=2,2,IF(CdTrp3!L80=3,2,IF(CdTrp3!L80=4,4,0))))</f>
        <v>0</v>
      </c>
      <c r="DP113" s="173">
        <f>IF(CdTrp3!M80=1,1,IF(CdTrp3!M80=2,2,IF(CdTrp3!M80=3,2,IF(CdTrp3!M80=4,4,0))))</f>
        <v>0</v>
      </c>
      <c r="DQ113" s="173">
        <f>IF(CdTrp3!N80=1,1,IF(CdTrp3!N80=2,2,IF(CdTrp3!N80=3,2,IF(CdTrp3!N80=4,4,0))))</f>
        <v>0</v>
      </c>
      <c r="DR113" s="173">
        <f>IF(CdTrp3!O80=1,1,IF(CdTrp3!O80=2,2,IF(CdTrp3!O80=3,2,IF(CdTrp3!O80=4,4,0))))</f>
        <v>0</v>
      </c>
      <c r="DS113" s="173">
        <f>IF(CdTrp3!P80=1,1,IF(CdTrp3!P80=2,2,IF(CdTrp3!P80=3,2,IF(CdTrp3!P80=4,4,0))))</f>
        <v>0</v>
      </c>
      <c r="DT113" s="173">
        <f>IF(CdTrp3!Q80=1,1,IF(CdTrp3!Q80=2,2,IF(CdTrp3!Q80=3,2,IF(CdTrp3!Q80=4,4,0))))</f>
        <v>0</v>
      </c>
      <c r="DU113" s="173">
        <f>IF(CdTrp3!R80=1,1,IF(CdTrp3!R80=2,2,IF(CdTrp3!R80=3,2,IF(CdTrp3!R80=4,4,0))))</f>
        <v>0</v>
      </c>
      <c r="DV113" s="173">
        <f>IF(CdTrp3!S80=1,1,IF(CdTrp3!S80=2,2,IF(CdTrp3!S80=3,2,IF(CdTrp3!S80=4,4,0))))</f>
        <v>0</v>
      </c>
      <c r="DW113" s="173">
        <f>IF(CdTrp3!T80=1,1,IF(CdTrp3!T80=2,2,IF(CdTrp3!T80=3,2,IF(CdTrp3!T80=4,4,0))))</f>
        <v>0</v>
      </c>
      <c r="DX113" s="173">
        <f>IF(CdTrp3!U80=1,1,IF(CdTrp3!U80=2,2,IF(CdTrp3!U80=3,2,IF(CdTrp3!U80=4,4,0))))</f>
        <v>0</v>
      </c>
      <c r="DY113" s="173">
        <f>IF(CdTrp3!V80=1,1,IF(CdTrp3!V80=2,2,IF(CdTrp3!V80=3,2,IF(CdTrp3!V80=4,4,0))))</f>
        <v>0</v>
      </c>
      <c r="DZ113" s="173">
        <f>IF(CdTrp3!W80=1,1,IF(CdTrp3!W80=2,2,IF(CdTrp3!W80=3,2,IF(CdTrp3!W80=4,4,0))))</f>
        <v>0</v>
      </c>
      <c r="EA113" s="173">
        <f>IF(CdTrp3!X80=1,1,IF(CdTrp3!X80=2,2,IF(CdTrp3!X80=3,2,IF(CdTrp3!X80=4,4,0))))</f>
        <v>0</v>
      </c>
      <c r="EB113" s="173">
        <f>IF(CdTrp3!Y80=1,1,IF(CdTrp3!Y80=2,2,IF(CdTrp3!Y80=3,2,IF(CdTrp3!Y80=4,4,0))))</f>
        <v>0</v>
      </c>
    </row>
    <row r="114" spans="2:132" x14ac:dyDescent="0.25">
      <c r="B114" s="14" t="s">
        <v>1198</v>
      </c>
      <c r="C114" s="173">
        <f>COUNTIF($H$105:$AE$114,2)/2</f>
        <v>12.5</v>
      </c>
      <c r="D114" s="173">
        <f t="shared" si="25"/>
        <v>12.5</v>
      </c>
      <c r="F114" s="14"/>
      <c r="G114" s="186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9" t="str">
        <f t="shared" si="28"/>
        <v>lot6</v>
      </c>
      <c r="AU114" s="32"/>
      <c r="AV114" s="173">
        <f>IF(CdTrp1!B81=1,1,IF(CdTrp1!B81=2,2,IF(CdTrp1!B81=3,2,IF(CdTrp1!B81=4,4,0))))</f>
        <v>0</v>
      </c>
      <c r="AW114" s="173">
        <f>IF(CdTrp1!C81=1,1,IF(CdTrp1!C81=2,2,IF(CdTrp1!C81=3,2,IF(CdTrp1!C81=4,4,0))))</f>
        <v>0</v>
      </c>
      <c r="AX114" s="173">
        <f>IF(CdTrp1!D81=1,1,IF(CdTrp1!D81=2,2,IF(CdTrp1!D81=3,2,IF(CdTrp1!D81=4,4,0))))</f>
        <v>0</v>
      </c>
      <c r="AY114" s="173">
        <f>IF(CdTrp1!E81=1,1,IF(CdTrp1!E81=2,2,IF(CdTrp1!E81=3,2,IF(CdTrp1!E81=4,4,0))))</f>
        <v>0</v>
      </c>
      <c r="AZ114" s="173">
        <f>IF(CdTrp1!F81=1,1,IF(CdTrp1!F81=2,2,IF(CdTrp1!F81=3,2,IF(CdTrp1!F81=4,4,0))))</f>
        <v>0</v>
      </c>
      <c r="BA114" s="173">
        <f>IF(CdTrp1!G81=1,1,IF(CdTrp1!G81=2,2,IF(CdTrp1!G81=3,2,IF(CdTrp1!G81=4,4,0))))</f>
        <v>0</v>
      </c>
      <c r="BB114" s="173">
        <f>IF(CdTrp1!H81=1,1,IF(CdTrp1!H81=2,2,IF(CdTrp1!H81=3,2,IF(CdTrp1!H81=4,4,0))))</f>
        <v>0</v>
      </c>
      <c r="BC114" s="173">
        <f>IF(CdTrp1!I81=1,1,IF(CdTrp1!I81=2,2,IF(CdTrp1!I81=3,2,IF(CdTrp1!I81=4,4,0))))</f>
        <v>0</v>
      </c>
      <c r="BD114" s="173">
        <f>IF(CdTrp1!J81=1,1,IF(CdTrp1!J81=2,2,IF(CdTrp1!J81=3,2,IF(CdTrp1!J81=4,4,0))))</f>
        <v>0</v>
      </c>
      <c r="BE114" s="173">
        <f>IF(CdTrp1!K81=1,1,IF(CdTrp1!K81=2,2,IF(CdTrp1!K81=3,2,IF(CdTrp1!K81=4,4,0))))</f>
        <v>0</v>
      </c>
      <c r="BF114" s="173">
        <f>IF(CdTrp1!L81=1,1,IF(CdTrp1!L81=2,2,IF(CdTrp1!L81=3,2,IF(CdTrp1!L81=4,4,0))))</f>
        <v>0</v>
      </c>
      <c r="BG114" s="173">
        <f>IF(CdTrp1!M81=1,1,IF(CdTrp1!M81=2,2,IF(CdTrp1!M81=3,2,IF(CdTrp1!M81=4,4,0))))</f>
        <v>0</v>
      </c>
      <c r="BH114" s="173">
        <f>IF(CdTrp1!N81=1,1,IF(CdTrp1!N81=2,2,IF(CdTrp1!N81=3,2,IF(CdTrp1!N81=4,4,0))))</f>
        <v>0</v>
      </c>
      <c r="BI114" s="173">
        <f>IF(CdTrp1!O81=1,1,IF(CdTrp1!O81=2,2,IF(CdTrp1!O81=3,2,IF(CdTrp1!O81=4,4,0))))</f>
        <v>0</v>
      </c>
      <c r="BJ114" s="173">
        <f>IF(CdTrp1!P81=1,1,IF(CdTrp1!P81=2,2,IF(CdTrp1!P81=3,2,IF(CdTrp1!P81=4,4,0))))</f>
        <v>0</v>
      </c>
      <c r="BK114" s="173">
        <f>IF(CdTrp1!Q81=1,1,IF(CdTrp1!Q81=2,2,IF(CdTrp1!Q81=3,2,IF(CdTrp1!Q81=4,4,0))))</f>
        <v>0</v>
      </c>
      <c r="BL114" s="173">
        <f>IF(CdTrp1!R81=1,1,IF(CdTrp1!R81=2,2,IF(CdTrp1!R81=3,2,IF(CdTrp1!R81=4,4,0))))</f>
        <v>0</v>
      </c>
      <c r="BM114" s="173">
        <f>IF(CdTrp1!S81=1,1,IF(CdTrp1!S81=2,2,IF(CdTrp1!S81=3,2,IF(CdTrp1!S81=4,4,0))))</f>
        <v>0</v>
      </c>
      <c r="BN114" s="173">
        <f>IF(CdTrp1!T81=1,1,IF(CdTrp1!T81=2,2,IF(CdTrp1!T81=3,2,IF(CdTrp1!T81=4,4,0))))</f>
        <v>0</v>
      </c>
      <c r="BO114" s="173">
        <f>IF(CdTrp1!U81=1,1,IF(CdTrp1!U81=2,2,IF(CdTrp1!U81=3,2,IF(CdTrp1!U81=4,4,0))))</f>
        <v>0</v>
      </c>
      <c r="BP114" s="173">
        <f>IF(CdTrp1!V81=1,1,IF(CdTrp1!V81=2,2,IF(CdTrp1!V81=3,2,IF(CdTrp1!V81=4,4,0))))</f>
        <v>0</v>
      </c>
      <c r="BQ114" s="173">
        <f>IF(CdTrp1!W81=1,1,IF(CdTrp1!W81=2,2,IF(CdTrp1!W81=3,2,IF(CdTrp1!W81=4,4,0))))</f>
        <v>0</v>
      </c>
      <c r="BR114" s="173">
        <f>IF(CdTrp1!X81=1,1,IF(CdTrp1!X81=2,2,IF(CdTrp1!X81=3,2,IF(CdTrp1!X81=4,4,0))))</f>
        <v>0</v>
      </c>
      <c r="BS114" s="173">
        <f>IF(CdTrp1!Y81=1,1,IF(CdTrp1!Y81=2,2,IF(CdTrp1!Y81=3,2,IF(CdTrp1!Y81=4,4,0))))</f>
        <v>0</v>
      </c>
      <c r="BZ114" s="189" t="str">
        <f t="shared" si="26"/>
        <v>lot6</v>
      </c>
      <c r="CA114" s="32"/>
      <c r="CB114" s="173">
        <f>IF(CdTrp2!B81=1,1,IF(CdTrp2!B81=2,2,IF(CdTrp2!B81=3,2,IF(CdTrp2!B81=4,4,0))))</f>
        <v>0</v>
      </c>
      <c r="CC114" s="173">
        <f>IF(CdTrp2!C81=1,1,IF(CdTrp2!C81=2,2,IF(CdTrp2!C81=3,2,IF(CdTrp2!C81=4,4,0))))</f>
        <v>0</v>
      </c>
      <c r="CD114" s="173">
        <f>IF(CdTrp2!D81=1,1,IF(CdTrp2!D81=2,2,IF(CdTrp2!D81=3,2,IF(CdTrp2!D81=4,4,0))))</f>
        <v>0</v>
      </c>
      <c r="CE114" s="173">
        <f>IF(CdTrp2!E81=1,1,IF(CdTrp2!E81=2,2,IF(CdTrp2!E81=3,2,IF(CdTrp2!E81=4,4,0))))</f>
        <v>0</v>
      </c>
      <c r="CF114" s="173">
        <f>IF(CdTrp2!F81=1,1,IF(CdTrp2!F81=2,2,IF(CdTrp2!F81=3,2,IF(CdTrp2!F81=4,4,0))))</f>
        <v>0</v>
      </c>
      <c r="CG114" s="173">
        <f>IF(CdTrp2!G81=1,1,IF(CdTrp2!G81=2,2,IF(CdTrp2!G81=3,2,IF(CdTrp2!G81=4,4,0))))</f>
        <v>0</v>
      </c>
      <c r="CH114" s="173">
        <f>IF(CdTrp2!H81=1,1,IF(CdTrp2!H81=2,2,IF(CdTrp2!H81=3,2,IF(CdTrp2!H81=4,4,0))))</f>
        <v>0</v>
      </c>
      <c r="CI114" s="173">
        <f>IF(CdTrp2!I81=1,1,IF(CdTrp2!I81=2,2,IF(CdTrp2!I81=3,2,IF(CdTrp2!I81=4,4,0))))</f>
        <v>0</v>
      </c>
      <c r="CJ114" s="173">
        <f>IF(CdTrp2!J81=1,1,IF(CdTrp2!J81=2,2,IF(CdTrp2!J81=3,2,IF(CdTrp2!J81=4,4,0))))</f>
        <v>0</v>
      </c>
      <c r="CK114" s="173">
        <f>IF(CdTrp2!K81=1,1,IF(CdTrp2!K81=2,2,IF(CdTrp2!K81=3,2,IF(CdTrp2!K81=4,4,0))))</f>
        <v>0</v>
      </c>
      <c r="CL114" s="173">
        <f>IF(CdTrp2!L81=1,1,IF(CdTrp2!L81=2,2,IF(CdTrp2!L81=3,2,IF(CdTrp2!L81=4,4,0))))</f>
        <v>0</v>
      </c>
      <c r="CM114" s="173">
        <f>IF(CdTrp2!M81=1,1,IF(CdTrp2!M81=2,2,IF(CdTrp2!M81=3,2,IF(CdTrp2!M81=4,4,0))))</f>
        <v>0</v>
      </c>
      <c r="CN114" s="173">
        <f>IF(CdTrp2!N81=1,1,IF(CdTrp2!N81=2,2,IF(CdTrp2!N81=3,2,IF(CdTrp2!N81=4,4,0))))</f>
        <v>0</v>
      </c>
      <c r="CO114" s="173">
        <f>IF(CdTrp2!O81=1,1,IF(CdTrp2!O81=2,2,IF(CdTrp2!O81=3,2,IF(CdTrp2!O81=4,4,0))))</f>
        <v>0</v>
      </c>
      <c r="CP114" s="173">
        <f>IF(CdTrp2!P81=1,1,IF(CdTrp2!P81=2,2,IF(CdTrp2!P81=3,2,IF(CdTrp2!P81=4,4,0))))</f>
        <v>0</v>
      </c>
      <c r="CQ114" s="173">
        <f>IF(CdTrp2!Q81=1,1,IF(CdTrp2!Q81=2,2,IF(CdTrp2!Q81=3,2,IF(CdTrp2!Q81=4,4,0))))</f>
        <v>0</v>
      </c>
      <c r="CR114" s="173">
        <f>IF(CdTrp2!R81=1,1,IF(CdTrp2!R81=2,2,IF(CdTrp2!R81=3,2,IF(CdTrp2!R81=4,4,0))))</f>
        <v>0</v>
      </c>
      <c r="CS114" s="173">
        <f>IF(CdTrp2!S81=1,1,IF(CdTrp2!S81=2,2,IF(CdTrp2!S81=3,2,IF(CdTrp2!S81=4,4,0))))</f>
        <v>0</v>
      </c>
      <c r="CT114" s="173">
        <f>IF(CdTrp2!T81=1,1,IF(CdTrp2!T81=2,2,IF(CdTrp2!T81=3,2,IF(CdTrp2!T81=4,4,0))))</f>
        <v>0</v>
      </c>
      <c r="CU114" s="173">
        <f>IF(CdTrp2!U81=1,1,IF(CdTrp2!U81=2,2,IF(CdTrp2!U81=3,2,IF(CdTrp2!U81=4,4,0))))</f>
        <v>0</v>
      </c>
      <c r="CV114" s="173">
        <f>IF(CdTrp2!V81=1,1,IF(CdTrp2!V81=2,2,IF(CdTrp2!V81=3,2,IF(CdTrp2!V81=4,4,0))))</f>
        <v>0</v>
      </c>
      <c r="CW114" s="173">
        <f>IF(CdTrp2!W81=1,1,IF(CdTrp2!W81=2,2,IF(CdTrp2!W81=3,2,IF(CdTrp2!W81=4,4,0))))</f>
        <v>0</v>
      </c>
      <c r="CX114" s="173">
        <f>IF(CdTrp2!X81=1,1,IF(CdTrp2!X81=2,2,IF(CdTrp2!X81=3,2,IF(CdTrp2!X81=4,4,0))))</f>
        <v>0</v>
      </c>
      <c r="CY114" s="173">
        <f>IF(CdTrp2!Y81=1,1,IF(CdTrp2!Y81=2,2,IF(CdTrp2!Y81=3,2,IF(CdTrp2!Y81=4,4,0))))</f>
        <v>0</v>
      </c>
      <c r="DC114" s="189" t="str">
        <f t="shared" si="27"/>
        <v>lot6</v>
      </c>
      <c r="DD114" s="32"/>
      <c r="DE114" s="173">
        <f>IF(CdTrp3!B81=1,1,IF(CdTrp3!B81=2,2,IF(CdTrp3!B81=3,2,IF(CdTrp3!B81=4,4,0))))</f>
        <v>0</v>
      </c>
      <c r="DF114" s="173">
        <f>IF(CdTrp3!C81=1,1,IF(CdTrp3!C81=2,2,IF(CdTrp3!C81=3,2,IF(CdTrp3!C81=4,4,0))))</f>
        <v>0</v>
      </c>
      <c r="DG114" s="173">
        <f>IF(CdTrp3!D81=1,1,IF(CdTrp3!D81=2,2,IF(CdTrp3!D81=3,2,IF(CdTrp3!D81=4,4,0))))</f>
        <v>0</v>
      </c>
      <c r="DH114" s="173">
        <f>IF(CdTrp3!E81=1,1,IF(CdTrp3!E81=2,2,IF(CdTrp3!E81=3,2,IF(CdTrp3!E81=4,4,0))))</f>
        <v>0</v>
      </c>
      <c r="DI114" s="173">
        <f>IF(CdTrp3!F81=1,1,IF(CdTrp3!F81=2,2,IF(CdTrp3!F81=3,2,IF(CdTrp3!F81=4,4,0))))</f>
        <v>0</v>
      </c>
      <c r="DJ114" s="173">
        <f>IF(CdTrp3!G81=1,1,IF(CdTrp3!G81=2,2,IF(CdTrp3!G81=3,2,IF(CdTrp3!G81=4,4,0))))</f>
        <v>0</v>
      </c>
      <c r="DK114" s="173">
        <f>IF(CdTrp3!H81=1,1,IF(CdTrp3!H81=2,2,IF(CdTrp3!H81=3,2,IF(CdTrp3!H81=4,4,0))))</f>
        <v>0</v>
      </c>
      <c r="DL114" s="173">
        <f>IF(CdTrp3!I81=1,1,IF(CdTrp3!I81=2,2,IF(CdTrp3!I81=3,2,IF(CdTrp3!I81=4,4,0))))</f>
        <v>0</v>
      </c>
      <c r="DM114" s="173">
        <f>IF(CdTrp3!J81=1,1,IF(CdTrp3!J81=2,2,IF(CdTrp3!J81=3,2,IF(CdTrp3!J81=4,4,0))))</f>
        <v>0</v>
      </c>
      <c r="DN114" s="173">
        <f>IF(CdTrp3!K81=1,1,IF(CdTrp3!K81=2,2,IF(CdTrp3!K81=3,2,IF(CdTrp3!K81=4,4,0))))</f>
        <v>0</v>
      </c>
      <c r="DO114" s="173">
        <f>IF(CdTrp3!L81=1,1,IF(CdTrp3!L81=2,2,IF(CdTrp3!L81=3,2,IF(CdTrp3!L81=4,4,0))))</f>
        <v>0</v>
      </c>
      <c r="DP114" s="173">
        <f>IF(CdTrp3!M81=1,1,IF(CdTrp3!M81=2,2,IF(CdTrp3!M81=3,2,IF(CdTrp3!M81=4,4,0))))</f>
        <v>0</v>
      </c>
      <c r="DQ114" s="173">
        <f>IF(CdTrp3!N81=1,1,IF(CdTrp3!N81=2,2,IF(CdTrp3!N81=3,2,IF(CdTrp3!N81=4,4,0))))</f>
        <v>0</v>
      </c>
      <c r="DR114" s="173">
        <f>IF(CdTrp3!O81=1,1,IF(CdTrp3!O81=2,2,IF(CdTrp3!O81=3,2,IF(CdTrp3!O81=4,4,0))))</f>
        <v>0</v>
      </c>
      <c r="DS114" s="173">
        <f>IF(CdTrp3!P81=1,1,IF(CdTrp3!P81=2,2,IF(CdTrp3!P81=3,2,IF(CdTrp3!P81=4,4,0))))</f>
        <v>0</v>
      </c>
      <c r="DT114" s="173">
        <f>IF(CdTrp3!Q81=1,1,IF(CdTrp3!Q81=2,2,IF(CdTrp3!Q81=3,2,IF(CdTrp3!Q81=4,4,0))))</f>
        <v>0</v>
      </c>
      <c r="DU114" s="173">
        <f>IF(CdTrp3!R81=1,1,IF(CdTrp3!R81=2,2,IF(CdTrp3!R81=3,2,IF(CdTrp3!R81=4,4,0))))</f>
        <v>0</v>
      </c>
      <c r="DV114" s="173">
        <f>IF(CdTrp3!S81=1,1,IF(CdTrp3!S81=2,2,IF(CdTrp3!S81=3,2,IF(CdTrp3!S81=4,4,0))))</f>
        <v>0</v>
      </c>
      <c r="DW114" s="173">
        <f>IF(CdTrp3!T81=1,1,IF(CdTrp3!T81=2,2,IF(CdTrp3!T81=3,2,IF(CdTrp3!T81=4,4,0))))</f>
        <v>0</v>
      </c>
      <c r="DX114" s="173">
        <f>IF(CdTrp3!U81=1,1,IF(CdTrp3!U81=2,2,IF(CdTrp3!U81=3,2,IF(CdTrp3!U81=4,4,0))))</f>
        <v>0</v>
      </c>
      <c r="DY114" s="173">
        <f>IF(CdTrp3!V81=1,1,IF(CdTrp3!V81=2,2,IF(CdTrp3!V81=3,2,IF(CdTrp3!V81=4,4,0))))</f>
        <v>0</v>
      </c>
      <c r="DZ114" s="173">
        <f>IF(CdTrp3!W81=1,1,IF(CdTrp3!W81=2,2,IF(CdTrp3!W81=3,2,IF(CdTrp3!W81=4,4,0))))</f>
        <v>0</v>
      </c>
      <c r="EA114" s="173">
        <f>IF(CdTrp3!X81=1,1,IF(CdTrp3!X81=2,2,IF(CdTrp3!X81=3,2,IF(CdTrp3!X81=4,4,0))))</f>
        <v>0</v>
      </c>
      <c r="EB114" s="173">
        <f>IF(CdTrp3!Y81=1,1,IF(CdTrp3!Y81=2,2,IF(CdTrp3!Y81=3,2,IF(CdTrp3!Y81=4,4,0))))</f>
        <v>0</v>
      </c>
    </row>
    <row r="115" spans="2:132" x14ac:dyDescent="0.25">
      <c r="B115" s="14" t="s">
        <v>1199</v>
      </c>
      <c r="C115" s="173">
        <f>COUNTIF($H$116:$AE$125,2)/2</f>
        <v>0</v>
      </c>
      <c r="D115" s="173">
        <f t="shared" si="25"/>
        <v>0</v>
      </c>
      <c r="F115" s="14" t="s">
        <v>903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9" t="str">
        <f t="shared" si="28"/>
        <v>lot7</v>
      </c>
      <c r="AU115" s="32"/>
      <c r="AV115" s="173">
        <f>IF(CdTrp1!B82=1,1,IF(CdTrp1!B82=2,2,IF(CdTrp1!B82=3,2,IF(CdTrp1!B82=4,4,0))))</f>
        <v>0</v>
      </c>
      <c r="AW115" s="173">
        <f>IF(CdTrp1!C82=1,1,IF(CdTrp1!C82=2,2,IF(CdTrp1!C82=3,2,IF(CdTrp1!C82=4,4,0))))</f>
        <v>0</v>
      </c>
      <c r="AX115" s="173">
        <f>IF(CdTrp1!D82=1,1,IF(CdTrp1!D82=2,2,IF(CdTrp1!D82=3,2,IF(CdTrp1!D82=4,4,0))))</f>
        <v>0</v>
      </c>
      <c r="AY115" s="173">
        <f>IF(CdTrp1!E82=1,1,IF(CdTrp1!E82=2,2,IF(CdTrp1!E82=3,2,IF(CdTrp1!E82=4,4,0))))</f>
        <v>0</v>
      </c>
      <c r="AZ115" s="173">
        <f>IF(CdTrp1!F82=1,1,IF(CdTrp1!F82=2,2,IF(CdTrp1!F82=3,2,IF(CdTrp1!F82=4,4,0))))</f>
        <v>0</v>
      </c>
      <c r="BA115" s="173">
        <f>IF(CdTrp1!G82=1,1,IF(CdTrp1!G82=2,2,IF(CdTrp1!G82=3,2,IF(CdTrp1!G82=4,4,0))))</f>
        <v>0</v>
      </c>
      <c r="BB115" s="173">
        <f>IF(CdTrp1!H82=1,1,IF(CdTrp1!H82=2,2,IF(CdTrp1!H82=3,2,IF(CdTrp1!H82=4,4,0))))</f>
        <v>0</v>
      </c>
      <c r="BC115" s="173">
        <f>IF(CdTrp1!I82=1,1,IF(CdTrp1!I82=2,2,IF(CdTrp1!I82=3,2,IF(CdTrp1!I82=4,4,0))))</f>
        <v>0</v>
      </c>
      <c r="BD115" s="173">
        <f>IF(CdTrp1!J82=1,1,IF(CdTrp1!J82=2,2,IF(CdTrp1!J82=3,2,IF(CdTrp1!J82=4,4,0))))</f>
        <v>0</v>
      </c>
      <c r="BE115" s="173">
        <f>IF(CdTrp1!K82=1,1,IF(CdTrp1!K82=2,2,IF(CdTrp1!K82=3,2,IF(CdTrp1!K82=4,4,0))))</f>
        <v>0</v>
      </c>
      <c r="BF115" s="173">
        <f>IF(CdTrp1!L82=1,1,IF(CdTrp1!L82=2,2,IF(CdTrp1!L82=3,2,IF(CdTrp1!L82=4,4,0))))</f>
        <v>0</v>
      </c>
      <c r="BG115" s="173">
        <f>IF(CdTrp1!M82=1,1,IF(CdTrp1!M82=2,2,IF(CdTrp1!M82=3,2,IF(CdTrp1!M82=4,4,0))))</f>
        <v>0</v>
      </c>
      <c r="BH115" s="173">
        <f>IF(CdTrp1!N82=1,1,IF(CdTrp1!N82=2,2,IF(CdTrp1!N82=3,2,IF(CdTrp1!N82=4,4,0))))</f>
        <v>0</v>
      </c>
      <c r="BI115" s="173">
        <f>IF(CdTrp1!O82=1,1,IF(CdTrp1!O82=2,2,IF(CdTrp1!O82=3,2,IF(CdTrp1!O82=4,4,0))))</f>
        <v>0</v>
      </c>
      <c r="BJ115" s="173">
        <f>IF(CdTrp1!P82=1,1,IF(CdTrp1!P82=2,2,IF(CdTrp1!P82=3,2,IF(CdTrp1!P82=4,4,0))))</f>
        <v>0</v>
      </c>
      <c r="BK115" s="173">
        <f>IF(CdTrp1!Q82=1,1,IF(CdTrp1!Q82=2,2,IF(CdTrp1!Q82=3,2,IF(CdTrp1!Q82=4,4,0))))</f>
        <v>0</v>
      </c>
      <c r="BL115" s="173">
        <f>IF(CdTrp1!R82=1,1,IF(CdTrp1!R82=2,2,IF(CdTrp1!R82=3,2,IF(CdTrp1!R82=4,4,0))))</f>
        <v>0</v>
      </c>
      <c r="BM115" s="173">
        <f>IF(CdTrp1!S82=1,1,IF(CdTrp1!S82=2,2,IF(CdTrp1!S82=3,2,IF(CdTrp1!S82=4,4,0))))</f>
        <v>0</v>
      </c>
      <c r="BN115" s="173">
        <f>IF(CdTrp1!T82=1,1,IF(CdTrp1!T82=2,2,IF(CdTrp1!T82=3,2,IF(CdTrp1!T82=4,4,0))))</f>
        <v>0</v>
      </c>
      <c r="BO115" s="173">
        <f>IF(CdTrp1!U82=1,1,IF(CdTrp1!U82=2,2,IF(CdTrp1!U82=3,2,IF(CdTrp1!U82=4,4,0))))</f>
        <v>0</v>
      </c>
      <c r="BP115" s="173">
        <f>IF(CdTrp1!V82=1,1,IF(CdTrp1!V82=2,2,IF(CdTrp1!V82=3,2,IF(CdTrp1!V82=4,4,0))))</f>
        <v>0</v>
      </c>
      <c r="BQ115" s="173">
        <f>IF(CdTrp1!W82=1,1,IF(CdTrp1!W82=2,2,IF(CdTrp1!W82=3,2,IF(CdTrp1!W82=4,4,0))))</f>
        <v>0</v>
      </c>
      <c r="BR115" s="173">
        <f>IF(CdTrp1!X82=1,1,IF(CdTrp1!X82=2,2,IF(CdTrp1!X82=3,2,IF(CdTrp1!X82=4,4,0))))</f>
        <v>0</v>
      </c>
      <c r="BS115" s="173">
        <f>IF(CdTrp1!Y82=1,1,IF(CdTrp1!Y82=2,2,IF(CdTrp1!Y82=3,2,IF(CdTrp1!Y82=4,4,0))))</f>
        <v>0</v>
      </c>
      <c r="BZ115" s="189" t="str">
        <f t="shared" si="26"/>
        <v>lot7</v>
      </c>
      <c r="CA115" s="32"/>
      <c r="CB115" s="173">
        <f>IF(CdTrp2!B82=1,1,IF(CdTrp2!B82=2,2,IF(CdTrp2!B82=3,2,IF(CdTrp2!B82=4,4,0))))</f>
        <v>0</v>
      </c>
      <c r="CC115" s="173">
        <f>IF(CdTrp2!C82=1,1,IF(CdTrp2!C82=2,2,IF(CdTrp2!C82=3,2,IF(CdTrp2!C82=4,4,0))))</f>
        <v>0</v>
      </c>
      <c r="CD115" s="173">
        <f>IF(CdTrp2!D82=1,1,IF(CdTrp2!D82=2,2,IF(CdTrp2!D82=3,2,IF(CdTrp2!D82=4,4,0))))</f>
        <v>0</v>
      </c>
      <c r="CE115" s="173">
        <f>IF(CdTrp2!E82=1,1,IF(CdTrp2!E82=2,2,IF(CdTrp2!E82=3,2,IF(CdTrp2!E82=4,4,0))))</f>
        <v>0</v>
      </c>
      <c r="CF115" s="173">
        <f>IF(CdTrp2!F82=1,1,IF(CdTrp2!F82=2,2,IF(CdTrp2!F82=3,2,IF(CdTrp2!F82=4,4,0))))</f>
        <v>0</v>
      </c>
      <c r="CG115" s="173">
        <f>IF(CdTrp2!G82=1,1,IF(CdTrp2!G82=2,2,IF(CdTrp2!G82=3,2,IF(CdTrp2!G82=4,4,0))))</f>
        <v>0</v>
      </c>
      <c r="CH115" s="173">
        <f>IF(CdTrp2!H82=1,1,IF(CdTrp2!H82=2,2,IF(CdTrp2!H82=3,2,IF(CdTrp2!H82=4,4,0))))</f>
        <v>0</v>
      </c>
      <c r="CI115" s="173">
        <f>IF(CdTrp2!I82=1,1,IF(CdTrp2!I82=2,2,IF(CdTrp2!I82=3,2,IF(CdTrp2!I82=4,4,0))))</f>
        <v>0</v>
      </c>
      <c r="CJ115" s="173">
        <f>IF(CdTrp2!J82=1,1,IF(CdTrp2!J82=2,2,IF(CdTrp2!J82=3,2,IF(CdTrp2!J82=4,4,0))))</f>
        <v>0</v>
      </c>
      <c r="CK115" s="173">
        <f>IF(CdTrp2!K82=1,1,IF(CdTrp2!K82=2,2,IF(CdTrp2!K82=3,2,IF(CdTrp2!K82=4,4,0))))</f>
        <v>0</v>
      </c>
      <c r="CL115" s="173">
        <f>IF(CdTrp2!L82=1,1,IF(CdTrp2!L82=2,2,IF(CdTrp2!L82=3,2,IF(CdTrp2!L82=4,4,0))))</f>
        <v>0</v>
      </c>
      <c r="CM115" s="173">
        <f>IF(CdTrp2!M82=1,1,IF(CdTrp2!M82=2,2,IF(CdTrp2!M82=3,2,IF(CdTrp2!M82=4,4,0))))</f>
        <v>0</v>
      </c>
      <c r="CN115" s="173">
        <f>IF(CdTrp2!N82=1,1,IF(CdTrp2!N82=2,2,IF(CdTrp2!N82=3,2,IF(CdTrp2!N82=4,4,0))))</f>
        <v>0</v>
      </c>
      <c r="CO115" s="173">
        <f>IF(CdTrp2!O82=1,1,IF(CdTrp2!O82=2,2,IF(CdTrp2!O82=3,2,IF(CdTrp2!O82=4,4,0))))</f>
        <v>0</v>
      </c>
      <c r="CP115" s="173">
        <f>IF(CdTrp2!P82=1,1,IF(CdTrp2!P82=2,2,IF(CdTrp2!P82=3,2,IF(CdTrp2!P82=4,4,0))))</f>
        <v>0</v>
      </c>
      <c r="CQ115" s="173">
        <f>IF(CdTrp2!Q82=1,1,IF(CdTrp2!Q82=2,2,IF(CdTrp2!Q82=3,2,IF(CdTrp2!Q82=4,4,0))))</f>
        <v>0</v>
      </c>
      <c r="CR115" s="173">
        <f>IF(CdTrp2!R82=1,1,IF(CdTrp2!R82=2,2,IF(CdTrp2!R82=3,2,IF(CdTrp2!R82=4,4,0))))</f>
        <v>0</v>
      </c>
      <c r="CS115" s="173">
        <f>IF(CdTrp2!S82=1,1,IF(CdTrp2!S82=2,2,IF(CdTrp2!S82=3,2,IF(CdTrp2!S82=4,4,0))))</f>
        <v>0</v>
      </c>
      <c r="CT115" s="173">
        <f>IF(CdTrp2!T82=1,1,IF(CdTrp2!T82=2,2,IF(CdTrp2!T82=3,2,IF(CdTrp2!T82=4,4,0))))</f>
        <v>0</v>
      </c>
      <c r="CU115" s="173">
        <f>IF(CdTrp2!U82=1,1,IF(CdTrp2!U82=2,2,IF(CdTrp2!U82=3,2,IF(CdTrp2!U82=4,4,0))))</f>
        <v>0</v>
      </c>
      <c r="CV115" s="173">
        <f>IF(CdTrp2!V82=1,1,IF(CdTrp2!V82=2,2,IF(CdTrp2!V82=3,2,IF(CdTrp2!V82=4,4,0))))</f>
        <v>0</v>
      </c>
      <c r="CW115" s="173">
        <f>IF(CdTrp2!W82=1,1,IF(CdTrp2!W82=2,2,IF(CdTrp2!W82=3,2,IF(CdTrp2!W82=4,4,0))))</f>
        <v>0</v>
      </c>
      <c r="CX115" s="173">
        <f>IF(CdTrp2!X82=1,1,IF(CdTrp2!X82=2,2,IF(CdTrp2!X82=3,2,IF(CdTrp2!X82=4,4,0))))</f>
        <v>0</v>
      </c>
      <c r="CY115" s="173">
        <f>IF(CdTrp2!Y82=1,1,IF(CdTrp2!Y82=2,2,IF(CdTrp2!Y82=3,2,IF(CdTrp2!Y82=4,4,0))))</f>
        <v>0</v>
      </c>
      <c r="DC115" s="189" t="str">
        <f t="shared" si="27"/>
        <v>lot7</v>
      </c>
      <c r="DD115" s="32"/>
      <c r="DE115" s="173">
        <f>IF(CdTrp3!B82=1,1,IF(CdTrp3!B82=2,2,IF(CdTrp3!B82=3,2,IF(CdTrp3!B82=4,4,0))))</f>
        <v>0</v>
      </c>
      <c r="DF115" s="173">
        <f>IF(CdTrp3!C82=1,1,IF(CdTrp3!C82=2,2,IF(CdTrp3!C82=3,2,IF(CdTrp3!C82=4,4,0))))</f>
        <v>0</v>
      </c>
      <c r="DG115" s="173">
        <f>IF(CdTrp3!D82=1,1,IF(CdTrp3!D82=2,2,IF(CdTrp3!D82=3,2,IF(CdTrp3!D82=4,4,0))))</f>
        <v>0</v>
      </c>
      <c r="DH115" s="173">
        <f>IF(CdTrp3!E82=1,1,IF(CdTrp3!E82=2,2,IF(CdTrp3!E82=3,2,IF(CdTrp3!E82=4,4,0))))</f>
        <v>0</v>
      </c>
      <c r="DI115" s="173">
        <f>IF(CdTrp3!F82=1,1,IF(CdTrp3!F82=2,2,IF(CdTrp3!F82=3,2,IF(CdTrp3!F82=4,4,0))))</f>
        <v>0</v>
      </c>
      <c r="DJ115" s="173">
        <f>IF(CdTrp3!G82=1,1,IF(CdTrp3!G82=2,2,IF(CdTrp3!G82=3,2,IF(CdTrp3!G82=4,4,0))))</f>
        <v>0</v>
      </c>
      <c r="DK115" s="173">
        <f>IF(CdTrp3!H82=1,1,IF(CdTrp3!H82=2,2,IF(CdTrp3!H82=3,2,IF(CdTrp3!H82=4,4,0))))</f>
        <v>0</v>
      </c>
      <c r="DL115" s="173">
        <f>IF(CdTrp3!I82=1,1,IF(CdTrp3!I82=2,2,IF(CdTrp3!I82=3,2,IF(CdTrp3!I82=4,4,0))))</f>
        <v>0</v>
      </c>
      <c r="DM115" s="173">
        <f>IF(CdTrp3!J82=1,1,IF(CdTrp3!J82=2,2,IF(CdTrp3!J82=3,2,IF(CdTrp3!J82=4,4,0))))</f>
        <v>0</v>
      </c>
      <c r="DN115" s="173">
        <f>IF(CdTrp3!K82=1,1,IF(CdTrp3!K82=2,2,IF(CdTrp3!K82=3,2,IF(CdTrp3!K82=4,4,0))))</f>
        <v>0</v>
      </c>
      <c r="DO115" s="173">
        <f>IF(CdTrp3!L82=1,1,IF(CdTrp3!L82=2,2,IF(CdTrp3!L82=3,2,IF(CdTrp3!L82=4,4,0))))</f>
        <v>0</v>
      </c>
      <c r="DP115" s="173">
        <f>IF(CdTrp3!M82=1,1,IF(CdTrp3!M82=2,2,IF(CdTrp3!M82=3,2,IF(CdTrp3!M82=4,4,0))))</f>
        <v>0</v>
      </c>
      <c r="DQ115" s="173">
        <f>IF(CdTrp3!N82=1,1,IF(CdTrp3!N82=2,2,IF(CdTrp3!N82=3,2,IF(CdTrp3!N82=4,4,0))))</f>
        <v>0</v>
      </c>
      <c r="DR115" s="173">
        <f>IF(CdTrp3!O82=1,1,IF(CdTrp3!O82=2,2,IF(CdTrp3!O82=3,2,IF(CdTrp3!O82=4,4,0))))</f>
        <v>0</v>
      </c>
      <c r="DS115" s="173">
        <f>IF(CdTrp3!P82=1,1,IF(CdTrp3!P82=2,2,IF(CdTrp3!P82=3,2,IF(CdTrp3!P82=4,4,0))))</f>
        <v>0</v>
      </c>
      <c r="DT115" s="173">
        <f>IF(CdTrp3!Q82=1,1,IF(CdTrp3!Q82=2,2,IF(CdTrp3!Q82=3,2,IF(CdTrp3!Q82=4,4,0))))</f>
        <v>0</v>
      </c>
      <c r="DU115" s="173">
        <f>IF(CdTrp3!R82=1,1,IF(CdTrp3!R82=2,2,IF(CdTrp3!R82=3,2,IF(CdTrp3!R82=4,4,0))))</f>
        <v>0</v>
      </c>
      <c r="DV115" s="173">
        <f>IF(CdTrp3!S82=1,1,IF(CdTrp3!S82=2,2,IF(CdTrp3!S82=3,2,IF(CdTrp3!S82=4,4,0))))</f>
        <v>0</v>
      </c>
      <c r="DW115" s="173">
        <f>IF(CdTrp3!T82=1,1,IF(CdTrp3!T82=2,2,IF(CdTrp3!T82=3,2,IF(CdTrp3!T82=4,4,0))))</f>
        <v>0</v>
      </c>
      <c r="DX115" s="173">
        <f>IF(CdTrp3!U82=1,1,IF(CdTrp3!U82=2,2,IF(CdTrp3!U82=3,2,IF(CdTrp3!U82=4,4,0))))</f>
        <v>0</v>
      </c>
      <c r="DY115" s="173">
        <f>IF(CdTrp3!V82=1,1,IF(CdTrp3!V82=2,2,IF(CdTrp3!V82=3,2,IF(CdTrp3!V82=4,4,0))))</f>
        <v>0</v>
      </c>
      <c r="DZ115" s="173">
        <f>IF(CdTrp3!W82=1,1,IF(CdTrp3!W82=2,2,IF(CdTrp3!W82=3,2,IF(CdTrp3!W82=4,4,0))))</f>
        <v>0</v>
      </c>
      <c r="EA115" s="173">
        <f>IF(CdTrp3!X82=1,1,IF(CdTrp3!X82=2,2,IF(CdTrp3!X82=3,2,IF(CdTrp3!X82=4,4,0))))</f>
        <v>0</v>
      </c>
      <c r="EB115" s="173">
        <f>IF(CdTrp3!Y82=1,1,IF(CdTrp3!Y82=2,2,IF(CdTrp3!Y82=3,2,IF(CdTrp3!Y82=4,4,0))))</f>
        <v>0</v>
      </c>
    </row>
    <row r="116" spans="2:132" x14ac:dyDescent="0.25">
      <c r="B116" s="14" t="s">
        <v>1200</v>
      </c>
      <c r="C116" s="173">
        <f>COUNTIF($H$94:$AE$103,3)/2</f>
        <v>4.5</v>
      </c>
      <c r="D116" s="173">
        <f t="shared" si="25"/>
        <v>4.5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9" t="str">
        <f t="shared" si="28"/>
        <v>lot8</v>
      </c>
      <c r="AU116" s="32"/>
      <c r="AV116" s="173">
        <f>IF(CdTrp1!B83=1,1,IF(CdTrp1!B83=2,2,IF(CdTrp1!B83=3,2,IF(CdTrp1!B83=4,4,0))))</f>
        <v>0</v>
      </c>
      <c r="AW116" s="173">
        <f>IF(CdTrp1!C83=1,1,IF(CdTrp1!C83=2,2,IF(CdTrp1!C83=3,2,IF(CdTrp1!C83=4,4,0))))</f>
        <v>0</v>
      </c>
      <c r="AX116" s="173">
        <f>IF(CdTrp1!D83=1,1,IF(CdTrp1!D83=2,2,IF(CdTrp1!D83=3,2,IF(CdTrp1!D83=4,4,0))))</f>
        <v>0</v>
      </c>
      <c r="AY116" s="173">
        <f>IF(CdTrp1!E83=1,1,IF(CdTrp1!E83=2,2,IF(CdTrp1!E83=3,2,IF(CdTrp1!E83=4,4,0))))</f>
        <v>0</v>
      </c>
      <c r="AZ116" s="173">
        <f>IF(CdTrp1!F83=1,1,IF(CdTrp1!F83=2,2,IF(CdTrp1!F83=3,2,IF(CdTrp1!F83=4,4,0))))</f>
        <v>0</v>
      </c>
      <c r="BA116" s="173">
        <f>IF(CdTrp1!G83=1,1,IF(CdTrp1!G83=2,2,IF(CdTrp1!G83=3,2,IF(CdTrp1!G83=4,4,0))))</f>
        <v>0</v>
      </c>
      <c r="BB116" s="173">
        <f>IF(CdTrp1!H83=1,1,IF(CdTrp1!H83=2,2,IF(CdTrp1!H83=3,2,IF(CdTrp1!H83=4,4,0))))</f>
        <v>0</v>
      </c>
      <c r="BC116" s="173">
        <f>IF(CdTrp1!I83=1,1,IF(CdTrp1!I83=2,2,IF(CdTrp1!I83=3,2,IF(CdTrp1!I83=4,4,0))))</f>
        <v>0</v>
      </c>
      <c r="BD116" s="173">
        <f>IF(CdTrp1!J83=1,1,IF(CdTrp1!J83=2,2,IF(CdTrp1!J83=3,2,IF(CdTrp1!J83=4,4,0))))</f>
        <v>0</v>
      </c>
      <c r="BE116" s="173">
        <f>IF(CdTrp1!K83=1,1,IF(CdTrp1!K83=2,2,IF(CdTrp1!K83=3,2,IF(CdTrp1!K83=4,4,0))))</f>
        <v>0</v>
      </c>
      <c r="BF116" s="173">
        <f>IF(CdTrp1!L83=1,1,IF(CdTrp1!L83=2,2,IF(CdTrp1!L83=3,2,IF(CdTrp1!L83=4,4,0))))</f>
        <v>0</v>
      </c>
      <c r="BG116" s="173">
        <f>IF(CdTrp1!M83=1,1,IF(CdTrp1!M83=2,2,IF(CdTrp1!M83=3,2,IF(CdTrp1!M83=4,4,0))))</f>
        <v>0</v>
      </c>
      <c r="BH116" s="173">
        <f>IF(CdTrp1!N83=1,1,IF(CdTrp1!N83=2,2,IF(CdTrp1!N83=3,2,IF(CdTrp1!N83=4,4,0))))</f>
        <v>0</v>
      </c>
      <c r="BI116" s="173">
        <f>IF(CdTrp1!O83=1,1,IF(CdTrp1!O83=2,2,IF(CdTrp1!O83=3,2,IF(CdTrp1!O83=4,4,0))))</f>
        <v>0</v>
      </c>
      <c r="BJ116" s="173">
        <f>IF(CdTrp1!P83=1,1,IF(CdTrp1!P83=2,2,IF(CdTrp1!P83=3,2,IF(CdTrp1!P83=4,4,0))))</f>
        <v>0</v>
      </c>
      <c r="BK116" s="173">
        <f>IF(CdTrp1!Q83=1,1,IF(CdTrp1!Q83=2,2,IF(CdTrp1!Q83=3,2,IF(CdTrp1!Q83=4,4,0))))</f>
        <v>0</v>
      </c>
      <c r="BL116" s="173">
        <f>IF(CdTrp1!R83=1,1,IF(CdTrp1!R83=2,2,IF(CdTrp1!R83=3,2,IF(CdTrp1!R83=4,4,0))))</f>
        <v>0</v>
      </c>
      <c r="BM116" s="173">
        <f>IF(CdTrp1!S83=1,1,IF(CdTrp1!S83=2,2,IF(CdTrp1!S83=3,2,IF(CdTrp1!S83=4,4,0))))</f>
        <v>0</v>
      </c>
      <c r="BN116" s="173">
        <f>IF(CdTrp1!T83=1,1,IF(CdTrp1!T83=2,2,IF(CdTrp1!T83=3,2,IF(CdTrp1!T83=4,4,0))))</f>
        <v>0</v>
      </c>
      <c r="BO116" s="173">
        <f>IF(CdTrp1!U83=1,1,IF(CdTrp1!U83=2,2,IF(CdTrp1!U83=3,2,IF(CdTrp1!U83=4,4,0))))</f>
        <v>0</v>
      </c>
      <c r="BP116" s="173">
        <f>IF(CdTrp1!V83=1,1,IF(CdTrp1!V83=2,2,IF(CdTrp1!V83=3,2,IF(CdTrp1!V83=4,4,0))))</f>
        <v>0</v>
      </c>
      <c r="BQ116" s="173">
        <f>IF(CdTrp1!W83=1,1,IF(CdTrp1!W83=2,2,IF(CdTrp1!W83=3,2,IF(CdTrp1!W83=4,4,0))))</f>
        <v>0</v>
      </c>
      <c r="BR116" s="173">
        <f>IF(CdTrp1!X83=1,1,IF(CdTrp1!X83=2,2,IF(CdTrp1!X83=3,2,IF(CdTrp1!X83=4,4,0))))</f>
        <v>0</v>
      </c>
      <c r="BS116" s="173">
        <f>IF(CdTrp1!Y83=1,1,IF(CdTrp1!Y83=2,2,IF(CdTrp1!Y83=3,2,IF(CdTrp1!Y83=4,4,0))))</f>
        <v>0</v>
      </c>
      <c r="BZ116" s="189" t="str">
        <f t="shared" si="26"/>
        <v>lot8</v>
      </c>
      <c r="CA116" s="32"/>
      <c r="CB116" s="173">
        <f>IF(CdTrp2!B83=1,1,IF(CdTrp2!B83=2,2,IF(CdTrp2!B83=3,2,IF(CdTrp2!B83=4,4,0))))</f>
        <v>0</v>
      </c>
      <c r="CC116" s="173">
        <f>IF(CdTrp2!C83=1,1,IF(CdTrp2!C83=2,2,IF(CdTrp2!C83=3,2,IF(CdTrp2!C83=4,4,0))))</f>
        <v>0</v>
      </c>
      <c r="CD116" s="173">
        <f>IF(CdTrp2!D83=1,1,IF(CdTrp2!D83=2,2,IF(CdTrp2!D83=3,2,IF(CdTrp2!D83=4,4,0))))</f>
        <v>0</v>
      </c>
      <c r="CE116" s="173">
        <f>IF(CdTrp2!E83=1,1,IF(CdTrp2!E83=2,2,IF(CdTrp2!E83=3,2,IF(CdTrp2!E83=4,4,0))))</f>
        <v>0</v>
      </c>
      <c r="CF116" s="173">
        <f>IF(CdTrp2!F83=1,1,IF(CdTrp2!F83=2,2,IF(CdTrp2!F83=3,2,IF(CdTrp2!F83=4,4,0))))</f>
        <v>0</v>
      </c>
      <c r="CG116" s="173">
        <f>IF(CdTrp2!G83=1,1,IF(CdTrp2!G83=2,2,IF(CdTrp2!G83=3,2,IF(CdTrp2!G83=4,4,0))))</f>
        <v>0</v>
      </c>
      <c r="CH116" s="173">
        <f>IF(CdTrp2!H83=1,1,IF(CdTrp2!H83=2,2,IF(CdTrp2!H83=3,2,IF(CdTrp2!H83=4,4,0))))</f>
        <v>0</v>
      </c>
      <c r="CI116" s="173">
        <f>IF(CdTrp2!I83=1,1,IF(CdTrp2!I83=2,2,IF(CdTrp2!I83=3,2,IF(CdTrp2!I83=4,4,0))))</f>
        <v>0</v>
      </c>
      <c r="CJ116" s="173">
        <f>IF(CdTrp2!J83=1,1,IF(CdTrp2!J83=2,2,IF(CdTrp2!J83=3,2,IF(CdTrp2!J83=4,4,0))))</f>
        <v>0</v>
      </c>
      <c r="CK116" s="173">
        <f>IF(CdTrp2!K83=1,1,IF(CdTrp2!K83=2,2,IF(CdTrp2!K83=3,2,IF(CdTrp2!K83=4,4,0))))</f>
        <v>0</v>
      </c>
      <c r="CL116" s="173">
        <f>IF(CdTrp2!L83=1,1,IF(CdTrp2!L83=2,2,IF(CdTrp2!L83=3,2,IF(CdTrp2!L83=4,4,0))))</f>
        <v>0</v>
      </c>
      <c r="CM116" s="173">
        <f>IF(CdTrp2!M83=1,1,IF(CdTrp2!M83=2,2,IF(CdTrp2!M83=3,2,IF(CdTrp2!M83=4,4,0))))</f>
        <v>0</v>
      </c>
      <c r="CN116" s="173">
        <f>IF(CdTrp2!N83=1,1,IF(CdTrp2!N83=2,2,IF(CdTrp2!N83=3,2,IF(CdTrp2!N83=4,4,0))))</f>
        <v>0</v>
      </c>
      <c r="CO116" s="173">
        <f>IF(CdTrp2!O83=1,1,IF(CdTrp2!O83=2,2,IF(CdTrp2!O83=3,2,IF(CdTrp2!O83=4,4,0))))</f>
        <v>0</v>
      </c>
      <c r="CP116" s="173">
        <f>IF(CdTrp2!P83=1,1,IF(CdTrp2!P83=2,2,IF(CdTrp2!P83=3,2,IF(CdTrp2!P83=4,4,0))))</f>
        <v>0</v>
      </c>
      <c r="CQ116" s="173">
        <f>IF(CdTrp2!Q83=1,1,IF(CdTrp2!Q83=2,2,IF(CdTrp2!Q83=3,2,IF(CdTrp2!Q83=4,4,0))))</f>
        <v>0</v>
      </c>
      <c r="CR116" s="173">
        <f>IF(CdTrp2!R83=1,1,IF(CdTrp2!R83=2,2,IF(CdTrp2!R83=3,2,IF(CdTrp2!R83=4,4,0))))</f>
        <v>0</v>
      </c>
      <c r="CS116" s="173">
        <f>IF(CdTrp2!S83=1,1,IF(CdTrp2!S83=2,2,IF(CdTrp2!S83=3,2,IF(CdTrp2!S83=4,4,0))))</f>
        <v>0</v>
      </c>
      <c r="CT116" s="173">
        <f>IF(CdTrp2!T83=1,1,IF(CdTrp2!T83=2,2,IF(CdTrp2!T83=3,2,IF(CdTrp2!T83=4,4,0))))</f>
        <v>0</v>
      </c>
      <c r="CU116" s="173">
        <f>IF(CdTrp2!U83=1,1,IF(CdTrp2!U83=2,2,IF(CdTrp2!U83=3,2,IF(CdTrp2!U83=4,4,0))))</f>
        <v>0</v>
      </c>
      <c r="CV116" s="173">
        <f>IF(CdTrp2!V83=1,1,IF(CdTrp2!V83=2,2,IF(CdTrp2!V83=3,2,IF(CdTrp2!V83=4,4,0))))</f>
        <v>0</v>
      </c>
      <c r="CW116" s="173">
        <f>IF(CdTrp2!W83=1,1,IF(CdTrp2!W83=2,2,IF(CdTrp2!W83=3,2,IF(CdTrp2!W83=4,4,0))))</f>
        <v>0</v>
      </c>
      <c r="CX116" s="173">
        <f>IF(CdTrp2!X83=1,1,IF(CdTrp2!X83=2,2,IF(CdTrp2!X83=3,2,IF(CdTrp2!X83=4,4,0))))</f>
        <v>0</v>
      </c>
      <c r="CY116" s="173">
        <f>IF(CdTrp2!Y83=1,1,IF(CdTrp2!Y83=2,2,IF(CdTrp2!Y83=3,2,IF(CdTrp2!Y83=4,4,0))))</f>
        <v>0</v>
      </c>
      <c r="DC116" s="189" t="str">
        <f t="shared" si="27"/>
        <v>lot8</v>
      </c>
      <c r="DD116" s="32"/>
      <c r="DE116" s="173">
        <f>IF(CdTrp3!B83=1,1,IF(CdTrp3!B83=2,2,IF(CdTrp3!B83=3,2,IF(CdTrp3!B83=4,4,0))))</f>
        <v>0</v>
      </c>
      <c r="DF116" s="173">
        <f>IF(CdTrp3!C83=1,1,IF(CdTrp3!C83=2,2,IF(CdTrp3!C83=3,2,IF(CdTrp3!C83=4,4,0))))</f>
        <v>0</v>
      </c>
      <c r="DG116" s="173">
        <f>IF(CdTrp3!D83=1,1,IF(CdTrp3!D83=2,2,IF(CdTrp3!D83=3,2,IF(CdTrp3!D83=4,4,0))))</f>
        <v>0</v>
      </c>
      <c r="DH116" s="173">
        <f>IF(CdTrp3!E83=1,1,IF(CdTrp3!E83=2,2,IF(CdTrp3!E83=3,2,IF(CdTrp3!E83=4,4,0))))</f>
        <v>0</v>
      </c>
      <c r="DI116" s="173">
        <f>IF(CdTrp3!F83=1,1,IF(CdTrp3!F83=2,2,IF(CdTrp3!F83=3,2,IF(CdTrp3!F83=4,4,0))))</f>
        <v>0</v>
      </c>
      <c r="DJ116" s="173">
        <f>IF(CdTrp3!G83=1,1,IF(CdTrp3!G83=2,2,IF(CdTrp3!G83=3,2,IF(CdTrp3!G83=4,4,0))))</f>
        <v>0</v>
      </c>
      <c r="DK116" s="173">
        <f>IF(CdTrp3!H83=1,1,IF(CdTrp3!H83=2,2,IF(CdTrp3!H83=3,2,IF(CdTrp3!H83=4,4,0))))</f>
        <v>0</v>
      </c>
      <c r="DL116" s="173">
        <f>IF(CdTrp3!I83=1,1,IF(CdTrp3!I83=2,2,IF(CdTrp3!I83=3,2,IF(CdTrp3!I83=4,4,0))))</f>
        <v>0</v>
      </c>
      <c r="DM116" s="173">
        <f>IF(CdTrp3!J83=1,1,IF(CdTrp3!J83=2,2,IF(CdTrp3!J83=3,2,IF(CdTrp3!J83=4,4,0))))</f>
        <v>0</v>
      </c>
      <c r="DN116" s="173">
        <f>IF(CdTrp3!K83=1,1,IF(CdTrp3!K83=2,2,IF(CdTrp3!K83=3,2,IF(CdTrp3!K83=4,4,0))))</f>
        <v>0</v>
      </c>
      <c r="DO116" s="173">
        <f>IF(CdTrp3!L83=1,1,IF(CdTrp3!L83=2,2,IF(CdTrp3!L83=3,2,IF(CdTrp3!L83=4,4,0))))</f>
        <v>0</v>
      </c>
      <c r="DP116" s="173">
        <f>IF(CdTrp3!M83=1,1,IF(CdTrp3!M83=2,2,IF(CdTrp3!M83=3,2,IF(CdTrp3!M83=4,4,0))))</f>
        <v>0</v>
      </c>
      <c r="DQ116" s="173">
        <f>IF(CdTrp3!N83=1,1,IF(CdTrp3!N83=2,2,IF(CdTrp3!N83=3,2,IF(CdTrp3!N83=4,4,0))))</f>
        <v>0</v>
      </c>
      <c r="DR116" s="173">
        <f>IF(CdTrp3!O83=1,1,IF(CdTrp3!O83=2,2,IF(CdTrp3!O83=3,2,IF(CdTrp3!O83=4,4,0))))</f>
        <v>0</v>
      </c>
      <c r="DS116" s="173">
        <f>IF(CdTrp3!P83=1,1,IF(CdTrp3!P83=2,2,IF(CdTrp3!P83=3,2,IF(CdTrp3!P83=4,4,0))))</f>
        <v>0</v>
      </c>
      <c r="DT116" s="173">
        <f>IF(CdTrp3!Q83=1,1,IF(CdTrp3!Q83=2,2,IF(CdTrp3!Q83=3,2,IF(CdTrp3!Q83=4,4,0))))</f>
        <v>0</v>
      </c>
      <c r="DU116" s="173">
        <f>IF(CdTrp3!R83=1,1,IF(CdTrp3!R83=2,2,IF(CdTrp3!R83=3,2,IF(CdTrp3!R83=4,4,0))))</f>
        <v>0</v>
      </c>
      <c r="DV116" s="173">
        <f>IF(CdTrp3!S83=1,1,IF(CdTrp3!S83=2,2,IF(CdTrp3!S83=3,2,IF(CdTrp3!S83=4,4,0))))</f>
        <v>0</v>
      </c>
      <c r="DW116" s="173">
        <f>IF(CdTrp3!T83=1,1,IF(CdTrp3!T83=2,2,IF(CdTrp3!T83=3,2,IF(CdTrp3!T83=4,4,0))))</f>
        <v>0</v>
      </c>
      <c r="DX116" s="173">
        <f>IF(CdTrp3!U83=1,1,IF(CdTrp3!U83=2,2,IF(CdTrp3!U83=3,2,IF(CdTrp3!U83=4,4,0))))</f>
        <v>0</v>
      </c>
      <c r="DY116" s="173">
        <f>IF(CdTrp3!V83=1,1,IF(CdTrp3!V83=2,2,IF(CdTrp3!V83=3,2,IF(CdTrp3!V83=4,4,0))))</f>
        <v>0</v>
      </c>
      <c r="DZ116" s="173">
        <f>IF(CdTrp3!W83=1,1,IF(CdTrp3!W83=2,2,IF(CdTrp3!W83=3,2,IF(CdTrp3!W83=4,4,0))))</f>
        <v>0</v>
      </c>
      <c r="EA116" s="173">
        <f>IF(CdTrp3!X83=1,1,IF(CdTrp3!X83=2,2,IF(CdTrp3!X83=3,2,IF(CdTrp3!X83=4,4,0))))</f>
        <v>0</v>
      </c>
      <c r="EB116" s="173">
        <f>IF(CdTrp3!Y83=1,1,IF(CdTrp3!Y83=2,2,IF(CdTrp3!Y83=3,2,IF(CdTrp3!Y83=4,4,0))))</f>
        <v>0</v>
      </c>
    </row>
    <row r="117" spans="2:132" x14ac:dyDescent="0.25">
      <c r="B117" s="14" t="s">
        <v>1201</v>
      </c>
      <c r="C117" s="173">
        <f>COUNTIF($H$105:$AE$114,3)/2</f>
        <v>1.5</v>
      </c>
      <c r="D117" s="173">
        <f t="shared" si="25"/>
        <v>1.5</v>
      </c>
      <c r="G117" s="186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9" t="str">
        <f t="shared" si="28"/>
        <v>lot9</v>
      </c>
      <c r="AU117" s="32"/>
      <c r="AV117" s="173">
        <f>IF(CdTrp1!B84=1,1,IF(CdTrp1!B84=2,2,IF(CdTrp1!B84=3,2,IF(CdTrp1!B84=4,4,0))))</f>
        <v>0</v>
      </c>
      <c r="AW117" s="173">
        <f>IF(CdTrp1!C84=1,1,IF(CdTrp1!C84=2,2,IF(CdTrp1!C84=3,2,IF(CdTrp1!C84=4,4,0))))</f>
        <v>0</v>
      </c>
      <c r="AX117" s="173">
        <f>IF(CdTrp1!D84=1,1,IF(CdTrp1!D84=2,2,IF(CdTrp1!D84=3,2,IF(CdTrp1!D84=4,4,0))))</f>
        <v>0</v>
      </c>
      <c r="AY117" s="173">
        <f>IF(CdTrp1!E84=1,1,IF(CdTrp1!E84=2,2,IF(CdTrp1!E84=3,2,IF(CdTrp1!E84=4,4,0))))</f>
        <v>0</v>
      </c>
      <c r="AZ117" s="173">
        <f>IF(CdTrp1!F84=1,1,IF(CdTrp1!F84=2,2,IF(CdTrp1!F84=3,2,IF(CdTrp1!F84=4,4,0))))</f>
        <v>0</v>
      </c>
      <c r="BA117" s="173">
        <f>IF(CdTrp1!G84=1,1,IF(CdTrp1!G84=2,2,IF(CdTrp1!G84=3,2,IF(CdTrp1!G84=4,4,0))))</f>
        <v>0</v>
      </c>
      <c r="BB117" s="173">
        <f>IF(CdTrp1!H84=1,1,IF(CdTrp1!H84=2,2,IF(CdTrp1!H84=3,2,IF(CdTrp1!H84=4,4,0))))</f>
        <v>0</v>
      </c>
      <c r="BC117" s="173">
        <f>IF(CdTrp1!I84=1,1,IF(CdTrp1!I84=2,2,IF(CdTrp1!I84=3,2,IF(CdTrp1!I84=4,4,0))))</f>
        <v>0</v>
      </c>
      <c r="BD117" s="173">
        <f>IF(CdTrp1!J84=1,1,IF(CdTrp1!J84=2,2,IF(CdTrp1!J84=3,2,IF(CdTrp1!J84=4,4,0))))</f>
        <v>0</v>
      </c>
      <c r="BE117" s="173">
        <f>IF(CdTrp1!K84=1,1,IF(CdTrp1!K84=2,2,IF(CdTrp1!K84=3,2,IF(CdTrp1!K84=4,4,0))))</f>
        <v>0</v>
      </c>
      <c r="BF117" s="173">
        <f>IF(CdTrp1!L84=1,1,IF(CdTrp1!L84=2,2,IF(CdTrp1!L84=3,2,IF(CdTrp1!L84=4,4,0))))</f>
        <v>0</v>
      </c>
      <c r="BG117" s="173">
        <f>IF(CdTrp1!M84=1,1,IF(CdTrp1!M84=2,2,IF(CdTrp1!M84=3,2,IF(CdTrp1!M84=4,4,0))))</f>
        <v>0</v>
      </c>
      <c r="BH117" s="173">
        <f>IF(CdTrp1!N84=1,1,IF(CdTrp1!N84=2,2,IF(CdTrp1!N84=3,2,IF(CdTrp1!N84=4,4,0))))</f>
        <v>0</v>
      </c>
      <c r="BI117" s="173">
        <f>IF(CdTrp1!O84=1,1,IF(CdTrp1!O84=2,2,IF(CdTrp1!O84=3,2,IF(CdTrp1!O84=4,4,0))))</f>
        <v>0</v>
      </c>
      <c r="BJ117" s="173">
        <f>IF(CdTrp1!P84=1,1,IF(CdTrp1!P84=2,2,IF(CdTrp1!P84=3,2,IF(CdTrp1!P84=4,4,0))))</f>
        <v>0</v>
      </c>
      <c r="BK117" s="173">
        <f>IF(CdTrp1!Q84=1,1,IF(CdTrp1!Q84=2,2,IF(CdTrp1!Q84=3,2,IF(CdTrp1!Q84=4,4,0))))</f>
        <v>0</v>
      </c>
      <c r="BL117" s="173">
        <f>IF(CdTrp1!R84=1,1,IF(CdTrp1!R84=2,2,IF(CdTrp1!R84=3,2,IF(CdTrp1!R84=4,4,0))))</f>
        <v>0</v>
      </c>
      <c r="BM117" s="173">
        <f>IF(CdTrp1!S84=1,1,IF(CdTrp1!S84=2,2,IF(CdTrp1!S84=3,2,IF(CdTrp1!S84=4,4,0))))</f>
        <v>0</v>
      </c>
      <c r="BN117" s="173">
        <f>IF(CdTrp1!T84=1,1,IF(CdTrp1!T84=2,2,IF(CdTrp1!T84=3,2,IF(CdTrp1!T84=4,4,0))))</f>
        <v>0</v>
      </c>
      <c r="BO117" s="173">
        <f>IF(CdTrp1!U84=1,1,IF(CdTrp1!U84=2,2,IF(CdTrp1!U84=3,2,IF(CdTrp1!U84=4,4,0))))</f>
        <v>0</v>
      </c>
      <c r="BP117" s="173">
        <f>IF(CdTrp1!V84=1,1,IF(CdTrp1!V84=2,2,IF(CdTrp1!V84=3,2,IF(CdTrp1!V84=4,4,0))))</f>
        <v>0</v>
      </c>
      <c r="BQ117" s="173">
        <f>IF(CdTrp1!W84=1,1,IF(CdTrp1!W84=2,2,IF(CdTrp1!W84=3,2,IF(CdTrp1!W84=4,4,0))))</f>
        <v>0</v>
      </c>
      <c r="BR117" s="173">
        <f>IF(CdTrp1!X84=1,1,IF(CdTrp1!X84=2,2,IF(CdTrp1!X84=3,2,IF(CdTrp1!X84=4,4,0))))</f>
        <v>0</v>
      </c>
      <c r="BS117" s="173">
        <f>IF(CdTrp1!Y84=1,1,IF(CdTrp1!Y84=2,2,IF(CdTrp1!Y84=3,2,IF(CdTrp1!Y84=4,4,0))))</f>
        <v>0</v>
      </c>
      <c r="BZ117" s="189" t="str">
        <f t="shared" ref="BZ117:BZ118" si="29">+BZ84</f>
        <v>lot9</v>
      </c>
      <c r="CA117" s="32"/>
      <c r="CB117" s="173">
        <f>IF(CdTrp2!B84=1,1,IF(CdTrp2!B84=2,2,IF(CdTrp2!B84=3,2,IF(CdTrp2!B84=4,4,0))))</f>
        <v>0</v>
      </c>
      <c r="CC117" s="173">
        <f>IF(CdTrp2!C84=1,1,IF(CdTrp2!C84=2,2,IF(CdTrp2!C84=3,2,IF(CdTrp2!C84=4,4,0))))</f>
        <v>0</v>
      </c>
      <c r="CD117" s="173">
        <f>IF(CdTrp2!D84=1,1,IF(CdTrp2!D84=2,2,IF(CdTrp2!D84=3,2,IF(CdTrp2!D84=4,4,0))))</f>
        <v>0</v>
      </c>
      <c r="CE117" s="173">
        <f>IF(CdTrp2!E84=1,1,IF(CdTrp2!E84=2,2,IF(CdTrp2!E84=3,2,IF(CdTrp2!E84=4,4,0))))</f>
        <v>0</v>
      </c>
      <c r="CF117" s="173">
        <f>IF(CdTrp2!F84=1,1,IF(CdTrp2!F84=2,2,IF(CdTrp2!F84=3,2,IF(CdTrp2!F84=4,4,0))))</f>
        <v>0</v>
      </c>
      <c r="CG117" s="173">
        <f>IF(CdTrp2!G84=1,1,IF(CdTrp2!G84=2,2,IF(CdTrp2!G84=3,2,IF(CdTrp2!G84=4,4,0))))</f>
        <v>0</v>
      </c>
      <c r="CH117" s="173">
        <f>IF(CdTrp2!H84=1,1,IF(CdTrp2!H84=2,2,IF(CdTrp2!H84=3,2,IF(CdTrp2!H84=4,4,0))))</f>
        <v>0</v>
      </c>
      <c r="CI117" s="173">
        <f>IF(CdTrp2!I84=1,1,IF(CdTrp2!I84=2,2,IF(CdTrp2!I84=3,2,IF(CdTrp2!I84=4,4,0))))</f>
        <v>0</v>
      </c>
      <c r="CJ117" s="173">
        <f>IF(CdTrp2!J84=1,1,IF(CdTrp2!J84=2,2,IF(CdTrp2!J84=3,2,IF(CdTrp2!J84=4,4,0))))</f>
        <v>0</v>
      </c>
      <c r="CK117" s="173">
        <f>IF(CdTrp2!K84=1,1,IF(CdTrp2!K84=2,2,IF(CdTrp2!K84=3,2,IF(CdTrp2!K84=4,4,0))))</f>
        <v>0</v>
      </c>
      <c r="CL117" s="173">
        <f>IF(CdTrp2!L84=1,1,IF(CdTrp2!L84=2,2,IF(CdTrp2!L84=3,2,IF(CdTrp2!L84=4,4,0))))</f>
        <v>0</v>
      </c>
      <c r="CM117" s="173">
        <f>IF(CdTrp2!M84=1,1,IF(CdTrp2!M84=2,2,IF(CdTrp2!M84=3,2,IF(CdTrp2!M84=4,4,0))))</f>
        <v>0</v>
      </c>
      <c r="CN117" s="173">
        <f>IF(CdTrp2!N84=1,1,IF(CdTrp2!N84=2,2,IF(CdTrp2!N84=3,2,IF(CdTrp2!N84=4,4,0))))</f>
        <v>0</v>
      </c>
      <c r="CO117" s="173">
        <f>IF(CdTrp2!O84=1,1,IF(CdTrp2!O84=2,2,IF(CdTrp2!O84=3,2,IF(CdTrp2!O84=4,4,0))))</f>
        <v>0</v>
      </c>
      <c r="CP117" s="173">
        <f>IF(CdTrp2!P84=1,1,IF(CdTrp2!P84=2,2,IF(CdTrp2!P84=3,2,IF(CdTrp2!P84=4,4,0))))</f>
        <v>0</v>
      </c>
      <c r="CQ117" s="173">
        <f>IF(CdTrp2!Q84=1,1,IF(CdTrp2!Q84=2,2,IF(CdTrp2!Q84=3,2,IF(CdTrp2!Q84=4,4,0))))</f>
        <v>0</v>
      </c>
      <c r="CR117" s="173">
        <f>IF(CdTrp2!R84=1,1,IF(CdTrp2!R84=2,2,IF(CdTrp2!R84=3,2,IF(CdTrp2!R84=4,4,0))))</f>
        <v>0</v>
      </c>
      <c r="CS117" s="173">
        <f>IF(CdTrp2!S84=1,1,IF(CdTrp2!S84=2,2,IF(CdTrp2!S84=3,2,IF(CdTrp2!S84=4,4,0))))</f>
        <v>0</v>
      </c>
      <c r="CT117" s="173">
        <f>IF(CdTrp2!T84=1,1,IF(CdTrp2!T84=2,2,IF(CdTrp2!T84=3,2,IF(CdTrp2!T84=4,4,0))))</f>
        <v>0</v>
      </c>
      <c r="CU117" s="173">
        <f>IF(CdTrp2!U84=1,1,IF(CdTrp2!U84=2,2,IF(CdTrp2!U84=3,2,IF(CdTrp2!U84=4,4,0))))</f>
        <v>0</v>
      </c>
      <c r="CV117" s="173">
        <f>IF(CdTrp2!V84=1,1,IF(CdTrp2!V84=2,2,IF(CdTrp2!V84=3,2,IF(CdTrp2!V84=4,4,0))))</f>
        <v>0</v>
      </c>
      <c r="CW117" s="173">
        <f>IF(CdTrp2!W84=1,1,IF(CdTrp2!W84=2,2,IF(CdTrp2!W84=3,2,IF(CdTrp2!W84=4,4,0))))</f>
        <v>0</v>
      </c>
      <c r="CX117" s="173">
        <f>IF(CdTrp2!X84=1,1,IF(CdTrp2!X84=2,2,IF(CdTrp2!X84=3,2,IF(CdTrp2!X84=4,4,0))))</f>
        <v>0</v>
      </c>
      <c r="CY117" s="173">
        <f>IF(CdTrp2!Y84=1,1,IF(CdTrp2!Y84=2,2,IF(CdTrp2!Y84=3,2,IF(CdTrp2!Y84=4,4,0))))</f>
        <v>0</v>
      </c>
      <c r="DC117" s="189" t="str">
        <f t="shared" ref="DC117:DC118" si="30">+DC84</f>
        <v>lot9</v>
      </c>
      <c r="DD117" s="32"/>
      <c r="DE117" s="173">
        <f>IF(CdTrp3!B84=1,1,IF(CdTrp3!B84=2,2,IF(CdTrp3!B84=3,2,IF(CdTrp3!B84=4,4,0))))</f>
        <v>0</v>
      </c>
      <c r="DF117" s="173">
        <f>IF(CdTrp3!C84=1,1,IF(CdTrp3!C84=2,2,IF(CdTrp3!C84=3,2,IF(CdTrp3!C84=4,4,0))))</f>
        <v>0</v>
      </c>
      <c r="DG117" s="173">
        <f>IF(CdTrp3!D84=1,1,IF(CdTrp3!D84=2,2,IF(CdTrp3!D84=3,2,IF(CdTrp3!D84=4,4,0))))</f>
        <v>0</v>
      </c>
      <c r="DH117" s="173">
        <f>IF(CdTrp3!E84=1,1,IF(CdTrp3!E84=2,2,IF(CdTrp3!E84=3,2,IF(CdTrp3!E84=4,4,0))))</f>
        <v>0</v>
      </c>
      <c r="DI117" s="173">
        <f>IF(CdTrp3!F84=1,1,IF(CdTrp3!F84=2,2,IF(CdTrp3!F84=3,2,IF(CdTrp3!F84=4,4,0))))</f>
        <v>0</v>
      </c>
      <c r="DJ117" s="173">
        <f>IF(CdTrp3!G84=1,1,IF(CdTrp3!G84=2,2,IF(CdTrp3!G84=3,2,IF(CdTrp3!G84=4,4,0))))</f>
        <v>0</v>
      </c>
      <c r="DK117" s="173">
        <f>IF(CdTrp3!H84=1,1,IF(CdTrp3!H84=2,2,IF(CdTrp3!H84=3,2,IF(CdTrp3!H84=4,4,0))))</f>
        <v>0</v>
      </c>
      <c r="DL117" s="173">
        <f>IF(CdTrp3!I84=1,1,IF(CdTrp3!I84=2,2,IF(CdTrp3!I84=3,2,IF(CdTrp3!I84=4,4,0))))</f>
        <v>0</v>
      </c>
      <c r="DM117" s="173">
        <f>IF(CdTrp3!J84=1,1,IF(CdTrp3!J84=2,2,IF(CdTrp3!J84=3,2,IF(CdTrp3!J84=4,4,0))))</f>
        <v>0</v>
      </c>
      <c r="DN117" s="173">
        <f>IF(CdTrp3!K84=1,1,IF(CdTrp3!K84=2,2,IF(CdTrp3!K84=3,2,IF(CdTrp3!K84=4,4,0))))</f>
        <v>0</v>
      </c>
      <c r="DO117" s="173">
        <f>IF(CdTrp3!L84=1,1,IF(CdTrp3!L84=2,2,IF(CdTrp3!L84=3,2,IF(CdTrp3!L84=4,4,0))))</f>
        <v>0</v>
      </c>
      <c r="DP117" s="173">
        <f>IF(CdTrp3!M84=1,1,IF(CdTrp3!M84=2,2,IF(CdTrp3!M84=3,2,IF(CdTrp3!M84=4,4,0))))</f>
        <v>0</v>
      </c>
      <c r="DQ117" s="173">
        <f>IF(CdTrp3!N84=1,1,IF(CdTrp3!N84=2,2,IF(CdTrp3!N84=3,2,IF(CdTrp3!N84=4,4,0))))</f>
        <v>0</v>
      </c>
      <c r="DR117" s="173">
        <f>IF(CdTrp3!O84=1,1,IF(CdTrp3!O84=2,2,IF(CdTrp3!O84=3,2,IF(CdTrp3!O84=4,4,0))))</f>
        <v>0</v>
      </c>
      <c r="DS117" s="173">
        <f>IF(CdTrp3!P84=1,1,IF(CdTrp3!P84=2,2,IF(CdTrp3!P84=3,2,IF(CdTrp3!P84=4,4,0))))</f>
        <v>0</v>
      </c>
      <c r="DT117" s="173">
        <f>IF(CdTrp3!Q84=1,1,IF(CdTrp3!Q84=2,2,IF(CdTrp3!Q84=3,2,IF(CdTrp3!Q84=4,4,0))))</f>
        <v>0</v>
      </c>
      <c r="DU117" s="173">
        <f>IF(CdTrp3!R84=1,1,IF(CdTrp3!R84=2,2,IF(CdTrp3!R84=3,2,IF(CdTrp3!R84=4,4,0))))</f>
        <v>0</v>
      </c>
      <c r="DV117" s="173">
        <f>IF(CdTrp3!S84=1,1,IF(CdTrp3!S84=2,2,IF(CdTrp3!S84=3,2,IF(CdTrp3!S84=4,4,0))))</f>
        <v>0</v>
      </c>
      <c r="DW117" s="173">
        <f>IF(CdTrp3!T84=1,1,IF(CdTrp3!T84=2,2,IF(CdTrp3!T84=3,2,IF(CdTrp3!T84=4,4,0))))</f>
        <v>0</v>
      </c>
      <c r="DX117" s="173">
        <f>IF(CdTrp3!U84=1,1,IF(CdTrp3!U84=2,2,IF(CdTrp3!U84=3,2,IF(CdTrp3!U84=4,4,0))))</f>
        <v>0</v>
      </c>
      <c r="DY117" s="173">
        <f>IF(CdTrp3!V84=1,1,IF(CdTrp3!V84=2,2,IF(CdTrp3!V84=3,2,IF(CdTrp3!V84=4,4,0))))</f>
        <v>0</v>
      </c>
      <c r="DZ117" s="173">
        <f>IF(CdTrp3!W84=1,1,IF(CdTrp3!W84=2,2,IF(CdTrp3!W84=3,2,IF(CdTrp3!W84=4,4,0))))</f>
        <v>0</v>
      </c>
      <c r="EA117" s="173">
        <f>IF(CdTrp3!X84=1,1,IF(CdTrp3!X84=2,2,IF(CdTrp3!X84=3,2,IF(CdTrp3!X84=4,4,0))))</f>
        <v>0</v>
      </c>
      <c r="EB117" s="173">
        <f>IF(CdTrp3!Y84=1,1,IF(CdTrp3!Y84=2,2,IF(CdTrp3!Y84=3,2,IF(CdTrp3!Y84=4,4,0))))</f>
        <v>0</v>
      </c>
    </row>
    <row r="118" spans="2:132" x14ac:dyDescent="0.25">
      <c r="B118" s="14" t="s">
        <v>1202</v>
      </c>
      <c r="C118" s="173">
        <f>COUNTIF($H$116:$AE$125,3)/2</f>
        <v>0</v>
      </c>
      <c r="D118" s="173">
        <f t="shared" si="25"/>
        <v>0</v>
      </c>
      <c r="G118" s="186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9" t="str">
        <f t="shared" si="28"/>
        <v>lot10</v>
      </c>
      <c r="AU118" s="32"/>
      <c r="AV118" s="173">
        <f>IF(CdTrp1!B85=1,1,IF(CdTrp1!B85=2,2,IF(CdTrp1!B85=3,2,IF(CdTrp1!B85=4,4,0))))</f>
        <v>0</v>
      </c>
      <c r="AW118" s="173">
        <f>IF(CdTrp1!C85=1,1,IF(CdTrp1!C85=2,2,IF(CdTrp1!C85=3,2,IF(CdTrp1!C85=4,4,0))))</f>
        <v>0</v>
      </c>
      <c r="AX118" s="173">
        <f>IF(CdTrp1!D85=1,1,IF(CdTrp1!D85=2,2,IF(CdTrp1!D85=3,2,IF(CdTrp1!D85=4,4,0))))</f>
        <v>0</v>
      </c>
      <c r="AY118" s="173">
        <f>IF(CdTrp1!E85=1,1,IF(CdTrp1!E85=2,2,IF(CdTrp1!E85=3,2,IF(CdTrp1!E85=4,4,0))))</f>
        <v>0</v>
      </c>
      <c r="AZ118" s="173">
        <f>IF(CdTrp1!F85=1,1,IF(CdTrp1!F85=2,2,IF(CdTrp1!F85=3,2,IF(CdTrp1!F85=4,4,0))))</f>
        <v>0</v>
      </c>
      <c r="BA118" s="173">
        <f>IF(CdTrp1!G85=1,1,IF(CdTrp1!G85=2,2,IF(CdTrp1!G85=3,2,IF(CdTrp1!G85=4,4,0))))</f>
        <v>0</v>
      </c>
      <c r="BB118" s="173">
        <f>IF(CdTrp1!H85=1,1,IF(CdTrp1!H85=2,2,IF(CdTrp1!H85=3,2,IF(CdTrp1!H85=4,4,0))))</f>
        <v>0</v>
      </c>
      <c r="BC118" s="173">
        <f>IF(CdTrp1!I85=1,1,IF(CdTrp1!I85=2,2,IF(CdTrp1!I85=3,2,IF(CdTrp1!I85=4,4,0))))</f>
        <v>0</v>
      </c>
      <c r="BD118" s="173">
        <f>IF(CdTrp1!J85=1,1,IF(CdTrp1!J85=2,2,IF(CdTrp1!J85=3,2,IF(CdTrp1!J85=4,4,0))))</f>
        <v>0</v>
      </c>
      <c r="BE118" s="173">
        <f>IF(CdTrp1!K85=1,1,IF(CdTrp1!K85=2,2,IF(CdTrp1!K85=3,2,IF(CdTrp1!K85=4,4,0))))</f>
        <v>0</v>
      </c>
      <c r="BF118" s="173">
        <f>IF(CdTrp1!L85=1,1,IF(CdTrp1!L85=2,2,IF(CdTrp1!L85=3,2,IF(CdTrp1!L85=4,4,0))))</f>
        <v>0</v>
      </c>
      <c r="BG118" s="173">
        <f>IF(CdTrp1!M85=1,1,IF(CdTrp1!M85=2,2,IF(CdTrp1!M85=3,2,IF(CdTrp1!M85=4,4,0))))</f>
        <v>0</v>
      </c>
      <c r="BH118" s="173">
        <f>IF(CdTrp1!N85=1,1,IF(CdTrp1!N85=2,2,IF(CdTrp1!N85=3,2,IF(CdTrp1!N85=4,4,0))))</f>
        <v>0</v>
      </c>
      <c r="BI118" s="173">
        <f>IF(CdTrp1!O85=1,1,IF(CdTrp1!O85=2,2,IF(CdTrp1!O85=3,2,IF(CdTrp1!O85=4,4,0))))</f>
        <v>0</v>
      </c>
      <c r="BJ118" s="173">
        <f>IF(CdTrp1!P85=1,1,IF(CdTrp1!P85=2,2,IF(CdTrp1!P85=3,2,IF(CdTrp1!P85=4,4,0))))</f>
        <v>0</v>
      </c>
      <c r="BK118" s="173">
        <f>IF(CdTrp1!Q85=1,1,IF(CdTrp1!Q85=2,2,IF(CdTrp1!Q85=3,2,IF(CdTrp1!Q85=4,4,0))))</f>
        <v>0</v>
      </c>
      <c r="BL118" s="173">
        <f>IF(CdTrp1!R85=1,1,IF(CdTrp1!R85=2,2,IF(CdTrp1!R85=3,2,IF(CdTrp1!R85=4,4,0))))</f>
        <v>0</v>
      </c>
      <c r="BM118" s="173">
        <f>IF(CdTrp1!S85=1,1,IF(CdTrp1!S85=2,2,IF(CdTrp1!S85=3,2,IF(CdTrp1!S85=4,4,0))))</f>
        <v>0</v>
      </c>
      <c r="BN118" s="173">
        <f>IF(CdTrp1!T85=1,1,IF(CdTrp1!T85=2,2,IF(CdTrp1!T85=3,2,IF(CdTrp1!T85=4,4,0))))</f>
        <v>0</v>
      </c>
      <c r="BO118" s="173">
        <f>IF(CdTrp1!U85=1,1,IF(CdTrp1!U85=2,2,IF(CdTrp1!U85=3,2,IF(CdTrp1!U85=4,4,0))))</f>
        <v>0</v>
      </c>
      <c r="BP118" s="173">
        <f>IF(CdTrp1!V85=1,1,IF(CdTrp1!V85=2,2,IF(CdTrp1!V85=3,2,IF(CdTrp1!V85=4,4,0))))</f>
        <v>0</v>
      </c>
      <c r="BQ118" s="173">
        <f>IF(CdTrp1!W85=1,1,IF(CdTrp1!W85=2,2,IF(CdTrp1!W85=3,2,IF(CdTrp1!W85=4,4,0))))</f>
        <v>0</v>
      </c>
      <c r="BR118" s="173">
        <f>IF(CdTrp1!X85=1,1,IF(CdTrp1!X85=2,2,IF(CdTrp1!X85=3,2,IF(CdTrp1!X85=4,4,0))))</f>
        <v>0</v>
      </c>
      <c r="BS118" s="173">
        <f>IF(CdTrp1!Y85=1,1,IF(CdTrp1!Y85=2,2,IF(CdTrp1!Y85=3,2,IF(CdTrp1!Y85=4,4,0))))</f>
        <v>0</v>
      </c>
      <c r="BZ118" s="189" t="str">
        <f t="shared" si="29"/>
        <v>lot10</v>
      </c>
      <c r="CA118" s="32"/>
      <c r="CB118" s="173">
        <f>IF(CdTrp2!B85=1,1,IF(CdTrp2!B85=2,2,IF(CdTrp2!B85=3,2,IF(CdTrp2!B85=4,4,0))))</f>
        <v>0</v>
      </c>
      <c r="CC118" s="173">
        <f>IF(CdTrp2!C85=1,1,IF(CdTrp2!C85=2,2,IF(CdTrp2!C85=3,2,IF(CdTrp2!C85=4,4,0))))</f>
        <v>0</v>
      </c>
      <c r="CD118" s="173">
        <f>IF(CdTrp2!D85=1,1,IF(CdTrp2!D85=2,2,IF(CdTrp2!D85=3,2,IF(CdTrp2!D85=4,4,0))))</f>
        <v>0</v>
      </c>
      <c r="CE118" s="173">
        <f>IF(CdTrp2!E85=1,1,IF(CdTrp2!E85=2,2,IF(CdTrp2!E85=3,2,IF(CdTrp2!E85=4,4,0))))</f>
        <v>0</v>
      </c>
      <c r="CF118" s="173">
        <f>IF(CdTrp2!F85=1,1,IF(CdTrp2!F85=2,2,IF(CdTrp2!F85=3,2,IF(CdTrp2!F85=4,4,0))))</f>
        <v>0</v>
      </c>
      <c r="CG118" s="173">
        <f>IF(CdTrp2!G85=1,1,IF(CdTrp2!G85=2,2,IF(CdTrp2!G85=3,2,IF(CdTrp2!G85=4,4,0))))</f>
        <v>0</v>
      </c>
      <c r="CH118" s="173">
        <f>IF(CdTrp2!H85=1,1,IF(CdTrp2!H85=2,2,IF(CdTrp2!H85=3,2,IF(CdTrp2!H85=4,4,0))))</f>
        <v>0</v>
      </c>
      <c r="CI118" s="173">
        <f>IF(CdTrp2!I85=1,1,IF(CdTrp2!I85=2,2,IF(CdTrp2!I85=3,2,IF(CdTrp2!I85=4,4,0))))</f>
        <v>0</v>
      </c>
      <c r="CJ118" s="173">
        <f>IF(CdTrp2!J85=1,1,IF(CdTrp2!J85=2,2,IF(CdTrp2!J85=3,2,IF(CdTrp2!J85=4,4,0))))</f>
        <v>0</v>
      </c>
      <c r="CK118" s="173">
        <f>IF(CdTrp2!K85=1,1,IF(CdTrp2!K85=2,2,IF(CdTrp2!K85=3,2,IF(CdTrp2!K85=4,4,0))))</f>
        <v>0</v>
      </c>
      <c r="CL118" s="173">
        <f>IF(CdTrp2!L85=1,1,IF(CdTrp2!L85=2,2,IF(CdTrp2!L85=3,2,IF(CdTrp2!L85=4,4,0))))</f>
        <v>0</v>
      </c>
      <c r="CM118" s="173">
        <f>IF(CdTrp2!M85=1,1,IF(CdTrp2!M85=2,2,IF(CdTrp2!M85=3,2,IF(CdTrp2!M85=4,4,0))))</f>
        <v>0</v>
      </c>
      <c r="CN118" s="173">
        <f>IF(CdTrp2!N85=1,1,IF(CdTrp2!N85=2,2,IF(CdTrp2!N85=3,2,IF(CdTrp2!N85=4,4,0))))</f>
        <v>0</v>
      </c>
      <c r="CO118" s="173">
        <f>IF(CdTrp2!O85=1,1,IF(CdTrp2!O85=2,2,IF(CdTrp2!O85=3,2,IF(CdTrp2!O85=4,4,0))))</f>
        <v>0</v>
      </c>
      <c r="CP118" s="173">
        <f>IF(CdTrp2!P85=1,1,IF(CdTrp2!P85=2,2,IF(CdTrp2!P85=3,2,IF(CdTrp2!P85=4,4,0))))</f>
        <v>0</v>
      </c>
      <c r="CQ118" s="173">
        <f>IF(CdTrp2!Q85=1,1,IF(CdTrp2!Q85=2,2,IF(CdTrp2!Q85=3,2,IF(CdTrp2!Q85=4,4,0))))</f>
        <v>0</v>
      </c>
      <c r="CR118" s="173">
        <f>IF(CdTrp2!R85=1,1,IF(CdTrp2!R85=2,2,IF(CdTrp2!R85=3,2,IF(CdTrp2!R85=4,4,0))))</f>
        <v>0</v>
      </c>
      <c r="CS118" s="173">
        <f>IF(CdTrp2!S85=1,1,IF(CdTrp2!S85=2,2,IF(CdTrp2!S85=3,2,IF(CdTrp2!S85=4,4,0))))</f>
        <v>0</v>
      </c>
      <c r="CT118" s="173">
        <f>IF(CdTrp2!T85=1,1,IF(CdTrp2!T85=2,2,IF(CdTrp2!T85=3,2,IF(CdTrp2!T85=4,4,0))))</f>
        <v>0</v>
      </c>
      <c r="CU118" s="173">
        <f>IF(CdTrp2!U85=1,1,IF(CdTrp2!U85=2,2,IF(CdTrp2!U85=3,2,IF(CdTrp2!U85=4,4,0))))</f>
        <v>0</v>
      </c>
      <c r="CV118" s="173">
        <f>IF(CdTrp2!V85=1,1,IF(CdTrp2!V85=2,2,IF(CdTrp2!V85=3,2,IF(CdTrp2!V85=4,4,0))))</f>
        <v>0</v>
      </c>
      <c r="CW118" s="173">
        <f>IF(CdTrp2!W85=1,1,IF(CdTrp2!W85=2,2,IF(CdTrp2!W85=3,2,IF(CdTrp2!W85=4,4,0))))</f>
        <v>0</v>
      </c>
      <c r="CX118" s="173">
        <f>IF(CdTrp2!X85=1,1,IF(CdTrp2!X85=2,2,IF(CdTrp2!X85=3,2,IF(CdTrp2!X85=4,4,0))))</f>
        <v>0</v>
      </c>
      <c r="CY118" s="173">
        <f>IF(CdTrp2!Y85=1,1,IF(CdTrp2!Y85=2,2,IF(CdTrp2!Y85=3,2,IF(CdTrp2!Y85=4,4,0))))</f>
        <v>0</v>
      </c>
      <c r="DC118" s="189" t="str">
        <f t="shared" si="30"/>
        <v>lot10</v>
      </c>
      <c r="DD118" s="32"/>
      <c r="DE118" s="173">
        <f>IF(CdTrp3!B85=1,1,IF(CdTrp3!B85=2,2,IF(CdTrp3!B85=3,2,IF(CdTrp3!B85=4,4,0))))</f>
        <v>0</v>
      </c>
      <c r="DF118" s="173">
        <f>IF(CdTrp3!C85=1,1,IF(CdTrp3!C85=2,2,IF(CdTrp3!C85=3,2,IF(CdTrp3!C85=4,4,0))))</f>
        <v>0</v>
      </c>
      <c r="DG118" s="173">
        <f>IF(CdTrp3!D85=1,1,IF(CdTrp3!D85=2,2,IF(CdTrp3!D85=3,2,IF(CdTrp3!D85=4,4,0))))</f>
        <v>0</v>
      </c>
      <c r="DH118" s="173">
        <f>IF(CdTrp3!E85=1,1,IF(CdTrp3!E85=2,2,IF(CdTrp3!E85=3,2,IF(CdTrp3!E85=4,4,0))))</f>
        <v>0</v>
      </c>
      <c r="DI118" s="173">
        <f>IF(CdTrp3!F85=1,1,IF(CdTrp3!F85=2,2,IF(CdTrp3!F85=3,2,IF(CdTrp3!F85=4,4,0))))</f>
        <v>0</v>
      </c>
      <c r="DJ118" s="173">
        <f>IF(CdTrp3!G85=1,1,IF(CdTrp3!G85=2,2,IF(CdTrp3!G85=3,2,IF(CdTrp3!G85=4,4,0))))</f>
        <v>0</v>
      </c>
      <c r="DK118" s="173">
        <f>IF(CdTrp3!H85=1,1,IF(CdTrp3!H85=2,2,IF(CdTrp3!H85=3,2,IF(CdTrp3!H85=4,4,0))))</f>
        <v>0</v>
      </c>
      <c r="DL118" s="173">
        <f>IF(CdTrp3!I85=1,1,IF(CdTrp3!I85=2,2,IF(CdTrp3!I85=3,2,IF(CdTrp3!I85=4,4,0))))</f>
        <v>0</v>
      </c>
      <c r="DM118" s="173">
        <f>IF(CdTrp3!J85=1,1,IF(CdTrp3!J85=2,2,IF(CdTrp3!J85=3,2,IF(CdTrp3!J85=4,4,0))))</f>
        <v>0</v>
      </c>
      <c r="DN118" s="173">
        <f>IF(CdTrp3!K85=1,1,IF(CdTrp3!K85=2,2,IF(CdTrp3!K85=3,2,IF(CdTrp3!K85=4,4,0))))</f>
        <v>0</v>
      </c>
      <c r="DO118" s="173">
        <f>IF(CdTrp3!L85=1,1,IF(CdTrp3!L85=2,2,IF(CdTrp3!L85=3,2,IF(CdTrp3!L85=4,4,0))))</f>
        <v>0</v>
      </c>
      <c r="DP118" s="173">
        <f>IF(CdTrp3!M85=1,1,IF(CdTrp3!M85=2,2,IF(CdTrp3!M85=3,2,IF(CdTrp3!M85=4,4,0))))</f>
        <v>0</v>
      </c>
      <c r="DQ118" s="173">
        <f>IF(CdTrp3!N85=1,1,IF(CdTrp3!N85=2,2,IF(CdTrp3!N85=3,2,IF(CdTrp3!N85=4,4,0))))</f>
        <v>0</v>
      </c>
      <c r="DR118" s="173">
        <f>IF(CdTrp3!O85=1,1,IF(CdTrp3!O85=2,2,IF(CdTrp3!O85=3,2,IF(CdTrp3!O85=4,4,0))))</f>
        <v>0</v>
      </c>
      <c r="DS118" s="173">
        <f>IF(CdTrp3!P85=1,1,IF(CdTrp3!P85=2,2,IF(CdTrp3!P85=3,2,IF(CdTrp3!P85=4,4,0))))</f>
        <v>0</v>
      </c>
      <c r="DT118" s="173">
        <f>IF(CdTrp3!Q85=1,1,IF(CdTrp3!Q85=2,2,IF(CdTrp3!Q85=3,2,IF(CdTrp3!Q85=4,4,0))))</f>
        <v>0</v>
      </c>
      <c r="DU118" s="173">
        <f>IF(CdTrp3!R85=1,1,IF(CdTrp3!R85=2,2,IF(CdTrp3!R85=3,2,IF(CdTrp3!R85=4,4,0))))</f>
        <v>0</v>
      </c>
      <c r="DV118" s="173">
        <f>IF(CdTrp3!S85=1,1,IF(CdTrp3!S85=2,2,IF(CdTrp3!S85=3,2,IF(CdTrp3!S85=4,4,0))))</f>
        <v>0</v>
      </c>
      <c r="DW118" s="173">
        <f>IF(CdTrp3!T85=1,1,IF(CdTrp3!T85=2,2,IF(CdTrp3!T85=3,2,IF(CdTrp3!T85=4,4,0))))</f>
        <v>0</v>
      </c>
      <c r="DX118" s="173">
        <f>IF(CdTrp3!U85=1,1,IF(CdTrp3!U85=2,2,IF(CdTrp3!U85=3,2,IF(CdTrp3!U85=4,4,0))))</f>
        <v>0</v>
      </c>
      <c r="DY118" s="173">
        <f>IF(CdTrp3!V85=1,1,IF(CdTrp3!V85=2,2,IF(CdTrp3!V85=3,2,IF(CdTrp3!V85=4,4,0))))</f>
        <v>0</v>
      </c>
      <c r="DZ118" s="173">
        <f>IF(CdTrp3!W85=1,1,IF(CdTrp3!W85=2,2,IF(CdTrp3!W85=3,2,IF(CdTrp3!W85=4,4,0))))</f>
        <v>0</v>
      </c>
      <c r="EA118" s="173">
        <f>IF(CdTrp3!X85=1,1,IF(CdTrp3!X85=2,2,IF(CdTrp3!X85=3,2,IF(CdTrp3!X85=4,4,0))))</f>
        <v>0</v>
      </c>
      <c r="EB118" s="173">
        <f>IF(CdTrp3!Y85=1,1,IF(CdTrp3!Y85=2,2,IF(CdTrp3!Y85=3,2,IF(CdTrp3!Y85=4,4,0))))</f>
        <v>0</v>
      </c>
    </row>
    <row r="119" spans="2:132" x14ac:dyDescent="0.25">
      <c r="B119" s="14" t="s">
        <v>1203</v>
      </c>
      <c r="C119" s="173">
        <f>COUNTIF($H$94:$AE$103,4)/2</f>
        <v>0</v>
      </c>
      <c r="D119" s="173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794</v>
      </c>
      <c r="AU119" s="14"/>
      <c r="AV119" s="273"/>
      <c r="AW119" s="273"/>
      <c r="AX119" s="273"/>
      <c r="AY119" s="273"/>
      <c r="AZ119" s="273"/>
      <c r="BA119" s="273"/>
      <c r="BB119" s="273"/>
      <c r="BC119" s="273"/>
      <c r="BD119" s="273"/>
      <c r="BE119" s="273"/>
      <c r="BF119" s="273"/>
      <c r="BG119" s="273"/>
      <c r="BH119" s="273"/>
      <c r="BI119" s="273"/>
      <c r="BJ119" s="273"/>
      <c r="BK119" s="273"/>
      <c r="BL119" s="273"/>
      <c r="BM119" s="273"/>
      <c r="BN119" s="273"/>
      <c r="BO119" s="273"/>
      <c r="BP119" s="273"/>
      <c r="BQ119" s="273"/>
      <c r="BR119" s="273"/>
      <c r="BS119" s="273"/>
      <c r="BZ119" s="40" t="s">
        <v>794</v>
      </c>
      <c r="CA119" s="14"/>
      <c r="CB119" s="273"/>
      <c r="CC119" s="273"/>
      <c r="CD119" s="273"/>
      <c r="CE119" s="273"/>
      <c r="CF119" s="273"/>
      <c r="CG119" s="273"/>
      <c r="CH119" s="273"/>
      <c r="CI119" s="273"/>
      <c r="CJ119" s="273"/>
      <c r="CK119" s="273"/>
      <c r="CL119" s="273"/>
      <c r="CM119" s="273"/>
      <c r="CN119" s="273"/>
      <c r="CO119" s="273"/>
      <c r="CP119" s="273"/>
      <c r="CQ119" s="273"/>
      <c r="CR119" s="273"/>
      <c r="CS119" s="273"/>
      <c r="CT119" s="273"/>
      <c r="CU119" s="273"/>
      <c r="CV119" s="273"/>
      <c r="CW119" s="273"/>
      <c r="CX119" s="273"/>
      <c r="CY119" s="273"/>
      <c r="DC119" s="40" t="s">
        <v>794</v>
      </c>
      <c r="DD119" s="14"/>
      <c r="DE119" s="273"/>
      <c r="DF119" s="273"/>
      <c r="DG119" s="273"/>
      <c r="DH119" s="273"/>
      <c r="DI119" s="273"/>
      <c r="DJ119" s="273"/>
      <c r="DK119" s="273"/>
      <c r="DL119" s="273"/>
      <c r="DM119" s="273"/>
      <c r="DN119" s="273"/>
      <c r="DO119" s="273"/>
      <c r="DP119" s="273"/>
      <c r="DQ119" s="273"/>
      <c r="DR119" s="273"/>
      <c r="DS119" s="273"/>
      <c r="DT119" s="273"/>
      <c r="DU119" s="273"/>
      <c r="DV119" s="273"/>
      <c r="DW119" s="273"/>
      <c r="DX119" s="273"/>
      <c r="DY119" s="273"/>
      <c r="DZ119" s="273"/>
      <c r="EA119" s="273"/>
      <c r="EB119" s="273"/>
    </row>
    <row r="120" spans="2:132" x14ac:dyDescent="0.25">
      <c r="B120" s="14" t="s">
        <v>1204</v>
      </c>
      <c r="C120" s="173">
        <f>COUNTIF($H$105:$AE$114,4)/2</f>
        <v>0</v>
      </c>
      <c r="D120" s="173">
        <f t="shared" si="25"/>
        <v>0</v>
      </c>
      <c r="G120" s="186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796</v>
      </c>
      <c r="AU120" s="30">
        <f>VALUE(CONCATENATE(Scénario!K8,Travail!AU2))</f>
        <v>11</v>
      </c>
      <c r="AV120" s="273"/>
      <c r="AW120" s="273"/>
      <c r="AX120" s="273"/>
      <c r="AY120" s="273"/>
      <c r="AZ120" s="273"/>
      <c r="BA120" s="273"/>
      <c r="BB120" s="273"/>
      <c r="BC120" s="273"/>
      <c r="BD120" s="273"/>
      <c r="BE120" s="273"/>
      <c r="BF120" s="273"/>
      <c r="BG120" s="273"/>
      <c r="BH120" s="273"/>
      <c r="BI120" s="273"/>
      <c r="BJ120" s="273"/>
      <c r="BK120" s="273"/>
      <c r="BL120" s="273"/>
      <c r="BM120" s="273"/>
      <c r="BN120" s="273"/>
      <c r="BO120" s="273"/>
      <c r="BP120" s="273"/>
      <c r="BQ120" s="273"/>
      <c r="BR120" s="273"/>
      <c r="BS120" s="273"/>
      <c r="BZ120" s="14" t="s">
        <v>796</v>
      </c>
      <c r="CA120" s="30">
        <f>VALUE(CONCATENATE(Scénario!K8,Travail!CA2))</f>
        <v>12</v>
      </c>
      <c r="CB120" s="273"/>
      <c r="CC120" s="273"/>
      <c r="CD120" s="273"/>
      <c r="CE120" s="273"/>
      <c r="CF120" s="273"/>
      <c r="CG120" s="273"/>
      <c r="CH120" s="273"/>
      <c r="CI120" s="273"/>
      <c r="CJ120" s="273"/>
      <c r="CK120" s="273"/>
      <c r="CL120" s="273"/>
      <c r="CM120" s="273"/>
      <c r="CN120" s="273"/>
      <c r="CO120" s="273"/>
      <c r="CP120" s="273"/>
      <c r="CQ120" s="273"/>
      <c r="CR120" s="273"/>
      <c r="CS120" s="273"/>
      <c r="CT120" s="273"/>
      <c r="CU120" s="273"/>
      <c r="CV120" s="273"/>
      <c r="CW120" s="273"/>
      <c r="CX120" s="273"/>
      <c r="CY120" s="273"/>
      <c r="DC120" s="14" t="s">
        <v>796</v>
      </c>
      <c r="DD120" s="30">
        <f>VALUE(CONCATENATE(Scénario!K8,Travail!DD2))</f>
        <v>10</v>
      </c>
      <c r="DE120" s="273"/>
      <c r="DF120" s="273"/>
      <c r="DG120" s="273"/>
      <c r="DH120" s="273"/>
      <c r="DI120" s="273"/>
      <c r="DJ120" s="273"/>
      <c r="DK120" s="273"/>
      <c r="DL120" s="273"/>
      <c r="DM120" s="273"/>
      <c r="DN120" s="273"/>
      <c r="DO120" s="273"/>
      <c r="DP120" s="273"/>
      <c r="DQ120" s="273"/>
      <c r="DR120" s="273"/>
      <c r="DS120" s="273"/>
      <c r="DT120" s="273"/>
      <c r="DU120" s="273"/>
      <c r="DV120" s="273"/>
      <c r="DW120" s="273"/>
      <c r="DX120" s="273"/>
      <c r="DY120" s="273"/>
      <c r="DZ120" s="273"/>
      <c r="EA120" s="273"/>
      <c r="EB120" s="273"/>
    </row>
    <row r="121" spans="2:132" x14ac:dyDescent="0.25">
      <c r="B121" s="14" t="s">
        <v>1205</v>
      </c>
      <c r="C121" s="173">
        <f>COUNTIF($H$116:$AE$125,4)/2</f>
        <v>0</v>
      </c>
      <c r="D121" s="173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9" t="str">
        <f>+AT109</f>
        <v>brebis</v>
      </c>
      <c r="AV121" s="173">
        <f>IF(AV75=0,0,IF(AV98=3,0,VALUE(CONCATENATE(Travail!AV26,Travail!AV37,Travail!AV48))))</f>
        <v>0</v>
      </c>
      <c r="AW121" s="173">
        <f>IF(AW75=0,0,IF(AW98=3,0,VALUE(CONCATENATE(Travail!AW26,Travail!AW37,Travail!AW48))))</f>
        <v>0</v>
      </c>
      <c r="AX121" s="173">
        <f>IF(AX75=0,0,IF(AX98=3,0,VALUE(CONCATENATE(Travail!AX26,Travail!AX37,Travail!AX48))))</f>
        <v>0</v>
      </c>
      <c r="AY121" s="173">
        <f>IF(AY75=0,0,IF(AY98=3,0,VALUE(CONCATENATE(Travail!AY26,Travail!AY37,Travail!AY48))))</f>
        <v>221</v>
      </c>
      <c r="AZ121" s="173">
        <f>IF(AZ75=0,0,IF(AZ98=3,0,VALUE(CONCATENATE(Travail!AZ26,Travail!AZ37,Travail!AZ48))))</f>
        <v>221</v>
      </c>
      <c r="BA121" s="173">
        <f>IF(BA75=0,0,IF(BA98=3,0,VALUE(CONCATENATE(Travail!BA26,Travail!BA37,Travail!BA48))))</f>
        <v>221</v>
      </c>
      <c r="BB121" s="173">
        <f>IF(BB75=0,0,IF(BB98=3,0,VALUE(CONCATENATE(Travail!BB26,Travail!BB37,Travail!BB48))))</f>
        <v>221</v>
      </c>
      <c r="BC121" s="173">
        <f>IF(BC75=0,0,IF(BC98=3,0,VALUE(CONCATENATE(Travail!BC26,Travail!BC37,Travail!BC48))))</f>
        <v>221</v>
      </c>
      <c r="BD121" s="173">
        <f>IF(BD75=0,0,IF(BD98=3,0,VALUE(CONCATENATE(Travail!BD26,Travail!BD37,Travail!BD48))))</f>
        <v>221</v>
      </c>
      <c r="BE121" s="173">
        <f>IF(BE75=0,0,IF(BE98=3,0,VALUE(CONCATENATE(Travail!BE26,Travail!BE37,Travail!BE48))))</f>
        <v>221</v>
      </c>
      <c r="BF121" s="173">
        <f>IF(BF75=0,0,IF(BF98=3,0,VALUE(CONCATENATE(Travail!BF26,Travail!BF37,Travail!BF48))))</f>
        <v>221</v>
      </c>
      <c r="BG121" s="173">
        <f>IF(BG75=0,0,IF(BG98=3,0,VALUE(CONCATENATE(Travail!BG26,Travail!BG37,Travail!BG48))))</f>
        <v>210</v>
      </c>
      <c r="BH121" s="173">
        <f>IF(BH75=0,0,IF(BH98=3,0,VALUE(CONCATENATE(Travail!BH26,Travail!BH37,Travail!BH48))))</f>
        <v>210</v>
      </c>
      <c r="BI121" s="173">
        <f>IF(BI75=0,0,IF(BI98=3,0,VALUE(CONCATENATE(Travail!BI26,Travail!BI37,Travail!BI48))))</f>
        <v>210</v>
      </c>
      <c r="BJ121" s="173">
        <f>IF(BJ75=0,0,IF(BJ98=3,0,VALUE(CONCATENATE(Travail!BJ26,Travail!BJ37,Travail!BJ48))))</f>
        <v>210</v>
      </c>
      <c r="BK121" s="173">
        <f>IF(BK75=0,0,IF(BK98=3,0,VALUE(CONCATENATE(Travail!BK26,Travail!BK37,Travail!BK48))))</f>
        <v>210</v>
      </c>
      <c r="BL121" s="173">
        <f>IF(BL75=0,0,IF(BL98=3,0,VALUE(CONCATENATE(Travail!BL26,Travail!BL37,Travail!BL48))))</f>
        <v>210</v>
      </c>
      <c r="BM121" s="173">
        <f>IF(BM75=0,0,IF(BM98=3,0,VALUE(CONCATENATE(Travail!BM26,Travail!BM37,Travail!BM48))))</f>
        <v>210</v>
      </c>
      <c r="BN121" s="173">
        <f>IF(BN75=0,0,IF(BN98=3,0,VALUE(CONCATENATE(Travail!BN26,Travail!BN37,Travail!BN48))))</f>
        <v>221</v>
      </c>
      <c r="BO121" s="173">
        <f>IF(BO75=0,0,IF(BO98=3,0,VALUE(CONCATENATE(Travail!BO26,Travail!BO37,Travail!BO48))))</f>
        <v>221</v>
      </c>
      <c r="BP121" s="173">
        <f>IF(BP75=0,0,IF(BP98=3,0,VALUE(CONCATENATE(Travail!BP26,Travail!BP37,Travail!BP48))))</f>
        <v>0</v>
      </c>
      <c r="BQ121" s="173">
        <f>IF(BQ75=0,0,IF(BQ98=3,0,VALUE(CONCATENATE(Travail!BQ26,Travail!BQ37,Travail!BQ48))))</f>
        <v>0</v>
      </c>
      <c r="BR121" s="173">
        <f>IF(BR75=0,0,IF(BR98=3,0,VALUE(CONCATENATE(Travail!BR26,Travail!BR37,Travail!BR48))))</f>
        <v>0</v>
      </c>
      <c r="BS121" s="173">
        <f>IF(BS75=0,0,IF(BS98=3,0,VALUE(CONCATENATE(Travail!BS26,Travail!BS37,Travail!BS48))))</f>
        <v>0</v>
      </c>
      <c r="BU121">
        <v>1</v>
      </c>
      <c r="BV121" t="s">
        <v>798</v>
      </c>
      <c r="BZ121" s="189" t="str">
        <f t="shared" ref="BZ121:BZ130" si="31">BZ64</f>
        <v xml:space="preserve">vaches </v>
      </c>
      <c r="CB121" s="173">
        <f>IF(CB75=0,0,VALUE(CONCATENATE(Travail!CB26,Travail!CB37,Travail!CB48)))</f>
        <v>230</v>
      </c>
      <c r="CC121" s="173">
        <f>IF(CC75=0,0,VALUE(CONCATENATE(Travail!CC26,Travail!CC37,Travail!CC48)))</f>
        <v>230</v>
      </c>
      <c r="CD121" s="173">
        <f>IF(CD75=0,0,VALUE(CONCATENATE(Travail!CD26,Travail!CD37,Travail!CD48)))</f>
        <v>230</v>
      </c>
      <c r="CE121" s="173">
        <f>IF(CE75=0,0,VALUE(CONCATENATE(Travail!CE26,Travail!CE37,Travail!CE48)))</f>
        <v>230</v>
      </c>
      <c r="CF121" s="173">
        <f>IF(CF75=0,0,VALUE(CONCATENATE(Travail!CF26,Travail!CF37,Travail!CF48)))</f>
        <v>230</v>
      </c>
      <c r="CG121" s="173">
        <f>IF(CG75=0,0,VALUE(CONCATENATE(Travail!CG26,Travail!CG37,Travail!CG48)))</f>
        <v>230</v>
      </c>
      <c r="CH121" s="173">
        <f>IF(CH75=0,0,VALUE(CONCATENATE(Travail!CH26,Travail!CH37,Travail!CH48)))</f>
        <v>221</v>
      </c>
      <c r="CI121" s="173">
        <f>IF(CI75=0,0,VALUE(CONCATENATE(Travail!CI26,Travail!CI37,Travail!CI48)))</f>
        <v>221</v>
      </c>
      <c r="CJ121" s="173">
        <f>IF(CJ75=0,0,VALUE(CONCATENATE(Travail!CJ26,Travail!CJ37,Travail!CJ48)))</f>
        <v>222</v>
      </c>
      <c r="CK121" s="173">
        <f>IF(CK75=0,0,VALUE(CONCATENATE(Travail!CK26,Travail!CK37,Travail!CK48)))</f>
        <v>222</v>
      </c>
      <c r="CL121" s="173">
        <f>IF(CL75=0,0,VALUE(CONCATENATE(Travail!CL26,Travail!CL37,Travail!CL48)))</f>
        <v>212</v>
      </c>
      <c r="CM121" s="173">
        <f>IF(CM75=0,0,VALUE(CONCATENATE(Travail!CM26,Travail!CM37,Travail!CM48)))</f>
        <v>212</v>
      </c>
      <c r="CN121" s="173">
        <f>IF(CN75=0,0,VALUE(CONCATENATE(Travail!CN26,Travail!CN37,Travail!CN48)))</f>
        <v>212</v>
      </c>
      <c r="CO121" s="173">
        <f>IF(CO75=0,0,VALUE(CONCATENATE(Travail!CO26,Travail!CO37,Travail!CO48)))</f>
        <v>211</v>
      </c>
      <c r="CP121" s="173">
        <f>IF(CP75=0,0,VALUE(CONCATENATE(Travail!CP26,Travail!CP37,Travail!CP48)))</f>
        <v>211</v>
      </c>
      <c r="CQ121" s="173">
        <f>IF(CQ75=0,0,VALUE(CONCATENATE(Travail!CQ26,Travail!CQ37,Travail!CQ48)))</f>
        <v>211</v>
      </c>
      <c r="CR121" s="173">
        <f>IF(CR75=0,0,VALUE(CONCATENATE(Travail!CR26,Travail!CR37,Travail!CR48)))</f>
        <v>212</v>
      </c>
      <c r="CS121" s="173">
        <f>IF(CS75=0,0,VALUE(CONCATENATE(Travail!CS26,Travail!CS37,Travail!CS48)))</f>
        <v>212</v>
      </c>
      <c r="CT121" s="173">
        <f>IF(CT75=0,0,VALUE(CONCATENATE(Travail!CT26,Travail!CT37,Travail!CT48)))</f>
        <v>222</v>
      </c>
      <c r="CU121" s="173">
        <f>IF(CU75=0,0,VALUE(CONCATENATE(Travail!CU26,Travail!CU37,Travail!CU48)))</f>
        <v>222</v>
      </c>
      <c r="CV121" s="173">
        <f>IF(CV75=0,0,VALUE(CONCATENATE(Travail!CV26,Travail!CV37,Travail!CV48)))</f>
        <v>222</v>
      </c>
      <c r="CW121" s="173">
        <f>IF(CW75=0,0,VALUE(CONCATENATE(Travail!CW26,Travail!CW37,Travail!CW48)))</f>
        <v>222</v>
      </c>
      <c r="CX121" s="173">
        <f>IF(CX75=0,0,VALUE(CONCATENATE(Travail!CX26,Travail!CX37,Travail!CX48)))</f>
        <v>230</v>
      </c>
      <c r="CY121" s="173">
        <f>IF(CY75=0,0,VALUE(CONCATENATE(Travail!CY26,Travail!CY37,Travail!CY48)))</f>
        <v>230</v>
      </c>
      <c r="DC121" s="189" t="str">
        <f t="shared" ref="DC121:DC130" si="32">DC64</f>
        <v>lot1</v>
      </c>
      <c r="DE121" s="173">
        <f>IF(DE75=0,0,VALUE(CONCATENATE(Travail!DE26,Travail!DE37,Travail!DE48)))</f>
        <v>0</v>
      </c>
      <c r="DF121" s="173">
        <f>IF(DF75=0,0,VALUE(CONCATENATE(Travail!DF26,Travail!DF37,Travail!DF48)))</f>
        <v>0</v>
      </c>
      <c r="DG121" s="173">
        <f>IF(DG75=0,0,VALUE(CONCATENATE(Travail!DG26,Travail!DG37,Travail!DG48)))</f>
        <v>0</v>
      </c>
      <c r="DH121" s="173">
        <f>IF(DH75=0,0,VALUE(CONCATENATE(Travail!DH26,Travail!DH37,Travail!DH48)))</f>
        <v>0</v>
      </c>
      <c r="DI121" s="173">
        <f>IF(DI75=0,0,VALUE(CONCATENATE(Travail!DI26,Travail!DI37,Travail!DI48)))</f>
        <v>0</v>
      </c>
      <c r="DJ121" s="173">
        <f>IF(DJ75=0,0,VALUE(CONCATENATE(Travail!DJ26,Travail!DJ37,Travail!DJ48)))</f>
        <v>0</v>
      </c>
      <c r="DK121" s="173">
        <f>IF(DK75=0,0,VALUE(CONCATENATE(Travail!DK26,Travail!DK37,Travail!DK48)))</f>
        <v>0</v>
      </c>
      <c r="DL121" s="173">
        <f>IF(DL75=0,0,VALUE(CONCATENATE(Travail!DL26,Travail!DL37,Travail!DL48)))</f>
        <v>0</v>
      </c>
      <c r="DM121" s="173">
        <f>IF(DM75=0,0,VALUE(CONCATENATE(Travail!DM26,Travail!DM37,Travail!DM48)))</f>
        <v>0</v>
      </c>
      <c r="DN121" s="173">
        <f>IF(DN75=0,0,VALUE(CONCATENATE(Travail!DN26,Travail!DN37,Travail!DN48)))</f>
        <v>0</v>
      </c>
      <c r="DO121" s="173">
        <f>IF(DO75=0,0,VALUE(CONCATENATE(Travail!DO26,Travail!DO37,Travail!DO48)))</f>
        <v>0</v>
      </c>
      <c r="DP121" s="173">
        <f>IF(DP75=0,0,VALUE(CONCATENATE(Travail!DP26,Travail!DP37,Travail!DP48)))</f>
        <v>0</v>
      </c>
      <c r="DQ121" s="173">
        <f>IF(DQ75=0,0,VALUE(CONCATENATE(Travail!DQ26,Travail!DQ37,Travail!DQ48)))</f>
        <v>0</v>
      </c>
      <c r="DR121" s="173">
        <f>IF(DR75=0,0,VALUE(CONCATENATE(Travail!DR26,Travail!DR37,Travail!DR48)))</f>
        <v>0</v>
      </c>
      <c r="DS121" s="173">
        <f>IF(DS75=0,0,VALUE(CONCATENATE(Travail!DS26,Travail!DS37,Travail!DS48)))</f>
        <v>0</v>
      </c>
      <c r="DT121" s="173">
        <f>IF(DT75=0,0,VALUE(CONCATENATE(Travail!DT26,Travail!DT37,Travail!DT48)))</f>
        <v>0</v>
      </c>
      <c r="DU121" s="173">
        <f>IF(DU75=0,0,VALUE(CONCATENATE(Travail!DU26,Travail!DU37,Travail!DU48)))</f>
        <v>0</v>
      </c>
      <c r="DV121" s="173">
        <f>IF(DV75=0,0,VALUE(CONCATENATE(Travail!DV26,Travail!DV37,Travail!DV48)))</f>
        <v>0</v>
      </c>
      <c r="DW121" s="173">
        <f>IF(DW75=0,0,VALUE(CONCATENATE(Travail!DW26,Travail!DW37,Travail!DW48)))</f>
        <v>0</v>
      </c>
      <c r="DX121" s="173">
        <f>IF(DX75=0,0,VALUE(CONCATENATE(Travail!DX26,Travail!DX37,Travail!DX48)))</f>
        <v>0</v>
      </c>
      <c r="DY121" s="173">
        <f>IF(DY75=0,0,VALUE(CONCATENATE(Travail!DY26,Travail!DY37,Travail!DY48)))</f>
        <v>0</v>
      </c>
      <c r="DZ121" s="173">
        <f>IF(DZ75=0,0,VALUE(CONCATENATE(Travail!DZ26,Travail!DZ37,Travail!DZ48)))</f>
        <v>0</v>
      </c>
      <c r="EA121" s="173">
        <f>IF(EA75=0,0,VALUE(CONCATENATE(Travail!EA26,Travail!EA37,Travail!EA48)))</f>
        <v>0</v>
      </c>
      <c r="EB121" s="173">
        <f>IF(EB75=0,0,VALUE(CONCATENATE(Travail!EB26,Travail!EB37,Travail!EB48)))</f>
        <v>0</v>
      </c>
    </row>
    <row r="122" spans="2:132" x14ac:dyDescent="0.25">
      <c r="B122" s="14" t="s">
        <v>1206</v>
      </c>
      <c r="C122" s="173">
        <f>COUNTIF($H$94:$AE$103,5)/2</f>
        <v>3.5</v>
      </c>
      <c r="D122" s="173">
        <f t="shared" si="25"/>
        <v>3.5</v>
      </c>
      <c r="G122" s="186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9" t="str">
        <f>+AT110</f>
        <v>vides</v>
      </c>
      <c r="AV122" s="173">
        <f>IF(AV76=0,0,IF(AV99=3,0,VALUE(CONCATENATE(Travail!AV27,Travail!AV38,Travail!AV49))))</f>
        <v>222</v>
      </c>
      <c r="AW122" s="173">
        <f>IF(AW76=0,0,IF(AW99=3,0,VALUE(CONCATENATE(Travail!AW27,Travail!AW38,Travail!AW49))))</f>
        <v>222</v>
      </c>
      <c r="AX122" s="173">
        <f>IF(AX76=0,0,IF(AX99=3,0,VALUE(CONCATENATE(Travail!AX27,Travail!AX38,Travail!AX49))))</f>
        <v>222</v>
      </c>
      <c r="AY122" s="173">
        <f>IF(AY76=0,0,IF(AY99=3,0,VALUE(CONCATENATE(Travail!AY27,Travail!AY38,Travail!AY49))))</f>
        <v>222</v>
      </c>
      <c r="AZ122" s="173">
        <f>IF(AZ76=0,0,IF(AZ99=3,0,VALUE(CONCATENATE(Travail!AZ27,Travail!AZ38,Travail!AZ49))))</f>
        <v>222</v>
      </c>
      <c r="BA122" s="173">
        <f>IF(BA76=0,0,IF(BA99=3,0,VALUE(CONCATENATE(Travail!BA27,Travail!BA38,Travail!BA49))))</f>
        <v>222</v>
      </c>
      <c r="BB122" s="173">
        <f>IF(BB76=0,0,IF(BB99=3,0,VALUE(CONCATENATE(Travail!BB27,Travail!BB38,Travail!BB49))))</f>
        <v>222</v>
      </c>
      <c r="BC122" s="173">
        <f>IF(BC76=0,0,IF(BC99=3,0,VALUE(CONCATENATE(Travail!BC27,Travail!BC38,Travail!BC49))))</f>
        <v>222</v>
      </c>
      <c r="BD122" s="173">
        <f>IF(BD76=0,0,IF(BD99=3,0,VALUE(CONCATENATE(Travail!BD27,Travail!BD38,Travail!BD49))))</f>
        <v>222</v>
      </c>
      <c r="BE122" s="173">
        <f>IF(BE76=0,0,IF(BE99=3,0,VALUE(CONCATENATE(Travail!BE27,Travail!BE38,Travail!BE49))))</f>
        <v>0</v>
      </c>
      <c r="BF122" s="173">
        <f>IF(BF76=0,0,IF(BF99=3,0,VALUE(CONCATENATE(Travail!BF27,Travail!BF38,Travail!BF49))))</f>
        <v>0</v>
      </c>
      <c r="BG122" s="173">
        <f>IF(BG76=0,0,IF(BG99=3,0,VALUE(CONCATENATE(Travail!BG27,Travail!BG38,Travail!BG49))))</f>
        <v>0</v>
      </c>
      <c r="BH122" s="173">
        <f>IF(BH76=0,0,IF(BH99=3,0,VALUE(CONCATENATE(Travail!BH27,Travail!BH38,Travail!BH49))))</f>
        <v>0</v>
      </c>
      <c r="BI122" s="173">
        <f>IF(BI76=0,0,IF(BI99=3,0,VALUE(CONCATENATE(Travail!BI27,Travail!BI38,Travail!BI49))))</f>
        <v>0</v>
      </c>
      <c r="BJ122" s="173">
        <f>IF(BJ76=0,0,IF(BJ99=3,0,VALUE(CONCATENATE(Travail!BJ27,Travail!BJ38,Travail!BJ49))))</f>
        <v>0</v>
      </c>
      <c r="BK122" s="173">
        <f>IF(BK76=0,0,IF(BK99=3,0,VALUE(CONCATENATE(Travail!BK27,Travail!BK38,Travail!BK49))))</f>
        <v>0</v>
      </c>
      <c r="BL122" s="173">
        <f>IF(BL76=0,0,IF(BL99=3,0,VALUE(CONCATENATE(Travail!BL27,Travail!BL38,Travail!BL49))))</f>
        <v>0</v>
      </c>
      <c r="BM122" s="173">
        <f>IF(BM76=0,0,IF(BM99=3,0,VALUE(CONCATENATE(Travail!BM27,Travail!BM38,Travail!BM49))))</f>
        <v>0</v>
      </c>
      <c r="BN122" s="173">
        <f>IF(BN76=0,0,IF(BN99=3,0,VALUE(CONCATENATE(Travail!BN27,Travail!BN38,Travail!BN49))))</f>
        <v>0</v>
      </c>
      <c r="BO122" s="173">
        <f>IF(BO76=0,0,IF(BO99=3,0,VALUE(CONCATENATE(Travail!BO27,Travail!BO38,Travail!BO49))))</f>
        <v>222</v>
      </c>
      <c r="BP122" s="173">
        <f>IF(BP76=0,0,IF(BP99=3,0,VALUE(CONCATENATE(Travail!BP27,Travail!BP38,Travail!BP49))))</f>
        <v>222</v>
      </c>
      <c r="BQ122" s="173">
        <f>IF(BQ76=0,0,IF(BQ99=3,0,VALUE(CONCATENATE(Travail!BQ27,Travail!BQ38,Travail!BQ49))))</f>
        <v>222</v>
      </c>
      <c r="BR122" s="173">
        <f>IF(BR76=0,0,IF(BR99=3,0,VALUE(CONCATENATE(Travail!BR27,Travail!BR38,Travail!BR49))))</f>
        <v>222</v>
      </c>
      <c r="BS122" s="173">
        <f>IF(BS76=0,0,IF(BS99=3,0,VALUE(CONCATENATE(Travail!BS27,Travail!BS38,Travail!BS49))))</f>
        <v>222</v>
      </c>
      <c r="BZ122" s="189" t="str">
        <f t="shared" si="31"/>
        <v>genisses -1an</v>
      </c>
      <c r="CB122" s="173">
        <f>IF(CB76=0,0,VALUE(CONCATENATE(Travail!CB27,Travail!CB38,Travail!CB49)))</f>
        <v>0</v>
      </c>
      <c r="CC122" s="173">
        <f>IF(CC76=0,0,VALUE(CONCATENATE(Travail!CC27,Travail!CC38,Travail!CC49)))</f>
        <v>0</v>
      </c>
      <c r="CD122" s="173">
        <f>IF(CD76=0,0,VALUE(CONCATENATE(Travail!CD27,Travail!CD38,Travail!CD49)))</f>
        <v>0</v>
      </c>
      <c r="CE122" s="173">
        <f>IF(CE76=0,0,VALUE(CONCATENATE(Travail!CE27,Travail!CE38,Travail!CE49)))</f>
        <v>0</v>
      </c>
      <c r="CF122" s="173">
        <f>IF(CF76=0,0,VALUE(CONCATENATE(Travail!CF27,Travail!CF38,Travail!CF49)))</f>
        <v>0</v>
      </c>
      <c r="CG122" s="173">
        <f>IF(CG76=0,0,VALUE(CONCATENATE(Travail!CG27,Travail!CG38,Travail!CG49)))</f>
        <v>211</v>
      </c>
      <c r="CH122" s="173">
        <f>IF(CH76=0,0,VALUE(CONCATENATE(Travail!CH27,Travail!CH38,Travail!CH49)))</f>
        <v>211</v>
      </c>
      <c r="CI122" s="173">
        <f>IF(CI76=0,0,VALUE(CONCATENATE(Travail!CI27,Travail!CI38,Travail!CI49)))</f>
        <v>211</v>
      </c>
      <c r="CJ122" s="173">
        <f>IF(CJ76=0,0,VALUE(CONCATENATE(Travail!CJ27,Travail!CJ38,Travail!CJ49)))</f>
        <v>211</v>
      </c>
      <c r="CK122" s="173">
        <f>IF(CK76=0,0,VALUE(CONCATENATE(Travail!CK27,Travail!CK38,Travail!CK49)))</f>
        <v>211</v>
      </c>
      <c r="CL122" s="173">
        <f>IF(CL76=0,0,VALUE(CONCATENATE(Travail!CL27,Travail!CL38,Travail!CL49)))</f>
        <v>211</v>
      </c>
      <c r="CM122" s="173">
        <f>IF(CM76=0,0,VALUE(CONCATENATE(Travail!CM27,Travail!CM38,Travail!CM49)))</f>
        <v>211</v>
      </c>
      <c r="CN122" s="173">
        <f>IF(CN76=0,0,VALUE(CONCATENATE(Travail!CN27,Travail!CN38,Travail!CN49)))</f>
        <v>211</v>
      </c>
      <c r="CO122" s="173">
        <f>IF(CO76=0,0,VALUE(CONCATENATE(Travail!CO27,Travail!CO38,Travail!CO49)))</f>
        <v>211</v>
      </c>
      <c r="CP122" s="173">
        <f>IF(CP76=0,0,VALUE(CONCATENATE(Travail!CP27,Travail!CP38,Travail!CP49)))</f>
        <v>211</v>
      </c>
      <c r="CQ122" s="173">
        <f>IF(CQ76=0,0,VALUE(CONCATENATE(Travail!CQ27,Travail!CQ38,Travail!CQ49)))</f>
        <v>211</v>
      </c>
      <c r="CR122" s="173">
        <f>IF(CR76=0,0,VALUE(CONCATENATE(Travail!CR27,Travail!CR38,Travail!CR49)))</f>
        <v>211</v>
      </c>
      <c r="CS122" s="173">
        <f>IF(CS76=0,0,VALUE(CONCATENATE(Travail!CS27,Travail!CS38,Travail!CS49)))</f>
        <v>211</v>
      </c>
      <c r="CT122" s="173">
        <f>IF(CT76=0,0,VALUE(CONCATENATE(Travail!CT27,Travail!CT38,Travail!CT49)))</f>
        <v>211</v>
      </c>
      <c r="CU122" s="173">
        <f>IF(CU76=0,0,VALUE(CONCATENATE(Travail!CU27,Travail!CU38,Travail!CU49)))</f>
        <v>211</v>
      </c>
      <c r="CV122" s="173">
        <f>IF(CV76=0,0,VALUE(CONCATENATE(Travail!CV27,Travail!CV38,Travail!CV49)))</f>
        <v>221</v>
      </c>
      <c r="CW122" s="173">
        <f>IF(CW76=0,0,VALUE(CONCATENATE(Travail!CW27,Travail!CW38,Travail!CW49)))</f>
        <v>221</v>
      </c>
      <c r="CX122" s="173">
        <f>IF(CX76=0,0,VALUE(CONCATENATE(Travail!CX27,Travail!CX38,Travail!CX49)))</f>
        <v>0</v>
      </c>
      <c r="CY122" s="173">
        <f>IF(CY76=0,0,VALUE(CONCATENATE(Travail!CY27,Travail!CY38,Travail!CY49)))</f>
        <v>0</v>
      </c>
      <c r="DC122" s="189" t="str">
        <f t="shared" si="32"/>
        <v>lot2</v>
      </c>
      <c r="DE122" s="173">
        <f>IF(DE76=0,0,VALUE(CONCATENATE(Travail!DE27,Travail!DE38,Travail!DE49)))</f>
        <v>0</v>
      </c>
      <c r="DF122" s="173">
        <f>IF(DF76=0,0,VALUE(CONCATENATE(Travail!DF27,Travail!DF38,Travail!DF49)))</f>
        <v>0</v>
      </c>
      <c r="DG122" s="173">
        <f>IF(DG76=0,0,VALUE(CONCATENATE(Travail!DG27,Travail!DG38,Travail!DG49)))</f>
        <v>0</v>
      </c>
      <c r="DH122" s="173">
        <f>IF(DH76=0,0,VALUE(CONCATENATE(Travail!DH27,Travail!DH38,Travail!DH49)))</f>
        <v>0</v>
      </c>
      <c r="DI122" s="173">
        <f>IF(DI76=0,0,VALUE(CONCATENATE(Travail!DI27,Travail!DI38,Travail!DI49)))</f>
        <v>0</v>
      </c>
      <c r="DJ122" s="173">
        <f>IF(DJ76=0,0,VALUE(CONCATENATE(Travail!DJ27,Travail!DJ38,Travail!DJ49)))</f>
        <v>0</v>
      </c>
      <c r="DK122" s="173">
        <f>IF(DK76=0,0,VALUE(CONCATENATE(Travail!DK27,Travail!DK38,Travail!DK49)))</f>
        <v>0</v>
      </c>
      <c r="DL122" s="173">
        <f>IF(DL76=0,0,VALUE(CONCATENATE(Travail!DL27,Travail!DL38,Travail!DL49)))</f>
        <v>0</v>
      </c>
      <c r="DM122" s="173">
        <f>IF(DM76=0,0,VALUE(CONCATENATE(Travail!DM27,Travail!DM38,Travail!DM49)))</f>
        <v>0</v>
      </c>
      <c r="DN122" s="173">
        <f>IF(DN76=0,0,VALUE(CONCATENATE(Travail!DN27,Travail!DN38,Travail!DN49)))</f>
        <v>0</v>
      </c>
      <c r="DO122" s="173">
        <f>IF(DO76=0,0,VALUE(CONCATENATE(Travail!DO27,Travail!DO38,Travail!DO49)))</f>
        <v>0</v>
      </c>
      <c r="DP122" s="173">
        <f>IF(DP76=0,0,VALUE(CONCATENATE(Travail!DP27,Travail!DP38,Travail!DP49)))</f>
        <v>0</v>
      </c>
      <c r="DQ122" s="173">
        <f>IF(DQ76=0,0,VALUE(CONCATENATE(Travail!DQ27,Travail!DQ38,Travail!DQ49)))</f>
        <v>0</v>
      </c>
      <c r="DR122" s="173">
        <f>IF(DR76=0,0,VALUE(CONCATENATE(Travail!DR27,Travail!DR38,Travail!DR49)))</f>
        <v>0</v>
      </c>
      <c r="DS122" s="173">
        <f>IF(DS76=0,0,VALUE(CONCATENATE(Travail!DS27,Travail!DS38,Travail!DS49)))</f>
        <v>0</v>
      </c>
      <c r="DT122" s="173">
        <f>IF(DT76=0,0,VALUE(CONCATENATE(Travail!DT27,Travail!DT38,Travail!DT49)))</f>
        <v>0</v>
      </c>
      <c r="DU122" s="173">
        <f>IF(DU76=0,0,VALUE(CONCATENATE(Travail!DU27,Travail!DU38,Travail!DU49)))</f>
        <v>0</v>
      </c>
      <c r="DV122" s="173">
        <f>IF(DV76=0,0,VALUE(CONCATENATE(Travail!DV27,Travail!DV38,Travail!DV49)))</f>
        <v>0</v>
      </c>
      <c r="DW122" s="173">
        <f>IF(DW76=0,0,VALUE(CONCATENATE(Travail!DW27,Travail!DW38,Travail!DW49)))</f>
        <v>0</v>
      </c>
      <c r="DX122" s="173">
        <f>IF(DX76=0,0,VALUE(CONCATENATE(Travail!DX27,Travail!DX38,Travail!DX49)))</f>
        <v>0</v>
      </c>
      <c r="DY122" s="173">
        <f>IF(DY76=0,0,VALUE(CONCATENATE(Travail!DY27,Travail!DY38,Travail!DY49)))</f>
        <v>0</v>
      </c>
      <c r="DZ122" s="173">
        <f>IF(DZ76=0,0,VALUE(CONCATENATE(Travail!DZ27,Travail!DZ38,Travail!DZ49)))</f>
        <v>0</v>
      </c>
      <c r="EA122" s="173">
        <f>IF(EA76=0,0,VALUE(CONCATENATE(Travail!EA27,Travail!EA38,Travail!EA49)))</f>
        <v>0</v>
      </c>
      <c r="EB122" s="173">
        <f>IF(EB76=0,0,VALUE(CONCATENATE(Travail!EB27,Travail!EB38,Travail!EB49)))</f>
        <v>0</v>
      </c>
    </row>
    <row r="123" spans="2:132" x14ac:dyDescent="0.25">
      <c r="B123" s="14" t="s">
        <v>1207</v>
      </c>
      <c r="C123" s="173">
        <f>COUNTIF($H$105:$AE$114,5)/2</f>
        <v>0</v>
      </c>
      <c r="D123" s="173">
        <f t="shared" si="25"/>
        <v>0</v>
      </c>
      <c r="G123" s="186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9" t="str">
        <f>+AT111</f>
        <v>agnelles</v>
      </c>
      <c r="AV123" s="173">
        <f>IF(AV77=0,0,IF(AV100=3,0,VALUE(CONCATENATE(Travail!AV28,Travail!AV39,Travail!AV50))))</f>
        <v>0</v>
      </c>
      <c r="AW123" s="173">
        <f>IF(AW77=0,0,IF(AW100=3,0,VALUE(CONCATENATE(Travail!AW28,Travail!AW39,Travail!AW50))))</f>
        <v>0</v>
      </c>
      <c r="AX123" s="173">
        <f>IF(AX77=0,0,IF(AX100=3,0,VALUE(CONCATENATE(Travail!AX28,Travail!AX39,Travail!AX50))))</f>
        <v>0</v>
      </c>
      <c r="AY123" s="173">
        <f>IF(AY77=0,0,IF(AY100=3,0,VALUE(CONCATENATE(Travail!AY28,Travail!AY39,Travail!AY50))))</f>
        <v>0</v>
      </c>
      <c r="AZ123" s="173">
        <f>IF(AZ77=0,0,IF(AZ100=3,0,VALUE(CONCATENATE(Travail!AZ28,Travail!AZ39,Travail!AZ50))))</f>
        <v>0</v>
      </c>
      <c r="BA123" s="173">
        <f>IF(BA77=0,0,IF(BA100=3,0,VALUE(CONCATENATE(Travail!BA28,Travail!BA39,Travail!BA50))))</f>
        <v>221</v>
      </c>
      <c r="BB123" s="173">
        <f>IF(BB77=0,0,IF(BB100=3,0,VALUE(CONCATENATE(Travail!BB28,Travail!BB39,Travail!BB50))))</f>
        <v>221</v>
      </c>
      <c r="BC123" s="173">
        <f>IF(BC77=0,0,IF(BC100=3,0,VALUE(CONCATENATE(Travail!BC28,Travail!BC39,Travail!BC50))))</f>
        <v>221</v>
      </c>
      <c r="BD123" s="173">
        <f>IF(BD77=0,0,IF(BD100=3,0,VALUE(CONCATENATE(Travail!BD28,Travail!BD39,Travail!BD50))))</f>
        <v>221</v>
      </c>
      <c r="BE123" s="173">
        <f>IF(BE77=0,0,IF(BE100=3,0,VALUE(CONCATENATE(Travail!BE28,Travail!BE39,Travail!BE50))))</f>
        <v>221</v>
      </c>
      <c r="BF123" s="173">
        <f>IF(BF77=0,0,IF(BF100=3,0,VALUE(CONCATENATE(Travail!BF28,Travail!BF39,Travail!BF50))))</f>
        <v>221</v>
      </c>
      <c r="BG123" s="173">
        <f>IF(BG77=0,0,IF(BG100=3,0,VALUE(CONCATENATE(Travail!BG28,Travail!BG39,Travail!BG50))))</f>
        <v>221</v>
      </c>
      <c r="BH123" s="173">
        <f>IF(BH77=0,0,IF(BH100=3,0,VALUE(CONCATENATE(Travail!BH28,Travail!BH39,Travail!BH50))))</f>
        <v>221</v>
      </c>
      <c r="BI123" s="173">
        <f>IF(BI77=0,0,IF(BI100=3,0,VALUE(CONCATENATE(Travail!BI28,Travail!BI39,Travail!BI50))))</f>
        <v>221</v>
      </c>
      <c r="BJ123" s="173">
        <f>IF(BJ77=0,0,IF(BJ100=3,0,VALUE(CONCATENATE(Travail!BJ28,Travail!BJ39,Travail!BJ50))))</f>
        <v>221</v>
      </c>
      <c r="BK123" s="173">
        <f>IF(BK77=0,0,IF(BK100=3,0,VALUE(CONCATENATE(Travail!BK28,Travail!BK39,Travail!BK50))))</f>
        <v>221</v>
      </c>
      <c r="BL123" s="173">
        <f>IF(BL77=0,0,IF(BL100=3,0,VALUE(CONCATENATE(Travail!BL28,Travail!BL39,Travail!BL50))))</f>
        <v>221</v>
      </c>
      <c r="BM123" s="173">
        <f>IF(BM77=0,0,IF(BM100=3,0,VALUE(CONCATENATE(Travail!BM28,Travail!BM39,Travail!BM50))))</f>
        <v>221</v>
      </c>
      <c r="BN123" s="173">
        <f>IF(BN77=0,0,IF(BN100=3,0,VALUE(CONCATENATE(Travail!BN28,Travail!BN39,Travail!BN50))))</f>
        <v>221</v>
      </c>
      <c r="BO123" s="173">
        <f>IF(BO77=0,0,IF(BO100=3,0,VALUE(CONCATENATE(Travail!BO28,Travail!BO39,Travail!BO50))))</f>
        <v>0</v>
      </c>
      <c r="BP123" s="173">
        <f>IF(BP77=0,0,IF(BP100=3,0,VALUE(CONCATENATE(Travail!BP28,Travail!BP39,Travail!BP50))))</f>
        <v>0</v>
      </c>
      <c r="BQ123" s="173">
        <f>IF(BQ77=0,0,IF(BQ100=3,0,VALUE(CONCATENATE(Travail!BQ28,Travail!BQ39,Travail!BQ50))))</f>
        <v>0</v>
      </c>
      <c r="BR123" s="173">
        <f>IF(BR77=0,0,IF(BR100=3,0,VALUE(CONCATENATE(Travail!BR28,Travail!BR39,Travail!BR50))))</f>
        <v>0</v>
      </c>
      <c r="BS123" s="173">
        <f>IF(BS77=0,0,IF(BS100=3,0,VALUE(CONCATENATE(Travail!BS28,Travail!BS39,Travail!BS50))))</f>
        <v>0</v>
      </c>
      <c r="BZ123" s="189" t="str">
        <f t="shared" si="31"/>
        <v>genisses +1an</v>
      </c>
      <c r="CB123" s="173">
        <f>IF(CB77=0,0,VALUE(CONCATENATE(Travail!CB28,Travail!CB39,Travail!CB50)))</f>
        <v>130</v>
      </c>
      <c r="CC123" s="173">
        <f>IF(CC77=0,0,VALUE(CONCATENATE(Travail!CC28,Travail!CC39,Travail!CC50)))</f>
        <v>130</v>
      </c>
      <c r="CD123" s="173">
        <f>IF(CD77=0,0,VALUE(CONCATENATE(Travail!CD28,Travail!CD39,Travail!CD50)))</f>
        <v>112</v>
      </c>
      <c r="CE123" s="173">
        <f>IF(CE77=0,0,VALUE(CONCATENATE(Travail!CE28,Travail!CE39,Travail!CE50)))</f>
        <v>112</v>
      </c>
      <c r="CF123" s="173">
        <f>IF(CF77=0,0,VALUE(CONCATENATE(Travail!CF28,Travail!CF39,Travail!CF50)))</f>
        <v>112</v>
      </c>
      <c r="CG123" s="173">
        <f>IF(CG77=0,0,VALUE(CONCATENATE(Travail!CG28,Travail!CG39,Travail!CG50)))</f>
        <v>112</v>
      </c>
      <c r="CH123" s="173">
        <f>IF(CH77=0,0,VALUE(CONCATENATE(Travail!CH28,Travail!CH39,Travail!CH50)))</f>
        <v>112</v>
      </c>
      <c r="CI123" s="173">
        <f>IF(CI77=0,0,VALUE(CONCATENATE(Travail!CI28,Travail!CI39,Travail!CI50)))</f>
        <v>112</v>
      </c>
      <c r="CJ123" s="173">
        <f>IF(CJ77=0,0,VALUE(CONCATENATE(Travail!CJ28,Travail!CJ39,Travail!CJ50)))</f>
        <v>112</v>
      </c>
      <c r="CK123" s="173">
        <f>IF(CK77=0,0,VALUE(CONCATENATE(Travail!CK28,Travail!CK39,Travail!CK50)))</f>
        <v>112</v>
      </c>
      <c r="CL123" s="173">
        <f>IF(CL77=0,0,VALUE(CONCATENATE(Travail!CL28,Travail!CL39,Travail!CL50)))</f>
        <v>112</v>
      </c>
      <c r="CM123" s="173">
        <f>IF(CM77=0,0,VALUE(CONCATENATE(Travail!CM28,Travail!CM39,Travail!CM50)))</f>
        <v>112</v>
      </c>
      <c r="CN123" s="173">
        <f>IF(CN77=0,0,VALUE(CONCATENATE(Travail!CN28,Travail!CN39,Travail!CN50)))</f>
        <v>112</v>
      </c>
      <c r="CO123" s="173">
        <f>IF(CO77=0,0,VALUE(CONCATENATE(Travail!CO28,Travail!CO39,Travail!CO50)))</f>
        <v>112</v>
      </c>
      <c r="CP123" s="173">
        <f>IF(CP77=0,0,VALUE(CONCATENATE(Travail!CP28,Travail!CP39,Travail!CP50)))</f>
        <v>112</v>
      </c>
      <c r="CQ123" s="173">
        <f>IF(CQ77=0,0,VALUE(CONCATENATE(Travail!CQ28,Travail!CQ39,Travail!CQ50)))</f>
        <v>112</v>
      </c>
      <c r="CR123" s="173">
        <f>IF(CR77=0,0,VALUE(CONCATENATE(Travail!CR28,Travail!CR39,Travail!CR50)))</f>
        <v>112</v>
      </c>
      <c r="CS123" s="173">
        <f>IF(CS77=0,0,VALUE(CONCATENATE(Travail!CS28,Travail!CS39,Travail!CS50)))</f>
        <v>112</v>
      </c>
      <c r="CT123" s="173">
        <f>IF(CT77=0,0,VALUE(CONCATENATE(Travail!CT28,Travail!CT39,Travail!CT50)))</f>
        <v>112</v>
      </c>
      <c r="CU123" s="173">
        <f>IF(CU77=0,0,VALUE(CONCATENATE(Travail!CU28,Travail!CU39,Travail!CU50)))</f>
        <v>111</v>
      </c>
      <c r="CV123" s="173">
        <f>IF(CV77=0,0,VALUE(CONCATENATE(Travail!CV28,Travail!CV39,Travail!CV50)))</f>
        <v>111</v>
      </c>
      <c r="CW123" s="173">
        <f>IF(CW77=0,0,VALUE(CONCATENATE(Travail!CW28,Travail!CW39,Travail!CW50)))</f>
        <v>111</v>
      </c>
      <c r="CX123" s="173">
        <f>IF(CX77=0,0,VALUE(CONCATENATE(Travail!CX28,Travail!CX39,Travail!CX50)))</f>
        <v>130</v>
      </c>
      <c r="CY123" s="173">
        <f>IF(CY77=0,0,VALUE(CONCATENATE(Travail!CY28,Travail!CY39,Travail!CY50)))</f>
        <v>130</v>
      </c>
      <c r="DC123" s="189" t="str">
        <f t="shared" si="32"/>
        <v>lot3</v>
      </c>
      <c r="DE123" s="173">
        <f>IF(DE77=0,0,VALUE(CONCATENATE(Travail!DE28,Travail!DE39,Travail!DE50)))</f>
        <v>0</v>
      </c>
      <c r="DF123" s="173">
        <f>IF(DF77=0,0,VALUE(CONCATENATE(Travail!DF28,Travail!DF39,Travail!DF50)))</f>
        <v>0</v>
      </c>
      <c r="DG123" s="173">
        <f>IF(DG77=0,0,VALUE(CONCATENATE(Travail!DG28,Travail!DG39,Travail!DG50)))</f>
        <v>0</v>
      </c>
      <c r="DH123" s="173">
        <f>IF(DH77=0,0,VALUE(CONCATENATE(Travail!DH28,Travail!DH39,Travail!DH50)))</f>
        <v>0</v>
      </c>
      <c r="DI123" s="173">
        <f>IF(DI77=0,0,VALUE(CONCATENATE(Travail!DI28,Travail!DI39,Travail!DI50)))</f>
        <v>0</v>
      </c>
      <c r="DJ123" s="173">
        <f>IF(DJ77=0,0,VALUE(CONCATENATE(Travail!DJ28,Travail!DJ39,Travail!DJ50)))</f>
        <v>0</v>
      </c>
      <c r="DK123" s="173">
        <f>IF(DK77=0,0,VALUE(CONCATENATE(Travail!DK28,Travail!DK39,Travail!DK50)))</f>
        <v>0</v>
      </c>
      <c r="DL123" s="173">
        <f>IF(DL77=0,0,VALUE(CONCATENATE(Travail!DL28,Travail!DL39,Travail!DL50)))</f>
        <v>0</v>
      </c>
      <c r="DM123" s="173">
        <f>IF(DM77=0,0,VALUE(CONCATENATE(Travail!DM28,Travail!DM39,Travail!DM50)))</f>
        <v>0</v>
      </c>
      <c r="DN123" s="173">
        <f>IF(DN77=0,0,VALUE(CONCATENATE(Travail!DN28,Travail!DN39,Travail!DN50)))</f>
        <v>0</v>
      </c>
      <c r="DO123" s="173">
        <f>IF(DO77=0,0,VALUE(CONCATENATE(Travail!DO28,Travail!DO39,Travail!DO50)))</f>
        <v>0</v>
      </c>
      <c r="DP123" s="173">
        <f>IF(DP77=0,0,VALUE(CONCATENATE(Travail!DP28,Travail!DP39,Travail!DP50)))</f>
        <v>0</v>
      </c>
      <c r="DQ123" s="173">
        <f>IF(DQ77=0,0,VALUE(CONCATENATE(Travail!DQ28,Travail!DQ39,Travail!DQ50)))</f>
        <v>0</v>
      </c>
      <c r="DR123" s="173">
        <f>IF(DR77=0,0,VALUE(CONCATENATE(Travail!DR28,Travail!DR39,Travail!DR50)))</f>
        <v>0</v>
      </c>
      <c r="DS123" s="173">
        <f>IF(DS77=0,0,VALUE(CONCATENATE(Travail!DS28,Travail!DS39,Travail!DS50)))</f>
        <v>0</v>
      </c>
      <c r="DT123" s="173">
        <f>IF(DT77=0,0,VALUE(CONCATENATE(Travail!DT28,Travail!DT39,Travail!DT50)))</f>
        <v>0</v>
      </c>
      <c r="DU123" s="173">
        <f>IF(DU77=0,0,VALUE(CONCATENATE(Travail!DU28,Travail!DU39,Travail!DU50)))</f>
        <v>0</v>
      </c>
      <c r="DV123" s="173">
        <f>IF(DV77=0,0,VALUE(CONCATENATE(Travail!DV28,Travail!DV39,Travail!DV50)))</f>
        <v>0</v>
      </c>
      <c r="DW123" s="173">
        <f>IF(DW77=0,0,VALUE(CONCATENATE(Travail!DW28,Travail!DW39,Travail!DW50)))</f>
        <v>0</v>
      </c>
      <c r="DX123" s="173">
        <f>IF(DX77=0,0,VALUE(CONCATENATE(Travail!DX28,Travail!DX39,Travail!DX50)))</f>
        <v>0</v>
      </c>
      <c r="DY123" s="173">
        <f>IF(DY77=0,0,VALUE(CONCATENATE(Travail!DY28,Travail!DY39,Travail!DY50)))</f>
        <v>0</v>
      </c>
      <c r="DZ123" s="173">
        <f>IF(DZ77=0,0,VALUE(CONCATENATE(Travail!DZ28,Travail!DZ39,Travail!DZ50)))</f>
        <v>0</v>
      </c>
      <c r="EA123" s="173">
        <f>IF(EA77=0,0,VALUE(CONCATENATE(Travail!EA28,Travail!EA39,Travail!EA50)))</f>
        <v>0</v>
      </c>
      <c r="EB123" s="173">
        <f>IF(EB77=0,0,VALUE(CONCATENATE(Travail!EB28,Travail!EB39,Travail!EB50)))</f>
        <v>0</v>
      </c>
    </row>
    <row r="124" spans="2:132" x14ac:dyDescent="0.25">
      <c r="B124" s="14" t="s">
        <v>1208</v>
      </c>
      <c r="C124" s="173">
        <f>COUNTIF($H$116:$AE$125,5)/2</f>
        <v>0</v>
      </c>
      <c r="D124" s="173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9" t="str">
        <f t="shared" ref="AT124:AT130" si="33">+AT112</f>
        <v>beliers</v>
      </c>
      <c r="AV124" s="173">
        <f>IF(AV78=0,0,IF(AV101=3,0,VALUE(CONCATENATE(Travail!AV29,Travail!AV40,Travail!AV51))))</f>
        <v>222</v>
      </c>
      <c r="AW124" s="173">
        <f>IF(AW78=0,0,IF(AW101=3,0,VALUE(CONCATENATE(Travail!AW29,Travail!AW40,Travail!AW51))))</f>
        <v>222</v>
      </c>
      <c r="AX124" s="173">
        <f>IF(AX78=0,0,IF(AX101=3,0,VALUE(CONCATENATE(Travail!AX29,Travail!AX40,Travail!AX51))))</f>
        <v>222</v>
      </c>
      <c r="AY124" s="173">
        <f>IF(AY78=0,0,IF(AY101=3,0,VALUE(CONCATENATE(Travail!AY29,Travail!AY40,Travail!AY51))))</f>
        <v>222</v>
      </c>
      <c r="AZ124" s="173">
        <f>IF(AZ78=0,0,IF(AZ101=3,0,VALUE(CONCATENATE(Travail!AZ29,Travail!AZ40,Travail!AZ51))))</f>
        <v>222</v>
      </c>
      <c r="BA124" s="173">
        <f>IF(BA78=0,0,IF(BA101=3,0,VALUE(CONCATENATE(Travail!BA29,Travail!BA40,Travail!BA51))))</f>
        <v>222</v>
      </c>
      <c r="BB124" s="173">
        <f>IF(BB78=0,0,IF(BB101=3,0,VALUE(CONCATENATE(Travail!BB29,Travail!BB40,Travail!BB51))))</f>
        <v>222</v>
      </c>
      <c r="BC124" s="173">
        <f>IF(BC78=0,0,IF(BC101=3,0,VALUE(CONCATENATE(Travail!BC29,Travail!BC40,Travail!BC51))))</f>
        <v>222</v>
      </c>
      <c r="BD124" s="173">
        <f>IF(BD78=0,0,IF(BD101=3,0,VALUE(CONCATENATE(Travail!BD29,Travail!BD40,Travail!BD51))))</f>
        <v>221</v>
      </c>
      <c r="BE124" s="173">
        <f>IF(BE78=0,0,IF(BE101=3,0,VALUE(CONCATENATE(Travail!BE29,Travail!BE40,Travail!BE51))))</f>
        <v>0</v>
      </c>
      <c r="BF124" s="173">
        <f>IF(BF78=0,0,IF(BF101=3,0,VALUE(CONCATENATE(Travail!BF29,Travail!BF40,Travail!BF51))))</f>
        <v>0</v>
      </c>
      <c r="BG124" s="173">
        <f>IF(BG78=0,0,IF(BG101=3,0,VALUE(CONCATENATE(Travail!BG29,Travail!BG40,Travail!BG51))))</f>
        <v>0</v>
      </c>
      <c r="BH124" s="173">
        <f>IF(BH78=0,0,IF(BH101=3,0,VALUE(CONCATENATE(Travail!BH29,Travail!BH40,Travail!BH51))))</f>
        <v>0</v>
      </c>
      <c r="BI124" s="173">
        <f>IF(BI78=0,0,IF(BI101=3,0,VALUE(CONCATENATE(Travail!BI29,Travail!BI40,Travail!BI51))))</f>
        <v>0</v>
      </c>
      <c r="BJ124" s="173">
        <f>IF(BJ78=0,0,IF(BJ101=3,0,VALUE(CONCATENATE(Travail!BJ29,Travail!BJ40,Travail!BJ51))))</f>
        <v>0</v>
      </c>
      <c r="BK124" s="173">
        <f>IF(BK78=0,0,IF(BK101=3,0,VALUE(CONCATENATE(Travail!BK29,Travail!BK40,Travail!BK51))))</f>
        <v>0</v>
      </c>
      <c r="BL124" s="173">
        <f>IF(BL78=0,0,IF(BL101=3,0,VALUE(CONCATENATE(Travail!BL29,Travail!BL40,Travail!BL51))))</f>
        <v>0</v>
      </c>
      <c r="BM124" s="173">
        <f>IF(BM78=0,0,IF(BM101=3,0,VALUE(CONCATENATE(Travail!BM29,Travail!BM40,Travail!BM51))))</f>
        <v>0</v>
      </c>
      <c r="BN124" s="173">
        <f>IF(BN78=0,0,IF(BN101=3,0,VALUE(CONCATENATE(Travail!BN29,Travail!BN40,Travail!BN51))))</f>
        <v>0</v>
      </c>
      <c r="BO124" s="173">
        <f>IF(BO78=0,0,IF(BO101=3,0,VALUE(CONCATENATE(Travail!BO29,Travail!BO40,Travail!BO51))))</f>
        <v>222</v>
      </c>
      <c r="BP124" s="173">
        <f>IF(BP78=0,0,IF(BP101=3,0,VALUE(CONCATENATE(Travail!BP29,Travail!BP40,Travail!BP51))))</f>
        <v>222</v>
      </c>
      <c r="BQ124" s="173">
        <f>IF(BQ78=0,0,IF(BQ101=3,0,VALUE(CONCATENATE(Travail!BQ29,Travail!BQ40,Travail!BQ51))))</f>
        <v>222</v>
      </c>
      <c r="BR124" s="173">
        <f>IF(BR78=0,0,IF(BR101=3,0,VALUE(CONCATENATE(Travail!BR29,Travail!BR40,Travail!BR51))))</f>
        <v>222</v>
      </c>
      <c r="BS124" s="173">
        <f>IF(BS78=0,0,IF(BS101=3,0,VALUE(CONCATENATE(Travail!BS29,Travail!BS40,Travail!BS51))))</f>
        <v>222</v>
      </c>
      <c r="BZ124" s="189" t="str">
        <f t="shared" si="31"/>
        <v>lot4</v>
      </c>
      <c r="CB124" s="173">
        <f>IF(CB78=0,0,VALUE(CONCATENATE(Travail!CB29,Travail!CB40,Travail!CB51)))</f>
        <v>0</v>
      </c>
      <c r="CC124" s="173">
        <f>IF(CC78=0,0,VALUE(CONCATENATE(Travail!CC29,Travail!CC40,Travail!CC51)))</f>
        <v>0</v>
      </c>
      <c r="CD124" s="173">
        <f>IF(CD78=0,0,VALUE(CONCATENATE(Travail!CD29,Travail!CD40,Travail!CD51)))</f>
        <v>0</v>
      </c>
      <c r="CE124" s="173">
        <f>IF(CE78=0,0,VALUE(CONCATENATE(Travail!CE29,Travail!CE40,Travail!CE51)))</f>
        <v>0</v>
      </c>
      <c r="CF124" s="173">
        <f>IF(CF78=0,0,VALUE(CONCATENATE(Travail!CF29,Travail!CF40,Travail!CF51)))</f>
        <v>0</v>
      </c>
      <c r="CG124" s="173">
        <f>IF(CG78=0,0,VALUE(CONCATENATE(Travail!CG29,Travail!CG40,Travail!CG51)))</f>
        <v>0</v>
      </c>
      <c r="CH124" s="173">
        <f>IF(CH78=0,0,VALUE(CONCATENATE(Travail!CH29,Travail!CH40,Travail!CH51)))</f>
        <v>0</v>
      </c>
      <c r="CI124" s="173">
        <f>IF(CI78=0,0,VALUE(CONCATENATE(Travail!CI29,Travail!CI40,Travail!CI51)))</f>
        <v>0</v>
      </c>
      <c r="CJ124" s="173">
        <f>IF(CJ78=0,0,VALUE(CONCATENATE(Travail!CJ29,Travail!CJ40,Travail!CJ51)))</f>
        <v>0</v>
      </c>
      <c r="CK124" s="173">
        <f>IF(CK78=0,0,VALUE(CONCATENATE(Travail!CK29,Travail!CK40,Travail!CK51)))</f>
        <v>0</v>
      </c>
      <c r="CL124" s="173">
        <f>IF(CL78=0,0,VALUE(CONCATENATE(Travail!CL29,Travail!CL40,Travail!CL51)))</f>
        <v>0</v>
      </c>
      <c r="CM124" s="173">
        <f>IF(CM78=0,0,VALUE(CONCATENATE(Travail!CM29,Travail!CM40,Travail!CM51)))</f>
        <v>0</v>
      </c>
      <c r="CN124" s="173">
        <f>IF(CN78=0,0,VALUE(CONCATENATE(Travail!CN29,Travail!CN40,Travail!CN51)))</f>
        <v>0</v>
      </c>
      <c r="CO124" s="173">
        <f>IF(CO78=0,0,VALUE(CONCATENATE(Travail!CO29,Travail!CO40,Travail!CO51)))</f>
        <v>0</v>
      </c>
      <c r="CP124" s="173">
        <f>IF(CP78=0,0,VALUE(CONCATENATE(Travail!CP29,Travail!CP40,Travail!CP51)))</f>
        <v>0</v>
      </c>
      <c r="CQ124" s="173">
        <f>IF(CQ78=0,0,VALUE(CONCATENATE(Travail!CQ29,Travail!CQ40,Travail!CQ51)))</f>
        <v>0</v>
      </c>
      <c r="CR124" s="173">
        <f>IF(CR78=0,0,VALUE(CONCATENATE(Travail!CR29,Travail!CR40,Travail!CR51)))</f>
        <v>0</v>
      </c>
      <c r="CS124" s="173">
        <f>IF(CS78=0,0,VALUE(CONCATENATE(Travail!CS29,Travail!CS40,Travail!CS51)))</f>
        <v>0</v>
      </c>
      <c r="CT124" s="173">
        <f>IF(CT78=0,0,VALUE(CONCATENATE(Travail!CT29,Travail!CT40,Travail!CT51)))</f>
        <v>0</v>
      </c>
      <c r="CU124" s="173">
        <f>IF(CU78=0,0,VALUE(CONCATENATE(Travail!CU29,Travail!CU40,Travail!CU51)))</f>
        <v>0</v>
      </c>
      <c r="CV124" s="173">
        <f>IF(CV78=0,0,VALUE(CONCATENATE(Travail!CV29,Travail!CV40,Travail!CV51)))</f>
        <v>0</v>
      </c>
      <c r="CW124" s="173">
        <f>IF(CW78=0,0,VALUE(CONCATENATE(Travail!CW29,Travail!CW40,Travail!CW51)))</f>
        <v>0</v>
      </c>
      <c r="CX124" s="173">
        <f>IF(CX78=0,0,VALUE(CONCATENATE(Travail!CX29,Travail!CX40,Travail!CX51)))</f>
        <v>0</v>
      </c>
      <c r="CY124" s="173">
        <f>IF(CY78=0,0,VALUE(CONCATENATE(Travail!CY29,Travail!CY40,Travail!CY51)))</f>
        <v>0</v>
      </c>
      <c r="DC124" s="189" t="str">
        <f t="shared" si="32"/>
        <v>lot4</v>
      </c>
      <c r="DE124" s="173">
        <f>IF(DE78=0,0,VALUE(CONCATENATE(Travail!DE29,Travail!DE40,Travail!DE51)))</f>
        <v>0</v>
      </c>
      <c r="DF124" s="173">
        <f>IF(DF78=0,0,VALUE(CONCATENATE(Travail!DF29,Travail!DF40,Travail!DF51)))</f>
        <v>0</v>
      </c>
      <c r="DG124" s="173">
        <f>IF(DG78=0,0,VALUE(CONCATENATE(Travail!DG29,Travail!DG40,Travail!DG51)))</f>
        <v>0</v>
      </c>
      <c r="DH124" s="173">
        <f>IF(DH78=0,0,VALUE(CONCATENATE(Travail!DH29,Travail!DH40,Travail!DH51)))</f>
        <v>0</v>
      </c>
      <c r="DI124" s="173">
        <f>IF(DI78=0,0,VALUE(CONCATENATE(Travail!DI29,Travail!DI40,Travail!DI51)))</f>
        <v>0</v>
      </c>
      <c r="DJ124" s="173">
        <f>IF(DJ78=0,0,VALUE(CONCATENATE(Travail!DJ29,Travail!DJ40,Travail!DJ51)))</f>
        <v>0</v>
      </c>
      <c r="DK124" s="173">
        <f>IF(DK78=0,0,VALUE(CONCATENATE(Travail!DK29,Travail!DK40,Travail!DK51)))</f>
        <v>0</v>
      </c>
      <c r="DL124" s="173">
        <f>IF(DL78=0,0,VALUE(CONCATENATE(Travail!DL29,Travail!DL40,Travail!DL51)))</f>
        <v>0</v>
      </c>
      <c r="DM124" s="173">
        <f>IF(DM78=0,0,VALUE(CONCATENATE(Travail!DM29,Travail!DM40,Travail!DM51)))</f>
        <v>0</v>
      </c>
      <c r="DN124" s="173">
        <f>IF(DN78=0,0,VALUE(CONCATENATE(Travail!DN29,Travail!DN40,Travail!DN51)))</f>
        <v>0</v>
      </c>
      <c r="DO124" s="173">
        <f>IF(DO78=0,0,VALUE(CONCATENATE(Travail!DO29,Travail!DO40,Travail!DO51)))</f>
        <v>0</v>
      </c>
      <c r="DP124" s="173">
        <f>IF(DP78=0,0,VALUE(CONCATENATE(Travail!DP29,Travail!DP40,Travail!DP51)))</f>
        <v>0</v>
      </c>
      <c r="DQ124" s="173">
        <f>IF(DQ78=0,0,VALUE(CONCATENATE(Travail!DQ29,Travail!DQ40,Travail!DQ51)))</f>
        <v>0</v>
      </c>
      <c r="DR124" s="173">
        <f>IF(DR78=0,0,VALUE(CONCATENATE(Travail!DR29,Travail!DR40,Travail!DR51)))</f>
        <v>0</v>
      </c>
      <c r="DS124" s="173">
        <f>IF(DS78=0,0,VALUE(CONCATENATE(Travail!DS29,Travail!DS40,Travail!DS51)))</f>
        <v>0</v>
      </c>
      <c r="DT124" s="173">
        <f>IF(DT78=0,0,VALUE(CONCATENATE(Travail!DT29,Travail!DT40,Travail!DT51)))</f>
        <v>0</v>
      </c>
      <c r="DU124" s="173">
        <f>IF(DU78=0,0,VALUE(CONCATENATE(Travail!DU29,Travail!DU40,Travail!DU51)))</f>
        <v>0</v>
      </c>
      <c r="DV124" s="173">
        <f>IF(DV78=0,0,VALUE(CONCATENATE(Travail!DV29,Travail!DV40,Travail!DV51)))</f>
        <v>0</v>
      </c>
      <c r="DW124" s="173">
        <f>IF(DW78=0,0,VALUE(CONCATENATE(Travail!DW29,Travail!DW40,Travail!DW51)))</f>
        <v>0</v>
      </c>
      <c r="DX124" s="173">
        <f>IF(DX78=0,0,VALUE(CONCATENATE(Travail!DX29,Travail!DX40,Travail!DX51)))</f>
        <v>0</v>
      </c>
      <c r="DY124" s="173">
        <f>IF(DY78=0,0,VALUE(CONCATENATE(Travail!DY29,Travail!DY40,Travail!DY51)))</f>
        <v>0</v>
      </c>
      <c r="DZ124" s="173">
        <f>IF(DZ78=0,0,VALUE(CONCATENATE(Travail!DZ29,Travail!DZ40,Travail!DZ51)))</f>
        <v>0</v>
      </c>
      <c r="EA124" s="173">
        <f>IF(EA78=0,0,VALUE(CONCATENATE(Travail!EA29,Travail!EA40,Travail!EA51)))</f>
        <v>0</v>
      </c>
      <c r="EB124" s="173">
        <f>IF(EB78=0,0,VALUE(CONCATENATE(Travail!EB29,Travail!EB40,Travail!EB51)))</f>
        <v>0</v>
      </c>
    </row>
    <row r="125" spans="2:132" x14ac:dyDescent="0.25">
      <c r="B125" s="14" t="s">
        <v>1209</v>
      </c>
      <c r="C125" s="173">
        <f t="shared" ref="C125:C132" si="34">SUM(H134:AE134)/2</f>
        <v>3.5</v>
      </c>
      <c r="D125" s="173">
        <f t="shared" si="25"/>
        <v>3.5</v>
      </c>
      <c r="G125" s="186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9" t="str">
        <f t="shared" si="33"/>
        <v>lot5</v>
      </c>
      <c r="AV125" s="173">
        <f>IF(AV79=0,0,IF(AV102=3,0,VALUE(CONCATENATE(Travail!AV30,Travail!AV41,Travail!AV52))))</f>
        <v>0</v>
      </c>
      <c r="AW125" s="173">
        <f>IF(AW79=0,0,IF(AW102=3,0,VALUE(CONCATENATE(Travail!AW30,Travail!AW41,Travail!AW52))))</f>
        <v>0</v>
      </c>
      <c r="AX125" s="173">
        <f>IF(AX79=0,0,IF(AX102=3,0,VALUE(CONCATENATE(Travail!AX30,Travail!AX41,Travail!AX52))))</f>
        <v>0</v>
      </c>
      <c r="AY125" s="173">
        <f>IF(AY79=0,0,IF(AY102=3,0,VALUE(CONCATENATE(Travail!AY30,Travail!AY41,Travail!AY52))))</f>
        <v>0</v>
      </c>
      <c r="AZ125" s="173">
        <f>IF(AZ79=0,0,IF(AZ102=3,0,VALUE(CONCATENATE(Travail!AZ30,Travail!AZ41,Travail!AZ52))))</f>
        <v>0</v>
      </c>
      <c r="BA125" s="173">
        <f>IF(BA79=0,0,IF(BA102=3,0,VALUE(CONCATENATE(Travail!BA30,Travail!BA41,Travail!BA52))))</f>
        <v>0</v>
      </c>
      <c r="BB125" s="173">
        <f>IF(BB79=0,0,IF(BB102=3,0,VALUE(CONCATENATE(Travail!BB30,Travail!BB41,Travail!BB52))))</f>
        <v>0</v>
      </c>
      <c r="BC125" s="173">
        <f>IF(BC79=0,0,IF(BC102=3,0,VALUE(CONCATENATE(Travail!BC30,Travail!BC41,Travail!BC52))))</f>
        <v>0</v>
      </c>
      <c r="BD125" s="173">
        <f>IF(BD79=0,0,IF(BD102=3,0,VALUE(CONCATENATE(Travail!BD30,Travail!BD41,Travail!BD52))))</f>
        <v>0</v>
      </c>
      <c r="BE125" s="173">
        <f>IF(BE79=0,0,IF(BE102=3,0,VALUE(CONCATENATE(Travail!BE30,Travail!BE41,Travail!BE52))))</f>
        <v>0</v>
      </c>
      <c r="BF125" s="173">
        <f>IF(BF79=0,0,IF(BF102=3,0,VALUE(CONCATENATE(Travail!BF30,Travail!BF41,Travail!BF52))))</f>
        <v>0</v>
      </c>
      <c r="BG125" s="173">
        <f>IF(BG79=0,0,IF(BG102=3,0,VALUE(CONCATENATE(Travail!BG30,Travail!BG41,Travail!BG52))))</f>
        <v>0</v>
      </c>
      <c r="BH125" s="173">
        <f>IF(BH79=0,0,IF(BH102=3,0,VALUE(CONCATENATE(Travail!BH30,Travail!BH41,Travail!BH52))))</f>
        <v>0</v>
      </c>
      <c r="BI125" s="173">
        <f>IF(BI79=0,0,IF(BI102=3,0,VALUE(CONCATENATE(Travail!BI30,Travail!BI41,Travail!BI52))))</f>
        <v>0</v>
      </c>
      <c r="BJ125" s="173">
        <f>IF(BJ79=0,0,IF(BJ102=3,0,VALUE(CONCATENATE(Travail!BJ30,Travail!BJ41,Travail!BJ52))))</f>
        <v>0</v>
      </c>
      <c r="BK125" s="173">
        <f>IF(BK79=0,0,IF(BK102=3,0,VALUE(CONCATENATE(Travail!BK30,Travail!BK41,Travail!BK52))))</f>
        <v>0</v>
      </c>
      <c r="BL125" s="173">
        <f>IF(BL79=0,0,IF(BL102=3,0,VALUE(CONCATENATE(Travail!BL30,Travail!BL41,Travail!BL52))))</f>
        <v>0</v>
      </c>
      <c r="BM125" s="173">
        <f>IF(BM79=0,0,IF(BM102=3,0,VALUE(CONCATENATE(Travail!BM30,Travail!BM41,Travail!BM52))))</f>
        <v>0</v>
      </c>
      <c r="BN125" s="173">
        <f>IF(BN79=0,0,IF(BN102=3,0,VALUE(CONCATENATE(Travail!BN30,Travail!BN41,Travail!BN52))))</f>
        <v>0</v>
      </c>
      <c r="BO125" s="173">
        <f>IF(BO79=0,0,IF(BO102=3,0,VALUE(CONCATENATE(Travail!BO30,Travail!BO41,Travail!BO52))))</f>
        <v>0</v>
      </c>
      <c r="BP125" s="173">
        <f>IF(BP79=0,0,IF(BP102=3,0,VALUE(CONCATENATE(Travail!BP30,Travail!BP41,Travail!BP52))))</f>
        <v>0</v>
      </c>
      <c r="BQ125" s="173">
        <f>IF(BQ79=0,0,IF(BQ102=3,0,VALUE(CONCATENATE(Travail!BQ30,Travail!BQ41,Travail!BQ52))))</f>
        <v>0</v>
      </c>
      <c r="BR125" s="173">
        <f>IF(BR79=0,0,IF(BR102=3,0,VALUE(CONCATENATE(Travail!BR30,Travail!BR41,Travail!BR52))))</f>
        <v>0</v>
      </c>
      <c r="BS125" s="173">
        <f>IF(BS79=0,0,IF(BS102=3,0,VALUE(CONCATENATE(Travail!BS30,Travail!BS41,Travail!BS52))))</f>
        <v>0</v>
      </c>
      <c r="BZ125" s="189" t="str">
        <f t="shared" si="31"/>
        <v>lot5</v>
      </c>
      <c r="CB125" s="173">
        <f>IF(CB79=0,0,VALUE(CONCATENATE(Travail!CB30,Travail!CB41,Travail!CB52)))</f>
        <v>0</v>
      </c>
      <c r="CC125" s="173">
        <f>IF(CC79=0,0,VALUE(CONCATENATE(Travail!CC30,Travail!CC41,Travail!CC52)))</f>
        <v>0</v>
      </c>
      <c r="CD125" s="173">
        <f>IF(CD79=0,0,VALUE(CONCATENATE(Travail!CD30,Travail!CD41,Travail!CD52)))</f>
        <v>0</v>
      </c>
      <c r="CE125" s="173">
        <f>IF(CE79=0,0,VALUE(CONCATENATE(Travail!CE30,Travail!CE41,Travail!CE52)))</f>
        <v>0</v>
      </c>
      <c r="CF125" s="173">
        <f>IF(CF79=0,0,VALUE(CONCATENATE(Travail!CF30,Travail!CF41,Travail!CF52)))</f>
        <v>0</v>
      </c>
      <c r="CG125" s="173">
        <f>IF(CG79=0,0,VALUE(CONCATENATE(Travail!CG30,Travail!CG41,Travail!CG52)))</f>
        <v>0</v>
      </c>
      <c r="CH125" s="173">
        <f>IF(CH79=0,0,VALUE(CONCATENATE(Travail!CH30,Travail!CH41,Travail!CH52)))</f>
        <v>0</v>
      </c>
      <c r="CI125" s="173">
        <f>IF(CI79=0,0,VALUE(CONCATENATE(Travail!CI30,Travail!CI41,Travail!CI52)))</f>
        <v>0</v>
      </c>
      <c r="CJ125" s="173">
        <f>IF(CJ79=0,0,VALUE(CONCATENATE(Travail!CJ30,Travail!CJ41,Travail!CJ52)))</f>
        <v>0</v>
      </c>
      <c r="CK125" s="173">
        <f>IF(CK79=0,0,VALUE(CONCATENATE(Travail!CK30,Travail!CK41,Travail!CK52)))</f>
        <v>0</v>
      </c>
      <c r="CL125" s="173">
        <f>IF(CL79=0,0,VALUE(CONCATENATE(Travail!CL30,Travail!CL41,Travail!CL52)))</f>
        <v>0</v>
      </c>
      <c r="CM125" s="173">
        <f>IF(CM79=0,0,VALUE(CONCATENATE(Travail!CM30,Travail!CM41,Travail!CM52)))</f>
        <v>0</v>
      </c>
      <c r="CN125" s="173">
        <f>IF(CN79=0,0,VALUE(CONCATENATE(Travail!CN30,Travail!CN41,Travail!CN52)))</f>
        <v>0</v>
      </c>
      <c r="CO125" s="173">
        <f>IF(CO79=0,0,VALUE(CONCATENATE(Travail!CO30,Travail!CO41,Travail!CO52)))</f>
        <v>0</v>
      </c>
      <c r="CP125" s="173">
        <f>IF(CP79=0,0,VALUE(CONCATENATE(Travail!CP30,Travail!CP41,Travail!CP52)))</f>
        <v>0</v>
      </c>
      <c r="CQ125" s="173">
        <f>IF(CQ79=0,0,VALUE(CONCATENATE(Travail!CQ30,Travail!CQ41,Travail!CQ52)))</f>
        <v>0</v>
      </c>
      <c r="CR125" s="173">
        <f>IF(CR79=0,0,VALUE(CONCATENATE(Travail!CR30,Travail!CR41,Travail!CR52)))</f>
        <v>0</v>
      </c>
      <c r="CS125" s="173">
        <f>IF(CS79=0,0,VALUE(CONCATENATE(Travail!CS30,Travail!CS41,Travail!CS52)))</f>
        <v>0</v>
      </c>
      <c r="CT125" s="173">
        <f>IF(CT79=0,0,VALUE(CONCATENATE(Travail!CT30,Travail!CT41,Travail!CT52)))</f>
        <v>0</v>
      </c>
      <c r="CU125" s="173">
        <f>IF(CU79=0,0,VALUE(CONCATENATE(Travail!CU30,Travail!CU41,Travail!CU52)))</f>
        <v>0</v>
      </c>
      <c r="CV125" s="173">
        <f>IF(CV79=0,0,VALUE(CONCATENATE(Travail!CV30,Travail!CV41,Travail!CV52)))</f>
        <v>0</v>
      </c>
      <c r="CW125" s="173">
        <f>IF(CW79=0,0,VALUE(CONCATENATE(Travail!CW30,Travail!CW41,Travail!CW52)))</f>
        <v>0</v>
      </c>
      <c r="CX125" s="173">
        <f>IF(CX79=0,0,VALUE(CONCATENATE(Travail!CX30,Travail!CX41,Travail!CX52)))</f>
        <v>0</v>
      </c>
      <c r="CY125" s="173">
        <f>IF(CY79=0,0,VALUE(CONCATENATE(Travail!CY30,Travail!CY41,Travail!CY52)))</f>
        <v>0</v>
      </c>
      <c r="DC125" s="189" t="str">
        <f t="shared" si="32"/>
        <v>lot5</v>
      </c>
      <c r="DE125" s="173">
        <f>IF(DE79=0,0,VALUE(CONCATENATE(Travail!DE30,Travail!DE41,Travail!DE52)))</f>
        <v>0</v>
      </c>
      <c r="DF125" s="173">
        <f>IF(DF79=0,0,VALUE(CONCATENATE(Travail!DF30,Travail!DF41,Travail!DF52)))</f>
        <v>0</v>
      </c>
      <c r="DG125" s="173">
        <f>IF(DG79=0,0,VALUE(CONCATENATE(Travail!DG30,Travail!DG41,Travail!DG52)))</f>
        <v>0</v>
      </c>
      <c r="DH125" s="173">
        <f>IF(DH79=0,0,VALUE(CONCATENATE(Travail!DH30,Travail!DH41,Travail!DH52)))</f>
        <v>0</v>
      </c>
      <c r="DI125" s="173">
        <f>IF(DI79=0,0,VALUE(CONCATENATE(Travail!DI30,Travail!DI41,Travail!DI52)))</f>
        <v>0</v>
      </c>
      <c r="DJ125" s="173">
        <f>IF(DJ79=0,0,VALUE(CONCATENATE(Travail!DJ30,Travail!DJ41,Travail!DJ52)))</f>
        <v>0</v>
      </c>
      <c r="DK125" s="173">
        <f>IF(DK79=0,0,VALUE(CONCATENATE(Travail!DK30,Travail!DK41,Travail!DK52)))</f>
        <v>0</v>
      </c>
      <c r="DL125" s="173">
        <f>IF(DL79=0,0,VALUE(CONCATENATE(Travail!DL30,Travail!DL41,Travail!DL52)))</f>
        <v>0</v>
      </c>
      <c r="DM125" s="173">
        <f>IF(DM79=0,0,VALUE(CONCATENATE(Travail!DM30,Travail!DM41,Travail!DM52)))</f>
        <v>0</v>
      </c>
      <c r="DN125" s="173">
        <f>IF(DN79=0,0,VALUE(CONCATENATE(Travail!DN30,Travail!DN41,Travail!DN52)))</f>
        <v>0</v>
      </c>
      <c r="DO125" s="173">
        <f>IF(DO79=0,0,VALUE(CONCATENATE(Travail!DO30,Travail!DO41,Travail!DO52)))</f>
        <v>0</v>
      </c>
      <c r="DP125" s="173">
        <f>IF(DP79=0,0,VALUE(CONCATENATE(Travail!DP30,Travail!DP41,Travail!DP52)))</f>
        <v>0</v>
      </c>
      <c r="DQ125" s="173">
        <f>IF(DQ79=0,0,VALUE(CONCATENATE(Travail!DQ30,Travail!DQ41,Travail!DQ52)))</f>
        <v>0</v>
      </c>
      <c r="DR125" s="173">
        <f>IF(DR79=0,0,VALUE(CONCATENATE(Travail!DR30,Travail!DR41,Travail!DR52)))</f>
        <v>0</v>
      </c>
      <c r="DS125" s="173">
        <f>IF(DS79=0,0,VALUE(CONCATENATE(Travail!DS30,Travail!DS41,Travail!DS52)))</f>
        <v>0</v>
      </c>
      <c r="DT125" s="173">
        <f>IF(DT79=0,0,VALUE(CONCATENATE(Travail!DT30,Travail!DT41,Travail!DT52)))</f>
        <v>0</v>
      </c>
      <c r="DU125" s="173">
        <f>IF(DU79=0,0,VALUE(CONCATENATE(Travail!DU30,Travail!DU41,Travail!DU52)))</f>
        <v>0</v>
      </c>
      <c r="DV125" s="173">
        <f>IF(DV79=0,0,VALUE(CONCATENATE(Travail!DV30,Travail!DV41,Travail!DV52)))</f>
        <v>0</v>
      </c>
      <c r="DW125" s="173">
        <f>IF(DW79=0,0,VALUE(CONCATENATE(Travail!DW30,Travail!DW41,Travail!DW52)))</f>
        <v>0</v>
      </c>
      <c r="DX125" s="173">
        <f>IF(DX79=0,0,VALUE(CONCATENATE(Travail!DX30,Travail!DX41,Travail!DX52)))</f>
        <v>0</v>
      </c>
      <c r="DY125" s="173">
        <f>IF(DY79=0,0,VALUE(CONCATENATE(Travail!DY30,Travail!DY41,Travail!DY52)))</f>
        <v>0</v>
      </c>
      <c r="DZ125" s="173">
        <f>IF(DZ79=0,0,VALUE(CONCATENATE(Travail!DZ30,Travail!DZ41,Travail!DZ52)))</f>
        <v>0</v>
      </c>
      <c r="EA125" s="173">
        <f>IF(EA79=0,0,VALUE(CONCATENATE(Travail!EA30,Travail!EA41,Travail!EA52)))</f>
        <v>0</v>
      </c>
      <c r="EB125" s="173">
        <f>IF(EB79=0,0,VALUE(CONCATENATE(Travail!EB30,Travail!EB41,Travail!EB52)))</f>
        <v>0</v>
      </c>
    </row>
    <row r="126" spans="2:132" x14ac:dyDescent="0.25">
      <c r="B126" s="14" t="s">
        <v>1210</v>
      </c>
      <c r="C126" s="173">
        <f t="shared" si="34"/>
        <v>0</v>
      </c>
      <c r="D126" s="173">
        <f t="shared" si="25"/>
        <v>0</v>
      </c>
      <c r="AT126" s="189" t="str">
        <f t="shared" si="33"/>
        <v>lot6</v>
      </c>
      <c r="AV126" s="173">
        <f>IF(AV80=0,0,IF(AV103=3,0,VALUE(CONCATENATE(Travail!AV31,Travail!AV42,Travail!AV53))))</f>
        <v>0</v>
      </c>
      <c r="AW126" s="173">
        <f>IF(AW80=0,0,IF(AW103=3,0,VALUE(CONCATENATE(Travail!AW31,Travail!AW42,Travail!AW53))))</f>
        <v>0</v>
      </c>
      <c r="AX126" s="173">
        <f>IF(AX80=0,0,IF(AX103=3,0,VALUE(CONCATENATE(Travail!AX31,Travail!AX42,Travail!AX53))))</f>
        <v>0</v>
      </c>
      <c r="AY126" s="173">
        <f>IF(AY80=0,0,IF(AY103=3,0,VALUE(CONCATENATE(Travail!AY31,Travail!AY42,Travail!AY53))))</f>
        <v>0</v>
      </c>
      <c r="AZ126" s="173">
        <f>IF(AZ80=0,0,IF(AZ103=3,0,VALUE(CONCATENATE(Travail!AZ31,Travail!AZ42,Travail!AZ53))))</f>
        <v>0</v>
      </c>
      <c r="BA126" s="173">
        <f>IF(BA80=0,0,IF(BA103=3,0,VALUE(CONCATENATE(Travail!BA31,Travail!BA42,Travail!BA53))))</f>
        <v>0</v>
      </c>
      <c r="BB126" s="173">
        <f>IF(BB80=0,0,IF(BB103=3,0,VALUE(CONCATENATE(Travail!BB31,Travail!BB42,Travail!BB53))))</f>
        <v>0</v>
      </c>
      <c r="BC126" s="173">
        <f>IF(BC80=0,0,IF(BC103=3,0,VALUE(CONCATENATE(Travail!BC31,Travail!BC42,Travail!BC53))))</f>
        <v>0</v>
      </c>
      <c r="BD126" s="173">
        <f>IF(BD80=0,0,IF(BD103=3,0,VALUE(CONCATENATE(Travail!BD31,Travail!BD42,Travail!BD53))))</f>
        <v>0</v>
      </c>
      <c r="BE126" s="173">
        <f>IF(BE80=0,0,IF(BE103=3,0,VALUE(CONCATENATE(Travail!BE31,Travail!BE42,Travail!BE53))))</f>
        <v>0</v>
      </c>
      <c r="BF126" s="173">
        <f>IF(BF80=0,0,IF(BF103=3,0,VALUE(CONCATENATE(Travail!BF31,Travail!BF42,Travail!BF53))))</f>
        <v>0</v>
      </c>
      <c r="BG126" s="173">
        <f>IF(BG80=0,0,IF(BG103=3,0,VALUE(CONCATENATE(Travail!BG31,Travail!BG42,Travail!BG53))))</f>
        <v>0</v>
      </c>
      <c r="BH126" s="173">
        <f>IF(BH80=0,0,IF(BH103=3,0,VALUE(CONCATENATE(Travail!BH31,Travail!BH42,Travail!BH53))))</f>
        <v>0</v>
      </c>
      <c r="BI126" s="173">
        <f>IF(BI80=0,0,IF(BI103=3,0,VALUE(CONCATENATE(Travail!BI31,Travail!BI42,Travail!BI53))))</f>
        <v>0</v>
      </c>
      <c r="BJ126" s="173">
        <f>IF(BJ80=0,0,IF(BJ103=3,0,VALUE(CONCATENATE(Travail!BJ31,Travail!BJ42,Travail!BJ53))))</f>
        <v>0</v>
      </c>
      <c r="BK126" s="173">
        <f>IF(BK80=0,0,IF(BK103=3,0,VALUE(CONCATENATE(Travail!BK31,Travail!BK42,Travail!BK53))))</f>
        <v>0</v>
      </c>
      <c r="BL126" s="173">
        <f>IF(BL80=0,0,IF(BL103=3,0,VALUE(CONCATENATE(Travail!BL31,Travail!BL42,Travail!BL53))))</f>
        <v>0</v>
      </c>
      <c r="BM126" s="173">
        <f>IF(BM80=0,0,IF(BM103=3,0,VALUE(CONCATENATE(Travail!BM31,Travail!BM42,Travail!BM53))))</f>
        <v>0</v>
      </c>
      <c r="BN126" s="173">
        <f>IF(BN80=0,0,IF(BN103=3,0,VALUE(CONCATENATE(Travail!BN31,Travail!BN42,Travail!BN53))))</f>
        <v>0</v>
      </c>
      <c r="BO126" s="173">
        <f>IF(BO80=0,0,IF(BO103=3,0,VALUE(CONCATENATE(Travail!BO31,Travail!BO42,Travail!BO53))))</f>
        <v>0</v>
      </c>
      <c r="BP126" s="173">
        <f>IF(BP80=0,0,IF(BP103=3,0,VALUE(CONCATENATE(Travail!BP31,Travail!BP42,Travail!BP53))))</f>
        <v>0</v>
      </c>
      <c r="BQ126" s="173">
        <f>IF(BQ80=0,0,IF(BQ103=3,0,VALUE(CONCATENATE(Travail!BQ31,Travail!BQ42,Travail!BQ53))))</f>
        <v>0</v>
      </c>
      <c r="BR126" s="173">
        <f>IF(BR80=0,0,IF(BR103=3,0,VALUE(CONCATENATE(Travail!BR31,Travail!BR42,Travail!BR53))))</f>
        <v>0</v>
      </c>
      <c r="BS126" s="173">
        <f>IF(BS80=0,0,IF(BS103=3,0,VALUE(CONCATENATE(Travail!BS31,Travail!BS42,Travail!BS53))))</f>
        <v>0</v>
      </c>
      <c r="BZ126" s="189" t="str">
        <f t="shared" si="31"/>
        <v>lot6</v>
      </c>
      <c r="CB126" s="173">
        <f>IF(CB80=0,0,VALUE(CONCATENATE(Travail!CB31,Travail!CB42,Travail!CB53)))</f>
        <v>0</v>
      </c>
      <c r="CC126" s="173">
        <f>IF(CC80=0,0,VALUE(CONCATENATE(Travail!CC31,Travail!CC42,Travail!CC53)))</f>
        <v>0</v>
      </c>
      <c r="CD126" s="173">
        <f>IF(CD80=0,0,VALUE(CONCATENATE(Travail!CD31,Travail!CD42,Travail!CD53)))</f>
        <v>0</v>
      </c>
      <c r="CE126" s="173">
        <f>IF(CE80=0,0,VALUE(CONCATENATE(Travail!CE31,Travail!CE42,Travail!CE53)))</f>
        <v>0</v>
      </c>
      <c r="CF126" s="173">
        <f>IF(CF80=0,0,VALUE(CONCATENATE(Travail!CF31,Travail!CF42,Travail!CF53)))</f>
        <v>0</v>
      </c>
      <c r="CG126" s="173">
        <f>IF(CG80=0,0,VALUE(CONCATENATE(Travail!CG31,Travail!CG42,Travail!CG53)))</f>
        <v>0</v>
      </c>
      <c r="CH126" s="173">
        <f>IF(CH80=0,0,VALUE(CONCATENATE(Travail!CH31,Travail!CH42,Travail!CH53)))</f>
        <v>0</v>
      </c>
      <c r="CI126" s="173">
        <f>IF(CI80=0,0,VALUE(CONCATENATE(Travail!CI31,Travail!CI42,Travail!CI53)))</f>
        <v>0</v>
      </c>
      <c r="CJ126" s="173">
        <f>IF(CJ80=0,0,VALUE(CONCATENATE(Travail!CJ31,Travail!CJ42,Travail!CJ53)))</f>
        <v>0</v>
      </c>
      <c r="CK126" s="173">
        <f>IF(CK80=0,0,VALUE(CONCATENATE(Travail!CK31,Travail!CK42,Travail!CK53)))</f>
        <v>0</v>
      </c>
      <c r="CL126" s="173">
        <f>IF(CL80=0,0,VALUE(CONCATENATE(Travail!CL31,Travail!CL42,Travail!CL53)))</f>
        <v>0</v>
      </c>
      <c r="CM126" s="173">
        <f>IF(CM80=0,0,VALUE(CONCATENATE(Travail!CM31,Travail!CM42,Travail!CM53)))</f>
        <v>0</v>
      </c>
      <c r="CN126" s="173">
        <f>IF(CN80=0,0,VALUE(CONCATENATE(Travail!CN31,Travail!CN42,Travail!CN53)))</f>
        <v>0</v>
      </c>
      <c r="CO126" s="173">
        <f>IF(CO80=0,0,VALUE(CONCATENATE(Travail!CO31,Travail!CO42,Travail!CO53)))</f>
        <v>0</v>
      </c>
      <c r="CP126" s="173">
        <f>IF(CP80=0,0,VALUE(CONCATENATE(Travail!CP31,Travail!CP42,Travail!CP53)))</f>
        <v>0</v>
      </c>
      <c r="CQ126" s="173">
        <f>IF(CQ80=0,0,VALUE(CONCATENATE(Travail!CQ31,Travail!CQ42,Travail!CQ53)))</f>
        <v>0</v>
      </c>
      <c r="CR126" s="173">
        <f>IF(CR80=0,0,VALUE(CONCATENATE(Travail!CR31,Travail!CR42,Travail!CR53)))</f>
        <v>0</v>
      </c>
      <c r="CS126" s="173">
        <f>IF(CS80=0,0,VALUE(CONCATENATE(Travail!CS31,Travail!CS42,Travail!CS53)))</f>
        <v>0</v>
      </c>
      <c r="CT126" s="173">
        <f>IF(CT80=0,0,VALUE(CONCATENATE(Travail!CT31,Travail!CT42,Travail!CT53)))</f>
        <v>0</v>
      </c>
      <c r="CU126" s="173">
        <f>IF(CU80=0,0,VALUE(CONCATENATE(Travail!CU31,Travail!CU42,Travail!CU53)))</f>
        <v>0</v>
      </c>
      <c r="CV126" s="173">
        <f>IF(CV80=0,0,VALUE(CONCATENATE(Travail!CV31,Travail!CV42,Travail!CV53)))</f>
        <v>0</v>
      </c>
      <c r="CW126" s="173">
        <f>IF(CW80=0,0,VALUE(CONCATENATE(Travail!CW31,Travail!CW42,Travail!CW53)))</f>
        <v>0</v>
      </c>
      <c r="CX126" s="173">
        <f>IF(CX80=0,0,VALUE(CONCATENATE(Travail!CX31,Travail!CX42,Travail!CX53)))</f>
        <v>0</v>
      </c>
      <c r="CY126" s="173">
        <f>IF(CY80=0,0,VALUE(CONCATENATE(Travail!CY31,Travail!CY42,Travail!CY53)))</f>
        <v>0</v>
      </c>
      <c r="DC126" s="189" t="str">
        <f t="shared" si="32"/>
        <v>lot6</v>
      </c>
      <c r="DE126" s="173">
        <f>IF(DE80=0,0,VALUE(CONCATENATE(Travail!DE31,Travail!DE42,Travail!DE53)))</f>
        <v>0</v>
      </c>
      <c r="DF126" s="173">
        <f>IF(DF80=0,0,VALUE(CONCATENATE(Travail!DF31,Travail!DF42,Travail!DF53)))</f>
        <v>0</v>
      </c>
      <c r="DG126" s="173">
        <f>IF(DG80=0,0,VALUE(CONCATENATE(Travail!DG31,Travail!DG42,Travail!DG53)))</f>
        <v>0</v>
      </c>
      <c r="DH126" s="173">
        <f>IF(DH80=0,0,VALUE(CONCATENATE(Travail!DH31,Travail!DH42,Travail!DH53)))</f>
        <v>0</v>
      </c>
      <c r="DI126" s="173">
        <f>IF(DI80=0,0,VALUE(CONCATENATE(Travail!DI31,Travail!DI42,Travail!DI53)))</f>
        <v>0</v>
      </c>
      <c r="DJ126" s="173">
        <f>IF(DJ80=0,0,VALUE(CONCATENATE(Travail!DJ31,Travail!DJ42,Travail!DJ53)))</f>
        <v>0</v>
      </c>
      <c r="DK126" s="173">
        <f>IF(DK80=0,0,VALUE(CONCATENATE(Travail!DK31,Travail!DK42,Travail!DK53)))</f>
        <v>0</v>
      </c>
      <c r="DL126" s="173">
        <f>IF(DL80=0,0,VALUE(CONCATENATE(Travail!DL31,Travail!DL42,Travail!DL53)))</f>
        <v>0</v>
      </c>
      <c r="DM126" s="173">
        <f>IF(DM80=0,0,VALUE(CONCATENATE(Travail!DM31,Travail!DM42,Travail!DM53)))</f>
        <v>0</v>
      </c>
      <c r="DN126" s="173">
        <f>IF(DN80=0,0,VALUE(CONCATENATE(Travail!DN31,Travail!DN42,Travail!DN53)))</f>
        <v>0</v>
      </c>
      <c r="DO126" s="173">
        <f>IF(DO80=0,0,VALUE(CONCATENATE(Travail!DO31,Travail!DO42,Travail!DO53)))</f>
        <v>0</v>
      </c>
      <c r="DP126" s="173">
        <f>IF(DP80=0,0,VALUE(CONCATENATE(Travail!DP31,Travail!DP42,Travail!DP53)))</f>
        <v>0</v>
      </c>
      <c r="DQ126" s="173">
        <f>IF(DQ80=0,0,VALUE(CONCATENATE(Travail!DQ31,Travail!DQ42,Travail!DQ53)))</f>
        <v>0</v>
      </c>
      <c r="DR126" s="173">
        <f>IF(DR80=0,0,VALUE(CONCATENATE(Travail!DR31,Travail!DR42,Travail!DR53)))</f>
        <v>0</v>
      </c>
      <c r="DS126" s="173">
        <f>IF(DS80=0,0,VALUE(CONCATENATE(Travail!DS31,Travail!DS42,Travail!DS53)))</f>
        <v>0</v>
      </c>
      <c r="DT126" s="173">
        <f>IF(DT80=0,0,VALUE(CONCATENATE(Travail!DT31,Travail!DT42,Travail!DT53)))</f>
        <v>0</v>
      </c>
      <c r="DU126" s="173">
        <f>IF(DU80=0,0,VALUE(CONCATENATE(Travail!DU31,Travail!DU42,Travail!DU53)))</f>
        <v>0</v>
      </c>
      <c r="DV126" s="173">
        <f>IF(DV80=0,0,VALUE(CONCATENATE(Travail!DV31,Travail!DV42,Travail!DV53)))</f>
        <v>0</v>
      </c>
      <c r="DW126" s="173">
        <f>IF(DW80=0,0,VALUE(CONCATENATE(Travail!DW31,Travail!DW42,Travail!DW53)))</f>
        <v>0</v>
      </c>
      <c r="DX126" s="173">
        <f>IF(DX80=0,0,VALUE(CONCATENATE(Travail!DX31,Travail!DX42,Travail!DX53)))</f>
        <v>0</v>
      </c>
      <c r="DY126" s="173">
        <f>IF(DY80=0,0,VALUE(CONCATENATE(Travail!DY31,Travail!DY42,Travail!DY53)))</f>
        <v>0</v>
      </c>
      <c r="DZ126" s="173">
        <f>IF(DZ80=0,0,VALUE(CONCATENATE(Travail!DZ31,Travail!DZ42,Travail!DZ53)))</f>
        <v>0</v>
      </c>
      <c r="EA126" s="173">
        <f>IF(EA80=0,0,VALUE(CONCATENATE(Travail!EA31,Travail!EA42,Travail!EA53)))</f>
        <v>0</v>
      </c>
      <c r="EB126" s="173">
        <f>IF(EB80=0,0,VALUE(CONCATENATE(Travail!EB31,Travail!EB42,Travail!EB53)))</f>
        <v>0</v>
      </c>
    </row>
    <row r="127" spans="2:132" x14ac:dyDescent="0.25">
      <c r="B127" s="14" t="s">
        <v>1211</v>
      </c>
      <c r="C127" s="173">
        <f t="shared" si="34"/>
        <v>0</v>
      </c>
      <c r="D127" s="173">
        <f t="shared" si="25"/>
        <v>0</v>
      </c>
      <c r="AT127" s="189" t="str">
        <f t="shared" si="33"/>
        <v>lot7</v>
      </c>
      <c r="AV127" s="173">
        <f>IF(AV81=0,0,IF(AV104=3,0,VALUE(CONCATENATE(Travail!AV32,Travail!AV43,Travail!AV54))))</f>
        <v>0</v>
      </c>
      <c r="AW127" s="173">
        <f>IF(AW81=0,0,IF(AW104=3,0,VALUE(CONCATENATE(Travail!AW32,Travail!AW43,Travail!AW54))))</f>
        <v>0</v>
      </c>
      <c r="AX127" s="173">
        <f>IF(AX81=0,0,IF(AX104=3,0,VALUE(CONCATENATE(Travail!AX32,Travail!AX43,Travail!AX54))))</f>
        <v>0</v>
      </c>
      <c r="AY127" s="173">
        <f>IF(AY81=0,0,IF(AY104=3,0,VALUE(CONCATENATE(Travail!AY32,Travail!AY43,Travail!AY54))))</f>
        <v>0</v>
      </c>
      <c r="AZ127" s="173">
        <f>IF(AZ81=0,0,IF(AZ104=3,0,VALUE(CONCATENATE(Travail!AZ32,Travail!AZ43,Travail!AZ54))))</f>
        <v>0</v>
      </c>
      <c r="BA127" s="173">
        <f>IF(BA81=0,0,IF(BA104=3,0,VALUE(CONCATENATE(Travail!BA32,Travail!BA43,Travail!BA54))))</f>
        <v>0</v>
      </c>
      <c r="BB127" s="173">
        <f>IF(BB81=0,0,IF(BB104=3,0,VALUE(CONCATENATE(Travail!BB32,Travail!BB43,Travail!BB54))))</f>
        <v>0</v>
      </c>
      <c r="BC127" s="173">
        <f>IF(BC81=0,0,IF(BC104=3,0,VALUE(CONCATENATE(Travail!BC32,Travail!BC43,Travail!BC54))))</f>
        <v>0</v>
      </c>
      <c r="BD127" s="173">
        <f>IF(BD81=0,0,IF(BD104=3,0,VALUE(CONCATENATE(Travail!BD32,Travail!BD43,Travail!BD54))))</f>
        <v>0</v>
      </c>
      <c r="BE127" s="173">
        <f>IF(BE81=0,0,IF(BE104=3,0,VALUE(CONCATENATE(Travail!BE32,Travail!BE43,Travail!BE54))))</f>
        <v>0</v>
      </c>
      <c r="BF127" s="173">
        <f>IF(BF81=0,0,IF(BF104=3,0,VALUE(CONCATENATE(Travail!BF32,Travail!BF43,Travail!BF54))))</f>
        <v>0</v>
      </c>
      <c r="BG127" s="173">
        <f>IF(BG81=0,0,IF(BG104=3,0,VALUE(CONCATENATE(Travail!BG32,Travail!BG43,Travail!BG54))))</f>
        <v>0</v>
      </c>
      <c r="BH127" s="173">
        <f>IF(BH81=0,0,IF(BH104=3,0,VALUE(CONCATENATE(Travail!BH32,Travail!BH43,Travail!BH54))))</f>
        <v>0</v>
      </c>
      <c r="BI127" s="173">
        <f>IF(BI81=0,0,IF(BI104=3,0,VALUE(CONCATENATE(Travail!BI32,Travail!BI43,Travail!BI54))))</f>
        <v>0</v>
      </c>
      <c r="BJ127" s="173">
        <f>IF(BJ81=0,0,IF(BJ104=3,0,VALUE(CONCATENATE(Travail!BJ32,Travail!BJ43,Travail!BJ54))))</f>
        <v>0</v>
      </c>
      <c r="BK127" s="173">
        <f>IF(BK81=0,0,IF(BK104=3,0,VALUE(CONCATENATE(Travail!BK32,Travail!BK43,Travail!BK54))))</f>
        <v>0</v>
      </c>
      <c r="BL127" s="173">
        <f>IF(BL81=0,0,IF(BL104=3,0,VALUE(CONCATENATE(Travail!BL32,Travail!BL43,Travail!BL54))))</f>
        <v>0</v>
      </c>
      <c r="BM127" s="173">
        <f>IF(BM81=0,0,IF(BM104=3,0,VALUE(CONCATENATE(Travail!BM32,Travail!BM43,Travail!BM54))))</f>
        <v>0</v>
      </c>
      <c r="BN127" s="173">
        <f>IF(BN81=0,0,IF(BN104=3,0,VALUE(CONCATENATE(Travail!BN32,Travail!BN43,Travail!BN54))))</f>
        <v>0</v>
      </c>
      <c r="BO127" s="173">
        <f>IF(BO81=0,0,IF(BO104=3,0,VALUE(CONCATENATE(Travail!BO32,Travail!BO43,Travail!BO54))))</f>
        <v>0</v>
      </c>
      <c r="BP127" s="173">
        <f>IF(BP81=0,0,IF(BP104=3,0,VALUE(CONCATENATE(Travail!BP32,Travail!BP43,Travail!BP54))))</f>
        <v>0</v>
      </c>
      <c r="BQ127" s="173">
        <f>IF(BQ81=0,0,IF(BQ104=3,0,VALUE(CONCATENATE(Travail!BQ32,Travail!BQ43,Travail!BQ54))))</f>
        <v>0</v>
      </c>
      <c r="BR127" s="173">
        <f>IF(BR81=0,0,IF(BR104=3,0,VALUE(CONCATENATE(Travail!BR32,Travail!BR43,Travail!BR54))))</f>
        <v>0</v>
      </c>
      <c r="BS127" s="173">
        <f>IF(BS81=0,0,IF(BS104=3,0,VALUE(CONCATENATE(Travail!BS32,Travail!BS43,Travail!BS54))))</f>
        <v>0</v>
      </c>
      <c r="BZ127" s="189" t="str">
        <f t="shared" si="31"/>
        <v>lot7</v>
      </c>
      <c r="CB127" s="173">
        <f>IF(CB81=0,0,VALUE(CONCATENATE(Travail!CB32,Travail!CB43,Travail!CB54)))</f>
        <v>0</v>
      </c>
      <c r="CC127" s="173">
        <f>IF(CC81=0,0,VALUE(CONCATENATE(Travail!CC32,Travail!CC43,Travail!CC54)))</f>
        <v>0</v>
      </c>
      <c r="CD127" s="173">
        <f>IF(CD81=0,0,VALUE(CONCATENATE(Travail!CD32,Travail!CD43,Travail!CD54)))</f>
        <v>0</v>
      </c>
      <c r="CE127" s="173">
        <f>IF(CE81=0,0,VALUE(CONCATENATE(Travail!CE32,Travail!CE43,Travail!CE54)))</f>
        <v>0</v>
      </c>
      <c r="CF127" s="173">
        <f>IF(CF81=0,0,VALUE(CONCATENATE(Travail!CF32,Travail!CF43,Travail!CF54)))</f>
        <v>0</v>
      </c>
      <c r="CG127" s="173">
        <f>IF(CG81=0,0,VALUE(CONCATENATE(Travail!CG32,Travail!CG43,Travail!CG54)))</f>
        <v>0</v>
      </c>
      <c r="CH127" s="173">
        <f>IF(CH81=0,0,VALUE(CONCATENATE(Travail!CH32,Travail!CH43,Travail!CH54)))</f>
        <v>0</v>
      </c>
      <c r="CI127" s="173">
        <f>IF(CI81=0,0,VALUE(CONCATENATE(Travail!CI32,Travail!CI43,Travail!CI54)))</f>
        <v>0</v>
      </c>
      <c r="CJ127" s="173">
        <f>IF(CJ81=0,0,VALUE(CONCATENATE(Travail!CJ32,Travail!CJ43,Travail!CJ54)))</f>
        <v>0</v>
      </c>
      <c r="CK127" s="173">
        <f>IF(CK81=0,0,VALUE(CONCATENATE(Travail!CK32,Travail!CK43,Travail!CK54)))</f>
        <v>0</v>
      </c>
      <c r="CL127" s="173">
        <f>IF(CL81=0,0,VALUE(CONCATENATE(Travail!CL32,Travail!CL43,Travail!CL54)))</f>
        <v>0</v>
      </c>
      <c r="CM127" s="173">
        <f>IF(CM81=0,0,VALUE(CONCATENATE(Travail!CM32,Travail!CM43,Travail!CM54)))</f>
        <v>0</v>
      </c>
      <c r="CN127" s="173">
        <f>IF(CN81=0,0,VALUE(CONCATENATE(Travail!CN32,Travail!CN43,Travail!CN54)))</f>
        <v>0</v>
      </c>
      <c r="CO127" s="173">
        <f>IF(CO81=0,0,VALUE(CONCATENATE(Travail!CO32,Travail!CO43,Travail!CO54)))</f>
        <v>0</v>
      </c>
      <c r="CP127" s="173">
        <f>IF(CP81=0,0,VALUE(CONCATENATE(Travail!CP32,Travail!CP43,Travail!CP54)))</f>
        <v>0</v>
      </c>
      <c r="CQ127" s="173">
        <f>IF(CQ81=0,0,VALUE(CONCATENATE(Travail!CQ32,Travail!CQ43,Travail!CQ54)))</f>
        <v>0</v>
      </c>
      <c r="CR127" s="173">
        <f>IF(CR81=0,0,VALUE(CONCATENATE(Travail!CR32,Travail!CR43,Travail!CR54)))</f>
        <v>0</v>
      </c>
      <c r="CS127" s="173">
        <f>IF(CS81=0,0,VALUE(CONCATENATE(Travail!CS32,Travail!CS43,Travail!CS54)))</f>
        <v>0</v>
      </c>
      <c r="CT127" s="173">
        <f>IF(CT81=0,0,VALUE(CONCATENATE(Travail!CT32,Travail!CT43,Travail!CT54)))</f>
        <v>0</v>
      </c>
      <c r="CU127" s="173">
        <f>IF(CU81=0,0,VALUE(CONCATENATE(Travail!CU32,Travail!CU43,Travail!CU54)))</f>
        <v>0</v>
      </c>
      <c r="CV127" s="173">
        <f>IF(CV81=0,0,VALUE(CONCATENATE(Travail!CV32,Travail!CV43,Travail!CV54)))</f>
        <v>0</v>
      </c>
      <c r="CW127" s="173">
        <f>IF(CW81=0,0,VALUE(CONCATENATE(Travail!CW32,Travail!CW43,Travail!CW54)))</f>
        <v>0</v>
      </c>
      <c r="CX127" s="173">
        <f>IF(CX81=0,0,VALUE(CONCATENATE(Travail!CX32,Travail!CX43,Travail!CX54)))</f>
        <v>0</v>
      </c>
      <c r="CY127" s="173">
        <f>IF(CY81=0,0,VALUE(CONCATENATE(Travail!CY32,Travail!CY43,Travail!CY54)))</f>
        <v>0</v>
      </c>
      <c r="DC127" s="189" t="str">
        <f t="shared" si="32"/>
        <v>lot7</v>
      </c>
      <c r="DE127" s="173">
        <f>IF(DE81=0,0,VALUE(CONCATENATE(Travail!DE32,Travail!DE43,Travail!DE54)))</f>
        <v>0</v>
      </c>
      <c r="DF127" s="173">
        <f>IF(DF81=0,0,VALUE(CONCATENATE(Travail!DF32,Travail!DF43,Travail!DF54)))</f>
        <v>0</v>
      </c>
      <c r="DG127" s="173">
        <f>IF(DG81=0,0,VALUE(CONCATENATE(Travail!DG32,Travail!DG43,Travail!DG54)))</f>
        <v>0</v>
      </c>
      <c r="DH127" s="173">
        <f>IF(DH81=0,0,VALUE(CONCATENATE(Travail!DH32,Travail!DH43,Travail!DH54)))</f>
        <v>0</v>
      </c>
      <c r="DI127" s="173">
        <f>IF(DI81=0,0,VALUE(CONCATENATE(Travail!DI32,Travail!DI43,Travail!DI54)))</f>
        <v>0</v>
      </c>
      <c r="DJ127" s="173">
        <f>IF(DJ81=0,0,VALUE(CONCATENATE(Travail!DJ32,Travail!DJ43,Travail!DJ54)))</f>
        <v>0</v>
      </c>
      <c r="DK127" s="173">
        <f>IF(DK81=0,0,VALUE(CONCATENATE(Travail!DK32,Travail!DK43,Travail!DK54)))</f>
        <v>0</v>
      </c>
      <c r="DL127" s="173">
        <f>IF(DL81=0,0,VALUE(CONCATENATE(Travail!DL32,Travail!DL43,Travail!DL54)))</f>
        <v>0</v>
      </c>
      <c r="DM127" s="173">
        <f>IF(DM81=0,0,VALUE(CONCATENATE(Travail!DM32,Travail!DM43,Travail!DM54)))</f>
        <v>0</v>
      </c>
      <c r="DN127" s="173">
        <f>IF(DN81=0,0,VALUE(CONCATENATE(Travail!DN32,Travail!DN43,Travail!DN54)))</f>
        <v>0</v>
      </c>
      <c r="DO127" s="173">
        <f>IF(DO81=0,0,VALUE(CONCATENATE(Travail!DO32,Travail!DO43,Travail!DO54)))</f>
        <v>0</v>
      </c>
      <c r="DP127" s="173">
        <f>IF(DP81=0,0,VALUE(CONCATENATE(Travail!DP32,Travail!DP43,Travail!DP54)))</f>
        <v>0</v>
      </c>
      <c r="DQ127" s="173">
        <f>IF(DQ81=0,0,VALUE(CONCATENATE(Travail!DQ32,Travail!DQ43,Travail!DQ54)))</f>
        <v>0</v>
      </c>
      <c r="DR127" s="173">
        <f>IF(DR81=0,0,VALUE(CONCATENATE(Travail!DR32,Travail!DR43,Travail!DR54)))</f>
        <v>0</v>
      </c>
      <c r="DS127" s="173">
        <f>IF(DS81=0,0,VALUE(CONCATENATE(Travail!DS32,Travail!DS43,Travail!DS54)))</f>
        <v>0</v>
      </c>
      <c r="DT127" s="173">
        <f>IF(DT81=0,0,VALUE(CONCATENATE(Travail!DT32,Travail!DT43,Travail!DT54)))</f>
        <v>0</v>
      </c>
      <c r="DU127" s="173">
        <f>IF(DU81=0,0,VALUE(CONCATENATE(Travail!DU32,Travail!DU43,Travail!DU54)))</f>
        <v>0</v>
      </c>
      <c r="DV127" s="173">
        <f>IF(DV81=0,0,VALUE(CONCATENATE(Travail!DV32,Travail!DV43,Travail!DV54)))</f>
        <v>0</v>
      </c>
      <c r="DW127" s="173">
        <f>IF(DW81=0,0,VALUE(CONCATENATE(Travail!DW32,Travail!DW43,Travail!DW54)))</f>
        <v>0</v>
      </c>
      <c r="DX127" s="173">
        <f>IF(DX81=0,0,VALUE(CONCATENATE(Travail!DX32,Travail!DX43,Travail!DX54)))</f>
        <v>0</v>
      </c>
      <c r="DY127" s="173">
        <f>IF(DY81=0,0,VALUE(CONCATENATE(Travail!DY32,Travail!DY43,Travail!DY54)))</f>
        <v>0</v>
      </c>
      <c r="DZ127" s="173">
        <f>IF(DZ81=0,0,VALUE(CONCATENATE(Travail!DZ32,Travail!DZ43,Travail!DZ54)))</f>
        <v>0</v>
      </c>
      <c r="EA127" s="173">
        <f>IF(EA81=0,0,VALUE(CONCATENATE(Travail!EA32,Travail!EA43,Travail!EA54)))</f>
        <v>0</v>
      </c>
      <c r="EB127" s="173">
        <f>IF(EB81=0,0,VALUE(CONCATENATE(Travail!EB32,Travail!EB43,Travail!EB54)))</f>
        <v>0</v>
      </c>
    </row>
    <row r="128" spans="2:132" x14ac:dyDescent="0.25">
      <c r="B128" s="14" t="s">
        <v>1212</v>
      </c>
      <c r="C128" s="173">
        <f t="shared" si="34"/>
        <v>3.5</v>
      </c>
      <c r="D128" s="173">
        <f t="shared" si="25"/>
        <v>3.5</v>
      </c>
      <c r="F128" s="14" t="s">
        <v>1213</v>
      </c>
      <c r="AT128" s="189" t="str">
        <f t="shared" si="33"/>
        <v>lot8</v>
      </c>
      <c r="AV128" s="173">
        <f>IF(AV82=0,0,IF(AV105=3,0,VALUE(CONCATENATE(Travail!AV33,Travail!AV44,Travail!AV55))))</f>
        <v>0</v>
      </c>
      <c r="AW128" s="173">
        <f>IF(AW82=0,0,IF(AW105=3,0,VALUE(CONCATENATE(Travail!AW33,Travail!AW44,Travail!AW55))))</f>
        <v>0</v>
      </c>
      <c r="AX128" s="173">
        <f>IF(AX82=0,0,IF(AX105=3,0,VALUE(CONCATENATE(Travail!AX33,Travail!AX44,Travail!AX55))))</f>
        <v>0</v>
      </c>
      <c r="AY128" s="173">
        <f>IF(AY82=0,0,IF(AY105=3,0,VALUE(CONCATENATE(Travail!AY33,Travail!AY44,Travail!AY55))))</f>
        <v>0</v>
      </c>
      <c r="AZ128" s="173">
        <f>IF(AZ82=0,0,IF(AZ105=3,0,VALUE(CONCATENATE(Travail!AZ33,Travail!AZ44,Travail!AZ55))))</f>
        <v>0</v>
      </c>
      <c r="BA128" s="173">
        <f>IF(BA82=0,0,IF(BA105=3,0,VALUE(CONCATENATE(Travail!BA33,Travail!BA44,Travail!BA55))))</f>
        <v>0</v>
      </c>
      <c r="BB128" s="173">
        <f>IF(BB82=0,0,IF(BB105=3,0,VALUE(CONCATENATE(Travail!BB33,Travail!BB44,Travail!BB55))))</f>
        <v>0</v>
      </c>
      <c r="BC128" s="173">
        <f>IF(BC82=0,0,IF(BC105=3,0,VALUE(CONCATENATE(Travail!BC33,Travail!BC44,Travail!BC55))))</f>
        <v>0</v>
      </c>
      <c r="BD128" s="173">
        <f>IF(BD82=0,0,IF(BD105=3,0,VALUE(CONCATENATE(Travail!BD33,Travail!BD44,Travail!BD55))))</f>
        <v>0</v>
      </c>
      <c r="BE128" s="173">
        <f>IF(BE82=0,0,IF(BE105=3,0,VALUE(CONCATENATE(Travail!BE33,Travail!BE44,Travail!BE55))))</f>
        <v>0</v>
      </c>
      <c r="BF128" s="173">
        <f>IF(BF82=0,0,IF(BF105=3,0,VALUE(CONCATENATE(Travail!BF33,Travail!BF44,Travail!BF55))))</f>
        <v>0</v>
      </c>
      <c r="BG128" s="173">
        <f>IF(BG82=0,0,IF(BG105=3,0,VALUE(CONCATENATE(Travail!BG33,Travail!BG44,Travail!BG55))))</f>
        <v>0</v>
      </c>
      <c r="BH128" s="173">
        <f>IF(BH82=0,0,IF(BH105=3,0,VALUE(CONCATENATE(Travail!BH33,Travail!BH44,Travail!BH55))))</f>
        <v>0</v>
      </c>
      <c r="BI128" s="173">
        <f>IF(BI82=0,0,IF(BI105=3,0,VALUE(CONCATENATE(Travail!BI33,Travail!BI44,Travail!BI55))))</f>
        <v>0</v>
      </c>
      <c r="BJ128" s="173">
        <f>IF(BJ82=0,0,IF(BJ105=3,0,VALUE(CONCATENATE(Travail!BJ33,Travail!BJ44,Travail!BJ55))))</f>
        <v>0</v>
      </c>
      <c r="BK128" s="173">
        <f>IF(BK82=0,0,IF(BK105=3,0,VALUE(CONCATENATE(Travail!BK33,Travail!BK44,Travail!BK55))))</f>
        <v>0</v>
      </c>
      <c r="BL128" s="173">
        <f>IF(BL82=0,0,IF(BL105=3,0,VALUE(CONCATENATE(Travail!BL33,Travail!BL44,Travail!BL55))))</f>
        <v>0</v>
      </c>
      <c r="BM128" s="173">
        <f>IF(BM82=0,0,IF(BM105=3,0,VALUE(CONCATENATE(Travail!BM33,Travail!BM44,Travail!BM55))))</f>
        <v>0</v>
      </c>
      <c r="BN128" s="173">
        <f>IF(BN82=0,0,IF(BN105=3,0,VALUE(CONCATENATE(Travail!BN33,Travail!BN44,Travail!BN55))))</f>
        <v>0</v>
      </c>
      <c r="BO128" s="173">
        <f>IF(BO82=0,0,IF(BO105=3,0,VALUE(CONCATENATE(Travail!BO33,Travail!BO44,Travail!BO55))))</f>
        <v>0</v>
      </c>
      <c r="BP128" s="173">
        <f>IF(BP82=0,0,IF(BP105=3,0,VALUE(CONCATENATE(Travail!BP33,Travail!BP44,Travail!BP55))))</f>
        <v>0</v>
      </c>
      <c r="BQ128" s="173">
        <f>IF(BQ82=0,0,IF(BQ105=3,0,VALUE(CONCATENATE(Travail!BQ33,Travail!BQ44,Travail!BQ55))))</f>
        <v>0</v>
      </c>
      <c r="BR128" s="173">
        <f>IF(BR82=0,0,IF(BR105=3,0,VALUE(CONCATENATE(Travail!BR33,Travail!BR44,Travail!BR55))))</f>
        <v>0</v>
      </c>
      <c r="BS128" s="173">
        <f>IF(BS82=0,0,IF(BS105=3,0,VALUE(CONCATENATE(Travail!BS33,Travail!BS44,Travail!BS55))))</f>
        <v>0</v>
      </c>
      <c r="BZ128" s="189" t="str">
        <f t="shared" si="31"/>
        <v>lot8</v>
      </c>
      <c r="CB128" s="173">
        <f>IF(CB82=0,0,VALUE(CONCATENATE(Travail!CB33,Travail!CB44,Travail!CB55)))</f>
        <v>0</v>
      </c>
      <c r="CC128" s="173">
        <f>IF(CC82=0,0,VALUE(CONCATENATE(Travail!CC33,Travail!CC44,Travail!CC55)))</f>
        <v>0</v>
      </c>
      <c r="CD128" s="173">
        <f>IF(CD82=0,0,VALUE(CONCATENATE(Travail!CD33,Travail!CD44,Travail!CD55)))</f>
        <v>0</v>
      </c>
      <c r="CE128" s="173">
        <f>IF(CE82=0,0,VALUE(CONCATENATE(Travail!CE33,Travail!CE44,Travail!CE55)))</f>
        <v>0</v>
      </c>
      <c r="CF128" s="173">
        <f>IF(CF82=0,0,VALUE(CONCATENATE(Travail!CF33,Travail!CF44,Travail!CF55)))</f>
        <v>0</v>
      </c>
      <c r="CG128" s="173">
        <f>IF(CG82=0,0,VALUE(CONCATENATE(Travail!CG33,Travail!CG44,Travail!CG55)))</f>
        <v>0</v>
      </c>
      <c r="CH128" s="173">
        <f>IF(CH82=0,0,VALUE(CONCATENATE(Travail!CH33,Travail!CH44,Travail!CH55)))</f>
        <v>0</v>
      </c>
      <c r="CI128" s="173">
        <f>IF(CI82=0,0,VALUE(CONCATENATE(Travail!CI33,Travail!CI44,Travail!CI55)))</f>
        <v>0</v>
      </c>
      <c r="CJ128" s="173">
        <f>IF(CJ82=0,0,VALUE(CONCATENATE(Travail!CJ33,Travail!CJ44,Travail!CJ55)))</f>
        <v>0</v>
      </c>
      <c r="CK128" s="173">
        <f>IF(CK82=0,0,VALUE(CONCATENATE(Travail!CK33,Travail!CK44,Travail!CK55)))</f>
        <v>0</v>
      </c>
      <c r="CL128" s="173">
        <f>IF(CL82=0,0,VALUE(CONCATENATE(Travail!CL33,Travail!CL44,Travail!CL55)))</f>
        <v>0</v>
      </c>
      <c r="CM128" s="173">
        <f>IF(CM82=0,0,VALUE(CONCATENATE(Travail!CM33,Travail!CM44,Travail!CM55)))</f>
        <v>0</v>
      </c>
      <c r="CN128" s="173">
        <f>IF(CN82=0,0,VALUE(CONCATENATE(Travail!CN33,Travail!CN44,Travail!CN55)))</f>
        <v>0</v>
      </c>
      <c r="CO128" s="173">
        <f>IF(CO82=0,0,VALUE(CONCATENATE(Travail!CO33,Travail!CO44,Travail!CO55)))</f>
        <v>0</v>
      </c>
      <c r="CP128" s="173">
        <f>IF(CP82=0,0,VALUE(CONCATENATE(Travail!CP33,Travail!CP44,Travail!CP55)))</f>
        <v>0</v>
      </c>
      <c r="CQ128" s="173">
        <f>IF(CQ82=0,0,VALUE(CONCATENATE(Travail!CQ33,Travail!CQ44,Travail!CQ55)))</f>
        <v>0</v>
      </c>
      <c r="CR128" s="173">
        <f>IF(CR82=0,0,VALUE(CONCATENATE(Travail!CR33,Travail!CR44,Travail!CR55)))</f>
        <v>0</v>
      </c>
      <c r="CS128" s="173">
        <f>IF(CS82=0,0,VALUE(CONCATENATE(Travail!CS33,Travail!CS44,Travail!CS55)))</f>
        <v>0</v>
      </c>
      <c r="CT128" s="173">
        <f>IF(CT82=0,0,VALUE(CONCATENATE(Travail!CT33,Travail!CT44,Travail!CT55)))</f>
        <v>0</v>
      </c>
      <c r="CU128" s="173">
        <f>IF(CU82=0,0,VALUE(CONCATENATE(Travail!CU33,Travail!CU44,Travail!CU55)))</f>
        <v>0</v>
      </c>
      <c r="CV128" s="173">
        <f>IF(CV82=0,0,VALUE(CONCATENATE(Travail!CV33,Travail!CV44,Travail!CV55)))</f>
        <v>0</v>
      </c>
      <c r="CW128" s="173">
        <f>IF(CW82=0,0,VALUE(CONCATENATE(Travail!CW33,Travail!CW44,Travail!CW55)))</f>
        <v>0</v>
      </c>
      <c r="CX128" s="173">
        <f>IF(CX82=0,0,VALUE(CONCATENATE(Travail!CX33,Travail!CX44,Travail!CX55)))</f>
        <v>0</v>
      </c>
      <c r="CY128" s="173">
        <f>IF(CY82=0,0,VALUE(CONCATENATE(Travail!CY33,Travail!CY44,Travail!CY55)))</f>
        <v>0</v>
      </c>
      <c r="DC128" s="189" t="str">
        <f t="shared" si="32"/>
        <v>lot8</v>
      </c>
      <c r="DE128" s="173">
        <f>IF(DE82=0,0,VALUE(CONCATENATE(Travail!DE33,Travail!DE44,Travail!DE55)))</f>
        <v>0</v>
      </c>
      <c r="DF128" s="173">
        <f>IF(DF82=0,0,VALUE(CONCATENATE(Travail!DF33,Travail!DF44,Travail!DF55)))</f>
        <v>0</v>
      </c>
      <c r="DG128" s="173">
        <f>IF(DG82=0,0,VALUE(CONCATENATE(Travail!DG33,Travail!DG44,Travail!DG55)))</f>
        <v>0</v>
      </c>
      <c r="DH128" s="173">
        <f>IF(DH82=0,0,VALUE(CONCATENATE(Travail!DH33,Travail!DH44,Travail!DH55)))</f>
        <v>0</v>
      </c>
      <c r="DI128" s="173">
        <f>IF(DI82=0,0,VALUE(CONCATENATE(Travail!DI33,Travail!DI44,Travail!DI55)))</f>
        <v>0</v>
      </c>
      <c r="DJ128" s="173">
        <f>IF(DJ82=0,0,VALUE(CONCATENATE(Travail!DJ33,Travail!DJ44,Travail!DJ55)))</f>
        <v>0</v>
      </c>
      <c r="DK128" s="173">
        <f>IF(DK82=0,0,VALUE(CONCATENATE(Travail!DK33,Travail!DK44,Travail!DK55)))</f>
        <v>0</v>
      </c>
      <c r="DL128" s="173">
        <f>IF(DL82=0,0,VALUE(CONCATENATE(Travail!DL33,Travail!DL44,Travail!DL55)))</f>
        <v>0</v>
      </c>
      <c r="DM128" s="173">
        <f>IF(DM82=0,0,VALUE(CONCATENATE(Travail!DM33,Travail!DM44,Travail!DM55)))</f>
        <v>0</v>
      </c>
      <c r="DN128" s="173">
        <f>IF(DN82=0,0,VALUE(CONCATENATE(Travail!DN33,Travail!DN44,Travail!DN55)))</f>
        <v>0</v>
      </c>
      <c r="DO128" s="173">
        <f>IF(DO82=0,0,VALUE(CONCATENATE(Travail!DO33,Travail!DO44,Travail!DO55)))</f>
        <v>0</v>
      </c>
      <c r="DP128" s="173">
        <f>IF(DP82=0,0,VALUE(CONCATENATE(Travail!DP33,Travail!DP44,Travail!DP55)))</f>
        <v>0</v>
      </c>
      <c r="DQ128" s="173">
        <f>IF(DQ82=0,0,VALUE(CONCATENATE(Travail!DQ33,Travail!DQ44,Travail!DQ55)))</f>
        <v>0</v>
      </c>
      <c r="DR128" s="173">
        <f>IF(DR82=0,0,VALUE(CONCATENATE(Travail!DR33,Travail!DR44,Travail!DR55)))</f>
        <v>0</v>
      </c>
      <c r="DS128" s="173">
        <f>IF(DS82=0,0,VALUE(CONCATENATE(Travail!DS33,Travail!DS44,Travail!DS55)))</f>
        <v>0</v>
      </c>
      <c r="DT128" s="173">
        <f>IF(DT82=0,0,VALUE(CONCATENATE(Travail!DT33,Travail!DT44,Travail!DT55)))</f>
        <v>0</v>
      </c>
      <c r="DU128" s="173">
        <f>IF(DU82=0,0,VALUE(CONCATENATE(Travail!DU33,Travail!DU44,Travail!DU55)))</f>
        <v>0</v>
      </c>
      <c r="DV128" s="173">
        <f>IF(DV82=0,0,VALUE(CONCATENATE(Travail!DV33,Travail!DV44,Travail!DV55)))</f>
        <v>0</v>
      </c>
      <c r="DW128" s="173">
        <f>IF(DW82=0,0,VALUE(CONCATENATE(Travail!DW33,Travail!DW44,Travail!DW55)))</f>
        <v>0</v>
      </c>
      <c r="DX128" s="173">
        <f>IF(DX82=0,0,VALUE(CONCATENATE(Travail!DX33,Travail!DX44,Travail!DX55)))</f>
        <v>0</v>
      </c>
      <c r="DY128" s="173">
        <f>IF(DY82=0,0,VALUE(CONCATENATE(Travail!DY33,Travail!DY44,Travail!DY55)))</f>
        <v>0</v>
      </c>
      <c r="DZ128" s="173">
        <f>IF(DZ82=0,0,VALUE(CONCATENATE(Travail!DZ33,Travail!DZ44,Travail!DZ55)))</f>
        <v>0</v>
      </c>
      <c r="EA128" s="173">
        <f>IF(EA82=0,0,VALUE(CONCATENATE(Travail!EA33,Travail!EA44,Travail!EA55)))</f>
        <v>0</v>
      </c>
      <c r="EB128" s="173">
        <f>IF(EB82=0,0,VALUE(CONCATENATE(Travail!EB33,Travail!EB44,Travail!EB55)))</f>
        <v>0</v>
      </c>
    </row>
    <row r="129" spans="1:132" x14ac:dyDescent="0.25">
      <c r="B129" s="14" t="s">
        <v>1214</v>
      </c>
      <c r="C129" s="173">
        <f t="shared" si="34"/>
        <v>0</v>
      </c>
      <c r="D129" s="173">
        <f t="shared" si="25"/>
        <v>0</v>
      </c>
      <c r="F129" s="14" t="s">
        <v>886</v>
      </c>
      <c r="H129">
        <f>10-COUNTIF(H94:H103,0)</f>
        <v>2</v>
      </c>
      <c r="I129">
        <f t="shared" ref="I129:AE129" si="35">10-COUNTIF(I94:I103,0)</f>
        <v>2</v>
      </c>
      <c r="J129">
        <f t="shared" si="35"/>
        <v>3</v>
      </c>
      <c r="K129">
        <f t="shared" si="35"/>
        <v>4</v>
      </c>
      <c r="L129">
        <f t="shared" si="35"/>
        <v>4</v>
      </c>
      <c r="M129">
        <f t="shared" si="35"/>
        <v>4</v>
      </c>
      <c r="N129">
        <f t="shared" si="35"/>
        <v>4</v>
      </c>
      <c r="O129">
        <f t="shared" si="35"/>
        <v>4</v>
      </c>
      <c r="P129">
        <f t="shared" si="35"/>
        <v>4</v>
      </c>
      <c r="Q129">
        <f t="shared" si="35"/>
        <v>2</v>
      </c>
      <c r="R129">
        <f t="shared" si="35"/>
        <v>2</v>
      </c>
      <c r="S129">
        <f t="shared" si="35"/>
        <v>2</v>
      </c>
      <c r="T129">
        <f t="shared" si="35"/>
        <v>2</v>
      </c>
      <c r="U129">
        <f t="shared" si="35"/>
        <v>2</v>
      </c>
      <c r="V129">
        <f t="shared" si="35"/>
        <v>2</v>
      </c>
      <c r="W129">
        <f t="shared" si="35"/>
        <v>2</v>
      </c>
      <c r="X129">
        <f t="shared" si="35"/>
        <v>2</v>
      </c>
      <c r="Y129">
        <f t="shared" si="35"/>
        <v>2</v>
      </c>
      <c r="Z129">
        <f t="shared" si="35"/>
        <v>2</v>
      </c>
      <c r="AA129">
        <f t="shared" si="35"/>
        <v>3</v>
      </c>
      <c r="AB129">
        <f t="shared" si="35"/>
        <v>2</v>
      </c>
      <c r="AC129">
        <f t="shared" si="35"/>
        <v>2</v>
      </c>
      <c r="AD129">
        <f t="shared" si="35"/>
        <v>2</v>
      </c>
      <c r="AE129">
        <f t="shared" si="35"/>
        <v>2</v>
      </c>
      <c r="AT129" s="189" t="str">
        <f t="shared" si="33"/>
        <v>lot9</v>
      </c>
      <c r="AV129" s="173">
        <f>IF(AV84=0,0,IF(AV106=3,0,VALUE(CONCATENATE(Travail!AV34,Travail!AV45,Travail!AV56))))</f>
        <v>0</v>
      </c>
      <c r="AW129" s="173">
        <f>IF(AW84=0,0,IF(AW106=3,0,VALUE(CONCATENATE(Travail!AW34,Travail!AW45,Travail!AW56))))</f>
        <v>0</v>
      </c>
      <c r="AX129" s="173">
        <f>IF(AX84=0,0,IF(AX106=3,0,VALUE(CONCATENATE(Travail!AX34,Travail!AX45,Travail!AX56))))</f>
        <v>0</v>
      </c>
      <c r="AY129" s="173">
        <f>IF(AY84=0,0,IF(AY106=3,0,VALUE(CONCATENATE(Travail!AY34,Travail!AY45,Travail!AY56))))</f>
        <v>0</v>
      </c>
      <c r="AZ129" s="173">
        <f>IF(AZ84=0,0,IF(AZ106=3,0,VALUE(CONCATENATE(Travail!AZ34,Travail!AZ45,Travail!AZ56))))</f>
        <v>0</v>
      </c>
      <c r="BA129" s="173">
        <f>IF(BA84=0,0,IF(BA106=3,0,VALUE(CONCATENATE(Travail!BA34,Travail!BA45,Travail!BA56))))</f>
        <v>0</v>
      </c>
      <c r="BB129" s="173">
        <f>IF(BB84=0,0,IF(BB106=3,0,VALUE(CONCATENATE(Travail!BB34,Travail!BB45,Travail!BB56))))</f>
        <v>0</v>
      </c>
      <c r="BC129" s="173">
        <f>IF(BC84=0,0,IF(BC106=3,0,VALUE(CONCATENATE(Travail!BC34,Travail!BC45,Travail!BC56))))</f>
        <v>0</v>
      </c>
      <c r="BD129" s="173">
        <f>IF(BD84=0,0,IF(BD106=3,0,VALUE(CONCATENATE(Travail!BD34,Travail!BD45,Travail!BD56))))</f>
        <v>0</v>
      </c>
      <c r="BE129" s="173">
        <f>IF(BE84=0,0,IF(BE106=3,0,VALUE(CONCATENATE(Travail!BE34,Travail!BE45,Travail!BE56))))</f>
        <v>0</v>
      </c>
      <c r="BF129" s="173">
        <f>IF(BF84=0,0,IF(BF106=3,0,VALUE(CONCATENATE(Travail!BF34,Travail!BF45,Travail!BF56))))</f>
        <v>0</v>
      </c>
      <c r="BG129" s="173">
        <f>IF(BG84=0,0,IF(BG106=3,0,VALUE(CONCATENATE(Travail!BG34,Travail!BG45,Travail!BG56))))</f>
        <v>0</v>
      </c>
      <c r="BH129" s="173">
        <f>IF(BH84=0,0,IF(BH106=3,0,VALUE(CONCATENATE(Travail!BH34,Travail!BH45,Travail!BH56))))</f>
        <v>0</v>
      </c>
      <c r="BI129" s="173">
        <f>IF(BI84=0,0,IF(BI106=3,0,VALUE(CONCATENATE(Travail!BI34,Travail!BI45,Travail!BI56))))</f>
        <v>0</v>
      </c>
      <c r="BJ129" s="173">
        <f>IF(BJ84=0,0,IF(BJ106=3,0,VALUE(CONCATENATE(Travail!BJ34,Travail!BJ45,Travail!BJ56))))</f>
        <v>0</v>
      </c>
      <c r="BK129" s="173">
        <f>IF(BK84=0,0,IF(BK106=3,0,VALUE(CONCATENATE(Travail!BK34,Travail!BK45,Travail!BK56))))</f>
        <v>0</v>
      </c>
      <c r="BL129" s="173">
        <f>IF(BL84=0,0,IF(BL106=3,0,VALUE(CONCATENATE(Travail!BL34,Travail!BL45,Travail!BL56))))</f>
        <v>0</v>
      </c>
      <c r="BM129" s="173">
        <f>IF(BM84=0,0,IF(BM106=3,0,VALUE(CONCATENATE(Travail!BM34,Travail!BM45,Travail!BM56))))</f>
        <v>0</v>
      </c>
      <c r="BN129" s="173">
        <f>IF(BN84=0,0,IF(BN106=3,0,VALUE(CONCATENATE(Travail!BN34,Travail!BN45,Travail!BN56))))</f>
        <v>0</v>
      </c>
      <c r="BO129" s="173">
        <f>IF(BO84=0,0,IF(BO106=3,0,VALUE(CONCATENATE(Travail!BO34,Travail!BO45,Travail!BO56))))</f>
        <v>0</v>
      </c>
      <c r="BP129" s="173">
        <f>IF(BP84=0,0,IF(BP106=3,0,VALUE(CONCATENATE(Travail!BP34,Travail!BP45,Travail!BP56))))</f>
        <v>0</v>
      </c>
      <c r="BQ129" s="173">
        <f>IF(BQ84=0,0,IF(BQ106=3,0,VALUE(CONCATENATE(Travail!BQ34,Travail!BQ45,Travail!BQ56))))</f>
        <v>0</v>
      </c>
      <c r="BR129" s="173">
        <f>IF(BR84=0,0,IF(BR106=3,0,VALUE(CONCATENATE(Travail!BR34,Travail!BR45,Travail!BR56))))</f>
        <v>0</v>
      </c>
      <c r="BS129" s="173">
        <f>IF(BS84=0,0,IF(BS106=3,0,VALUE(CONCATENATE(Travail!BS34,Travail!BS45,Travail!BS56))))</f>
        <v>0</v>
      </c>
      <c r="BZ129" s="189" t="str">
        <f t="shared" si="31"/>
        <v>lot9</v>
      </c>
      <c r="CB129" s="173">
        <f>IF(CB84=0,0,VALUE(CONCATENATE(Travail!CB34,Travail!CB45,Travail!CB56)))</f>
        <v>0</v>
      </c>
      <c r="CC129" s="173">
        <f>IF(CC84=0,0,VALUE(CONCATENATE(Travail!CC34,Travail!CC45,Travail!CC56)))</f>
        <v>0</v>
      </c>
      <c r="CD129" s="173">
        <f>IF(CD84=0,0,VALUE(CONCATENATE(Travail!CD34,Travail!CD45,Travail!CD56)))</f>
        <v>0</v>
      </c>
      <c r="CE129" s="173">
        <f>IF(CE84=0,0,VALUE(CONCATENATE(Travail!CE34,Travail!CE45,Travail!CE56)))</f>
        <v>0</v>
      </c>
      <c r="CF129" s="173">
        <f>IF(CF84=0,0,VALUE(CONCATENATE(Travail!CF34,Travail!CF45,Travail!CF56)))</f>
        <v>0</v>
      </c>
      <c r="CG129" s="173">
        <f>IF(CG84=0,0,VALUE(CONCATENATE(Travail!CG34,Travail!CG45,Travail!CG56)))</f>
        <v>0</v>
      </c>
      <c r="CH129" s="173">
        <f>IF(CH84=0,0,VALUE(CONCATENATE(Travail!CH34,Travail!CH45,Travail!CH56)))</f>
        <v>0</v>
      </c>
      <c r="CI129" s="173">
        <f>IF(CI84=0,0,VALUE(CONCATENATE(Travail!CI34,Travail!CI45,Travail!CI56)))</f>
        <v>0</v>
      </c>
      <c r="CJ129" s="173">
        <f>IF(CJ84=0,0,VALUE(CONCATENATE(Travail!CJ34,Travail!CJ45,Travail!CJ56)))</f>
        <v>0</v>
      </c>
      <c r="CK129" s="173">
        <f>IF(CK84=0,0,VALUE(CONCATENATE(Travail!CK34,Travail!CK45,Travail!CK56)))</f>
        <v>0</v>
      </c>
      <c r="CL129" s="173">
        <f>IF(CL84=0,0,VALUE(CONCATENATE(Travail!CL34,Travail!CL45,Travail!CL56)))</f>
        <v>0</v>
      </c>
      <c r="CM129" s="173">
        <f>IF(CM84=0,0,VALUE(CONCATENATE(Travail!CM34,Travail!CM45,Travail!CM56)))</f>
        <v>0</v>
      </c>
      <c r="CN129" s="173">
        <f>IF(CN84=0,0,VALUE(CONCATENATE(Travail!CN34,Travail!CN45,Travail!CN56)))</f>
        <v>0</v>
      </c>
      <c r="CO129" s="173">
        <f>IF(CO84=0,0,VALUE(CONCATENATE(Travail!CO34,Travail!CO45,Travail!CO56)))</f>
        <v>0</v>
      </c>
      <c r="CP129" s="173">
        <f>IF(CP84=0,0,VALUE(CONCATENATE(Travail!CP34,Travail!CP45,Travail!CP56)))</f>
        <v>0</v>
      </c>
      <c r="CQ129" s="173">
        <f>IF(CQ84=0,0,VALUE(CONCATENATE(Travail!CQ34,Travail!CQ45,Travail!CQ56)))</f>
        <v>0</v>
      </c>
      <c r="CR129" s="173">
        <f>IF(CR84=0,0,VALUE(CONCATENATE(Travail!CR34,Travail!CR45,Travail!CR56)))</f>
        <v>0</v>
      </c>
      <c r="CS129" s="173">
        <f>IF(CS84=0,0,VALUE(CONCATENATE(Travail!CS34,Travail!CS45,Travail!CS56)))</f>
        <v>0</v>
      </c>
      <c r="CT129" s="173">
        <f>IF(CT84=0,0,VALUE(CONCATENATE(Travail!CT34,Travail!CT45,Travail!CT56)))</f>
        <v>0</v>
      </c>
      <c r="CU129" s="173">
        <f>IF(CU84=0,0,VALUE(CONCATENATE(Travail!CU34,Travail!CU45,Travail!CU56)))</f>
        <v>0</v>
      </c>
      <c r="CV129" s="173">
        <f>IF(CV84=0,0,VALUE(CONCATENATE(Travail!CV34,Travail!CV45,Travail!CV56)))</f>
        <v>0</v>
      </c>
      <c r="CW129" s="173">
        <f>IF(CW84=0,0,VALUE(CONCATENATE(Travail!CW34,Travail!CW45,Travail!CW56)))</f>
        <v>0</v>
      </c>
      <c r="CX129" s="173">
        <f>IF(CX84=0,0,VALUE(CONCATENATE(Travail!CX34,Travail!CX45,Travail!CX56)))</f>
        <v>0</v>
      </c>
      <c r="CY129" s="173">
        <f>IF(CY84=0,0,VALUE(CONCATENATE(Travail!CY34,Travail!CY45,Travail!CY56)))</f>
        <v>0</v>
      </c>
      <c r="DC129" s="189" t="str">
        <f t="shared" si="32"/>
        <v>lot9</v>
      </c>
      <c r="DE129" s="173">
        <f>IF(DE84=0,0,VALUE(CONCATENATE(Travail!DE34,Travail!DE45,Travail!DE56)))</f>
        <v>0</v>
      </c>
      <c r="DF129" s="173">
        <f>IF(DF84=0,0,VALUE(CONCATENATE(Travail!DF34,Travail!DF45,Travail!DF56)))</f>
        <v>0</v>
      </c>
      <c r="DG129" s="173">
        <f>IF(DG84=0,0,VALUE(CONCATENATE(Travail!DG34,Travail!DG45,Travail!DG56)))</f>
        <v>0</v>
      </c>
      <c r="DH129" s="173">
        <f>IF(DH84=0,0,VALUE(CONCATENATE(Travail!DH34,Travail!DH45,Travail!DH56)))</f>
        <v>0</v>
      </c>
      <c r="DI129" s="173">
        <f>IF(DI84=0,0,VALUE(CONCATENATE(Travail!DI34,Travail!DI45,Travail!DI56)))</f>
        <v>0</v>
      </c>
      <c r="DJ129" s="173">
        <f>IF(DJ84=0,0,VALUE(CONCATENATE(Travail!DJ34,Travail!DJ45,Travail!DJ56)))</f>
        <v>0</v>
      </c>
      <c r="DK129" s="173">
        <f>IF(DK84=0,0,VALUE(CONCATENATE(Travail!DK34,Travail!DK45,Travail!DK56)))</f>
        <v>0</v>
      </c>
      <c r="DL129" s="173">
        <f>IF(DL84=0,0,VALUE(CONCATENATE(Travail!DL34,Travail!DL45,Travail!DL56)))</f>
        <v>0</v>
      </c>
      <c r="DM129" s="173">
        <f>IF(DM84=0,0,VALUE(CONCATENATE(Travail!DM34,Travail!DM45,Travail!DM56)))</f>
        <v>0</v>
      </c>
      <c r="DN129" s="173">
        <f>IF(DN84=0,0,VALUE(CONCATENATE(Travail!DN34,Travail!DN45,Travail!DN56)))</f>
        <v>0</v>
      </c>
      <c r="DO129" s="173">
        <f>IF(DO84=0,0,VALUE(CONCATENATE(Travail!DO34,Travail!DO45,Travail!DO56)))</f>
        <v>0</v>
      </c>
      <c r="DP129" s="173">
        <f>IF(DP84=0,0,VALUE(CONCATENATE(Travail!DP34,Travail!DP45,Travail!DP56)))</f>
        <v>0</v>
      </c>
      <c r="DQ129" s="173">
        <f>IF(DQ84=0,0,VALUE(CONCATENATE(Travail!DQ34,Travail!DQ45,Travail!DQ56)))</f>
        <v>0</v>
      </c>
      <c r="DR129" s="173">
        <f>IF(DR84=0,0,VALUE(CONCATENATE(Travail!DR34,Travail!DR45,Travail!DR56)))</f>
        <v>0</v>
      </c>
      <c r="DS129" s="173">
        <f>IF(DS84=0,0,VALUE(CONCATENATE(Travail!DS34,Travail!DS45,Travail!DS56)))</f>
        <v>0</v>
      </c>
      <c r="DT129" s="173">
        <f>IF(DT84=0,0,VALUE(CONCATENATE(Travail!DT34,Travail!DT45,Travail!DT56)))</f>
        <v>0</v>
      </c>
      <c r="DU129" s="173">
        <f>IF(DU84=0,0,VALUE(CONCATENATE(Travail!DU34,Travail!DU45,Travail!DU56)))</f>
        <v>0</v>
      </c>
      <c r="DV129" s="173">
        <f>IF(DV84=0,0,VALUE(CONCATENATE(Travail!DV34,Travail!DV45,Travail!DV56)))</f>
        <v>0</v>
      </c>
      <c r="DW129" s="173">
        <f>IF(DW84=0,0,VALUE(CONCATENATE(Travail!DW34,Travail!DW45,Travail!DW56)))</f>
        <v>0</v>
      </c>
      <c r="DX129" s="173">
        <f>IF(DX84=0,0,VALUE(CONCATENATE(Travail!DX34,Travail!DX45,Travail!DX56)))</f>
        <v>0</v>
      </c>
      <c r="DY129" s="173">
        <f>IF(DY84=0,0,VALUE(CONCATENATE(Travail!DY34,Travail!DY45,Travail!DY56)))</f>
        <v>0</v>
      </c>
      <c r="DZ129" s="173">
        <f>IF(DZ84=0,0,VALUE(CONCATENATE(Travail!DZ34,Travail!DZ45,Travail!DZ56)))</f>
        <v>0</v>
      </c>
      <c r="EA129" s="173">
        <f>IF(EA84=0,0,VALUE(CONCATENATE(Travail!EA34,Travail!EA45,Travail!EA56)))</f>
        <v>0</v>
      </c>
      <c r="EB129" s="173">
        <f>IF(EB84=0,0,VALUE(CONCATENATE(Travail!EB34,Travail!EB45,Travail!EB56)))</f>
        <v>0</v>
      </c>
    </row>
    <row r="130" spans="1:132" x14ac:dyDescent="0.25">
      <c r="B130" s="14" t="s">
        <v>1215</v>
      </c>
      <c r="C130" s="173">
        <f t="shared" si="34"/>
        <v>0</v>
      </c>
      <c r="D130" s="173">
        <f t="shared" si="25"/>
        <v>0</v>
      </c>
      <c r="F130" s="14" t="s">
        <v>902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1</v>
      </c>
      <c r="K130">
        <f t="shared" si="36"/>
        <v>1</v>
      </c>
      <c r="L130">
        <f t="shared" si="36"/>
        <v>1</v>
      </c>
      <c r="M130">
        <f t="shared" si="36"/>
        <v>2</v>
      </c>
      <c r="N130">
        <f t="shared" si="36"/>
        <v>3</v>
      </c>
      <c r="O130">
        <f t="shared" si="36"/>
        <v>3</v>
      </c>
      <c r="P130">
        <f t="shared" si="36"/>
        <v>3</v>
      </c>
      <c r="Q130">
        <f t="shared" si="36"/>
        <v>3</v>
      </c>
      <c r="R130">
        <f t="shared" si="36"/>
        <v>3</v>
      </c>
      <c r="S130">
        <f t="shared" si="36"/>
        <v>3</v>
      </c>
      <c r="T130">
        <f t="shared" si="36"/>
        <v>3</v>
      </c>
      <c r="U130">
        <f t="shared" si="36"/>
        <v>3</v>
      </c>
      <c r="V130">
        <f t="shared" si="36"/>
        <v>3</v>
      </c>
      <c r="W130">
        <f t="shared" si="36"/>
        <v>3</v>
      </c>
      <c r="X130">
        <f t="shared" si="36"/>
        <v>3</v>
      </c>
      <c r="Y130">
        <f t="shared" si="36"/>
        <v>3</v>
      </c>
      <c r="Z130">
        <f t="shared" si="36"/>
        <v>3</v>
      </c>
      <c r="AA130">
        <f t="shared" si="36"/>
        <v>3</v>
      </c>
      <c r="AB130">
        <f t="shared" si="36"/>
        <v>3</v>
      </c>
      <c r="AC130">
        <f t="shared" si="36"/>
        <v>3</v>
      </c>
      <c r="AD130">
        <f t="shared" si="36"/>
        <v>0</v>
      </c>
      <c r="AE130">
        <f t="shared" si="36"/>
        <v>0</v>
      </c>
      <c r="AT130" s="189" t="str">
        <f t="shared" si="33"/>
        <v>lot10</v>
      </c>
      <c r="AV130" s="173">
        <f>IF(AV85=0,0,IF(AV107=3,0,VALUE(CONCATENATE(Travail!AV35,Travail!AV46,Travail!AV57))))</f>
        <v>0</v>
      </c>
      <c r="AW130" s="173">
        <f>IF(AW85=0,0,IF(AW107=3,0,VALUE(CONCATENATE(Travail!AW35,Travail!AW46,Travail!AW57))))</f>
        <v>0</v>
      </c>
      <c r="AX130" s="173">
        <f>IF(AX85=0,0,IF(AX107=3,0,VALUE(CONCATENATE(Travail!AX35,Travail!AX46,Travail!AX57))))</f>
        <v>0</v>
      </c>
      <c r="AY130" s="173">
        <f>IF(AY85=0,0,IF(AY107=3,0,VALUE(CONCATENATE(Travail!AY35,Travail!AY46,Travail!AY57))))</f>
        <v>0</v>
      </c>
      <c r="AZ130" s="173">
        <f>IF(AZ85=0,0,IF(AZ107=3,0,VALUE(CONCATENATE(Travail!AZ35,Travail!AZ46,Travail!AZ57))))</f>
        <v>0</v>
      </c>
      <c r="BA130" s="173">
        <f>IF(BA85=0,0,IF(BA107=3,0,VALUE(CONCATENATE(Travail!BA35,Travail!BA46,Travail!BA57))))</f>
        <v>0</v>
      </c>
      <c r="BB130" s="173">
        <f>IF(BB85=0,0,IF(BB107=3,0,VALUE(CONCATENATE(Travail!BB35,Travail!BB46,Travail!BB57))))</f>
        <v>0</v>
      </c>
      <c r="BC130" s="173">
        <f>IF(BC85=0,0,IF(BC107=3,0,VALUE(CONCATENATE(Travail!BC35,Travail!BC46,Travail!BC57))))</f>
        <v>0</v>
      </c>
      <c r="BD130" s="173">
        <f>IF(BD85=0,0,IF(BD107=3,0,VALUE(CONCATENATE(Travail!BD35,Travail!BD46,Travail!BD57))))</f>
        <v>0</v>
      </c>
      <c r="BE130" s="173">
        <f>IF(BE85=0,0,IF(BE107=3,0,VALUE(CONCATENATE(Travail!BE35,Travail!BE46,Travail!BE57))))</f>
        <v>0</v>
      </c>
      <c r="BF130" s="173">
        <f>IF(BF85=0,0,IF(BF107=3,0,VALUE(CONCATENATE(Travail!BF35,Travail!BF46,Travail!BF57))))</f>
        <v>0</v>
      </c>
      <c r="BG130" s="173">
        <f>IF(BG85=0,0,IF(BG107=3,0,VALUE(CONCATENATE(Travail!BG35,Travail!BG46,Travail!BG57))))</f>
        <v>0</v>
      </c>
      <c r="BH130" s="173">
        <f>IF(BH85=0,0,IF(BH107=3,0,VALUE(CONCATENATE(Travail!BH35,Travail!BH46,Travail!BH57))))</f>
        <v>0</v>
      </c>
      <c r="BI130" s="173">
        <f>IF(BI85=0,0,IF(BI107=3,0,VALUE(CONCATENATE(Travail!BI35,Travail!BI46,Travail!BI57))))</f>
        <v>0</v>
      </c>
      <c r="BJ130" s="173">
        <f>IF(BJ85=0,0,IF(BJ107=3,0,VALUE(CONCATENATE(Travail!BJ35,Travail!BJ46,Travail!BJ57))))</f>
        <v>0</v>
      </c>
      <c r="BK130" s="173">
        <f>IF(BK85=0,0,IF(BK107=3,0,VALUE(CONCATENATE(Travail!BK35,Travail!BK46,Travail!BK57))))</f>
        <v>0</v>
      </c>
      <c r="BL130" s="173">
        <f>IF(BL85=0,0,IF(BL107=3,0,VALUE(CONCATENATE(Travail!BL35,Travail!BL46,Travail!BL57))))</f>
        <v>0</v>
      </c>
      <c r="BM130" s="173">
        <f>IF(BM85=0,0,IF(BM107=3,0,VALUE(CONCATENATE(Travail!BM35,Travail!BM46,Travail!BM57))))</f>
        <v>0</v>
      </c>
      <c r="BN130" s="173">
        <f>IF(BN85=0,0,IF(BN107=3,0,VALUE(CONCATENATE(Travail!BN35,Travail!BN46,Travail!BN57))))</f>
        <v>0</v>
      </c>
      <c r="BO130" s="173">
        <f>IF(BO85=0,0,IF(BO107=3,0,VALUE(CONCATENATE(Travail!BO35,Travail!BO46,Travail!BO57))))</f>
        <v>0</v>
      </c>
      <c r="BP130" s="173">
        <f>IF(BP85=0,0,IF(BP107=3,0,VALUE(CONCATENATE(Travail!BP35,Travail!BP46,Travail!BP57))))</f>
        <v>0</v>
      </c>
      <c r="BQ130" s="173">
        <f>IF(BQ85=0,0,IF(BQ107=3,0,VALUE(CONCATENATE(Travail!BQ35,Travail!BQ46,Travail!BQ57))))</f>
        <v>0</v>
      </c>
      <c r="BR130" s="173">
        <f>IF(BR85=0,0,IF(BR107=3,0,VALUE(CONCATENATE(Travail!BR35,Travail!BR46,Travail!BR57))))</f>
        <v>0</v>
      </c>
      <c r="BS130" s="173">
        <f>IF(BS85=0,0,IF(BS107=3,0,VALUE(CONCATENATE(Travail!BS35,Travail!BS46,Travail!BS57))))</f>
        <v>0</v>
      </c>
      <c r="BZ130" s="189" t="str">
        <f t="shared" si="31"/>
        <v>lot10</v>
      </c>
      <c r="CB130" s="173">
        <f>IF(CB85=0,0,VALUE(CONCATENATE(Travail!CB35,Travail!CB46,Travail!CB57)))</f>
        <v>0</v>
      </c>
      <c r="CC130" s="173">
        <f>IF(CC85=0,0,VALUE(CONCATENATE(Travail!CC35,Travail!CC46,Travail!CC57)))</f>
        <v>0</v>
      </c>
      <c r="CD130" s="173">
        <f>IF(CD85=0,0,VALUE(CONCATENATE(Travail!CD35,Travail!CD46,Travail!CD57)))</f>
        <v>0</v>
      </c>
      <c r="CE130" s="173">
        <f>IF(CE85=0,0,VALUE(CONCATENATE(Travail!CE35,Travail!CE46,Travail!CE57)))</f>
        <v>0</v>
      </c>
      <c r="CF130" s="173">
        <f>IF(CF85=0,0,VALUE(CONCATENATE(Travail!CF35,Travail!CF46,Travail!CF57)))</f>
        <v>0</v>
      </c>
      <c r="CG130" s="173">
        <f>IF(CG85=0,0,VALUE(CONCATENATE(Travail!CG35,Travail!CG46,Travail!CG57)))</f>
        <v>0</v>
      </c>
      <c r="CH130" s="173">
        <f>IF(CH85=0,0,VALUE(CONCATENATE(Travail!CH35,Travail!CH46,Travail!CH57)))</f>
        <v>0</v>
      </c>
      <c r="CI130" s="173">
        <f>IF(CI85=0,0,VALUE(CONCATENATE(Travail!CI35,Travail!CI46,Travail!CI57)))</f>
        <v>0</v>
      </c>
      <c r="CJ130" s="173">
        <f>IF(CJ85=0,0,VALUE(CONCATENATE(Travail!CJ35,Travail!CJ46,Travail!CJ57)))</f>
        <v>0</v>
      </c>
      <c r="CK130" s="173">
        <f>IF(CK85=0,0,VALUE(CONCATENATE(Travail!CK35,Travail!CK46,Travail!CK57)))</f>
        <v>0</v>
      </c>
      <c r="CL130" s="173">
        <f>IF(CL85=0,0,VALUE(CONCATENATE(Travail!CL35,Travail!CL46,Travail!CL57)))</f>
        <v>0</v>
      </c>
      <c r="CM130" s="173">
        <f>IF(CM85=0,0,VALUE(CONCATENATE(Travail!CM35,Travail!CM46,Travail!CM57)))</f>
        <v>0</v>
      </c>
      <c r="CN130" s="173">
        <f>IF(CN85=0,0,VALUE(CONCATENATE(Travail!CN35,Travail!CN46,Travail!CN57)))</f>
        <v>0</v>
      </c>
      <c r="CO130" s="173">
        <f>IF(CO85=0,0,VALUE(CONCATENATE(Travail!CO35,Travail!CO46,Travail!CO57)))</f>
        <v>0</v>
      </c>
      <c r="CP130" s="173">
        <f>IF(CP85=0,0,VALUE(CONCATENATE(Travail!CP35,Travail!CP46,Travail!CP57)))</f>
        <v>0</v>
      </c>
      <c r="CQ130" s="173">
        <f>IF(CQ85=0,0,VALUE(CONCATENATE(Travail!CQ35,Travail!CQ46,Travail!CQ57)))</f>
        <v>0</v>
      </c>
      <c r="CR130" s="173">
        <f>IF(CR85=0,0,VALUE(CONCATENATE(Travail!CR35,Travail!CR46,Travail!CR57)))</f>
        <v>0</v>
      </c>
      <c r="CS130" s="173">
        <f>IF(CS85=0,0,VALUE(CONCATENATE(Travail!CS35,Travail!CS46,Travail!CS57)))</f>
        <v>0</v>
      </c>
      <c r="CT130" s="173">
        <f>IF(CT85=0,0,VALUE(CONCATENATE(Travail!CT35,Travail!CT46,Travail!CT57)))</f>
        <v>0</v>
      </c>
      <c r="CU130" s="173">
        <f>IF(CU85=0,0,VALUE(CONCATENATE(Travail!CU35,Travail!CU46,Travail!CU57)))</f>
        <v>0</v>
      </c>
      <c r="CV130" s="173">
        <f>IF(CV85=0,0,VALUE(CONCATENATE(Travail!CV35,Travail!CV46,Travail!CV57)))</f>
        <v>0</v>
      </c>
      <c r="CW130" s="173">
        <f>IF(CW85=0,0,VALUE(CONCATENATE(Travail!CW35,Travail!CW46,Travail!CW57)))</f>
        <v>0</v>
      </c>
      <c r="CX130" s="173">
        <f>IF(CX85=0,0,VALUE(CONCATENATE(Travail!CX35,Travail!CX46,Travail!CX57)))</f>
        <v>0</v>
      </c>
      <c r="CY130" s="173">
        <f>IF(CY85=0,0,VALUE(CONCATENATE(Travail!CY35,Travail!CY46,Travail!CY57)))</f>
        <v>0</v>
      </c>
      <c r="DC130" s="189" t="str">
        <f t="shared" si="32"/>
        <v>lot10</v>
      </c>
      <c r="DE130" s="173">
        <f>IF(DE85=0,0,VALUE(CONCATENATE(Travail!DE35,Travail!DE46,Travail!DE57)))</f>
        <v>0</v>
      </c>
      <c r="DF130" s="173">
        <f>IF(DF85=0,0,VALUE(CONCATENATE(Travail!DF35,Travail!DF46,Travail!DF57)))</f>
        <v>0</v>
      </c>
      <c r="DG130" s="173">
        <f>IF(DG85=0,0,VALUE(CONCATENATE(Travail!DG35,Travail!DG46,Travail!DG57)))</f>
        <v>0</v>
      </c>
      <c r="DH130" s="173">
        <f>IF(DH85=0,0,VALUE(CONCATENATE(Travail!DH35,Travail!DH46,Travail!DH57)))</f>
        <v>0</v>
      </c>
      <c r="DI130" s="173">
        <f>IF(DI85=0,0,VALUE(CONCATENATE(Travail!DI35,Travail!DI46,Travail!DI57)))</f>
        <v>0</v>
      </c>
      <c r="DJ130" s="173">
        <f>IF(DJ85=0,0,VALUE(CONCATENATE(Travail!DJ35,Travail!DJ46,Travail!DJ57)))</f>
        <v>0</v>
      </c>
      <c r="DK130" s="173">
        <f>IF(DK85=0,0,VALUE(CONCATENATE(Travail!DK35,Travail!DK46,Travail!DK57)))</f>
        <v>0</v>
      </c>
      <c r="DL130" s="173">
        <f>IF(DL85=0,0,VALUE(CONCATENATE(Travail!DL35,Travail!DL46,Travail!DL57)))</f>
        <v>0</v>
      </c>
      <c r="DM130" s="173">
        <f>IF(DM85=0,0,VALUE(CONCATENATE(Travail!DM35,Travail!DM46,Travail!DM57)))</f>
        <v>0</v>
      </c>
      <c r="DN130" s="173">
        <f>IF(DN85=0,0,VALUE(CONCATENATE(Travail!DN35,Travail!DN46,Travail!DN57)))</f>
        <v>0</v>
      </c>
      <c r="DO130" s="173">
        <f>IF(DO85=0,0,VALUE(CONCATENATE(Travail!DO35,Travail!DO46,Travail!DO57)))</f>
        <v>0</v>
      </c>
      <c r="DP130" s="173">
        <f>IF(DP85=0,0,VALUE(CONCATENATE(Travail!DP35,Travail!DP46,Travail!DP57)))</f>
        <v>0</v>
      </c>
      <c r="DQ130" s="173">
        <f>IF(DQ85=0,0,VALUE(CONCATENATE(Travail!DQ35,Travail!DQ46,Travail!DQ57)))</f>
        <v>0</v>
      </c>
      <c r="DR130" s="173">
        <f>IF(DR85=0,0,VALUE(CONCATENATE(Travail!DR35,Travail!DR46,Travail!DR57)))</f>
        <v>0</v>
      </c>
      <c r="DS130" s="173">
        <f>IF(DS85=0,0,VALUE(CONCATENATE(Travail!DS35,Travail!DS46,Travail!DS57)))</f>
        <v>0</v>
      </c>
      <c r="DT130" s="173">
        <f>IF(DT85=0,0,VALUE(CONCATENATE(Travail!DT35,Travail!DT46,Travail!DT57)))</f>
        <v>0</v>
      </c>
      <c r="DU130" s="173">
        <f>IF(DU85=0,0,VALUE(CONCATENATE(Travail!DU35,Travail!DU46,Travail!DU57)))</f>
        <v>0</v>
      </c>
      <c r="DV130" s="173">
        <f>IF(DV85=0,0,VALUE(CONCATENATE(Travail!DV35,Travail!DV46,Travail!DV57)))</f>
        <v>0</v>
      </c>
      <c r="DW130" s="173">
        <f>IF(DW85=0,0,VALUE(CONCATENATE(Travail!DW35,Travail!DW46,Travail!DW57)))</f>
        <v>0</v>
      </c>
      <c r="DX130" s="173">
        <f>IF(DX85=0,0,VALUE(CONCATENATE(Travail!DX35,Travail!DX46,Travail!DX57)))</f>
        <v>0</v>
      </c>
      <c r="DY130" s="173">
        <f>IF(DY85=0,0,VALUE(CONCATENATE(Travail!DY35,Travail!DY46,Travail!DY57)))</f>
        <v>0</v>
      </c>
      <c r="DZ130" s="173">
        <f>IF(DZ85=0,0,VALUE(CONCATENATE(Travail!DZ35,Travail!DZ46,Travail!DZ57)))</f>
        <v>0</v>
      </c>
      <c r="EA130" s="173">
        <f>IF(EA85=0,0,VALUE(CONCATENATE(Travail!EA35,Travail!EA46,Travail!EA57)))</f>
        <v>0</v>
      </c>
      <c r="EB130" s="173">
        <f>IF(EB85=0,0,VALUE(CONCATENATE(Travail!EB35,Travail!EB46,Travail!EB57)))</f>
        <v>0</v>
      </c>
    </row>
    <row r="131" spans="1:132" x14ac:dyDescent="0.25">
      <c r="B131" s="14" t="s">
        <v>1216</v>
      </c>
      <c r="C131" s="173">
        <f t="shared" si="34"/>
        <v>0</v>
      </c>
      <c r="D131" s="173">
        <f t="shared" si="25"/>
        <v>0</v>
      </c>
      <c r="F131" s="14" t="s">
        <v>903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807</v>
      </c>
      <c r="AV131" s="273"/>
      <c r="AW131" s="273"/>
      <c r="AX131" s="273"/>
      <c r="AY131" s="273"/>
      <c r="AZ131" s="273"/>
      <c r="BA131" s="273"/>
      <c r="BB131" s="273"/>
      <c r="BC131" s="273"/>
      <c r="BD131" s="273"/>
      <c r="BE131" s="273"/>
      <c r="BF131" s="273"/>
      <c r="BG131" s="273"/>
      <c r="BH131" s="273"/>
      <c r="BI131" s="273"/>
      <c r="BJ131" s="273"/>
      <c r="BK131" s="273"/>
      <c r="BL131" s="273"/>
      <c r="BM131" s="273"/>
      <c r="BN131" s="273"/>
      <c r="BO131" s="273"/>
      <c r="BP131" s="273"/>
      <c r="BQ131" s="273"/>
      <c r="BR131" s="273"/>
      <c r="BS131" s="273"/>
      <c r="BZ131" s="40" t="s">
        <v>807</v>
      </c>
      <c r="CB131" s="273"/>
      <c r="CC131" s="273"/>
      <c r="CD131" s="273"/>
      <c r="CE131" s="273"/>
      <c r="CF131" s="273"/>
      <c r="CG131" s="273"/>
      <c r="CH131" s="273"/>
      <c r="CI131" s="273"/>
      <c r="CJ131" s="273"/>
      <c r="CK131" s="273"/>
      <c r="CL131" s="273"/>
      <c r="CM131" s="273"/>
      <c r="CN131" s="273"/>
      <c r="CO131" s="273"/>
      <c r="CP131" s="273"/>
      <c r="CQ131" s="273"/>
      <c r="CR131" s="273"/>
      <c r="CS131" s="273"/>
      <c r="CT131" s="273"/>
      <c r="CU131" s="273"/>
      <c r="CV131" s="273"/>
      <c r="CW131" s="273"/>
      <c r="CX131" s="273"/>
      <c r="CY131" s="273"/>
      <c r="DC131" s="40" t="s">
        <v>807</v>
      </c>
      <c r="DE131" s="273"/>
      <c r="DF131" s="273"/>
      <c r="DG131" s="273"/>
      <c r="DH131" s="273"/>
      <c r="DI131" s="273"/>
      <c r="DJ131" s="273"/>
      <c r="DK131" s="273"/>
      <c r="DL131" s="273"/>
      <c r="DM131" s="273"/>
      <c r="DN131" s="273"/>
      <c r="DO131" s="273"/>
      <c r="DP131" s="273"/>
      <c r="DQ131" s="273"/>
      <c r="DR131" s="273"/>
      <c r="DS131" s="273"/>
      <c r="DT131" s="273"/>
      <c r="DU131" s="273"/>
      <c r="DV131" s="273"/>
      <c r="DW131" s="273"/>
      <c r="DX131" s="273"/>
      <c r="DY131" s="273"/>
      <c r="DZ131" s="273"/>
      <c r="EA131" s="273"/>
      <c r="EB131" s="273"/>
    </row>
    <row r="132" spans="1:132" x14ac:dyDescent="0.25">
      <c r="B132" s="14" t="s">
        <v>1217</v>
      </c>
      <c r="C132" s="173">
        <f t="shared" si="34"/>
        <v>0</v>
      </c>
      <c r="D132" s="173">
        <f t="shared" si="25"/>
        <v>0</v>
      </c>
      <c r="F132" s="14" t="s">
        <v>1218</v>
      </c>
      <c r="H132">
        <f t="shared" ref="H132:AE132" si="38">SUM(H129:H131)</f>
        <v>2</v>
      </c>
      <c r="I132">
        <f t="shared" si="38"/>
        <v>2</v>
      </c>
      <c r="J132">
        <f t="shared" si="38"/>
        <v>4</v>
      </c>
      <c r="K132">
        <f t="shared" si="38"/>
        <v>5</v>
      </c>
      <c r="L132">
        <f t="shared" si="38"/>
        <v>5</v>
      </c>
      <c r="M132">
        <f t="shared" si="38"/>
        <v>6</v>
      </c>
      <c r="N132">
        <f t="shared" si="38"/>
        <v>7</v>
      </c>
      <c r="O132">
        <f t="shared" si="38"/>
        <v>7</v>
      </c>
      <c r="P132">
        <f t="shared" si="38"/>
        <v>7</v>
      </c>
      <c r="Q132">
        <f t="shared" si="38"/>
        <v>5</v>
      </c>
      <c r="R132">
        <f t="shared" si="38"/>
        <v>5</v>
      </c>
      <c r="S132">
        <f t="shared" si="38"/>
        <v>5</v>
      </c>
      <c r="T132">
        <f t="shared" si="38"/>
        <v>5</v>
      </c>
      <c r="U132">
        <f t="shared" si="38"/>
        <v>5</v>
      </c>
      <c r="V132">
        <f t="shared" si="38"/>
        <v>5</v>
      </c>
      <c r="W132">
        <f t="shared" si="38"/>
        <v>5</v>
      </c>
      <c r="X132">
        <f t="shared" si="38"/>
        <v>5</v>
      </c>
      <c r="Y132">
        <f t="shared" si="38"/>
        <v>5</v>
      </c>
      <c r="Z132">
        <f t="shared" si="38"/>
        <v>5</v>
      </c>
      <c r="AA132">
        <f t="shared" si="38"/>
        <v>6</v>
      </c>
      <c r="AB132">
        <f t="shared" si="38"/>
        <v>5</v>
      </c>
      <c r="AC132">
        <f t="shared" si="38"/>
        <v>5</v>
      </c>
      <c r="AD132">
        <f t="shared" si="38"/>
        <v>2</v>
      </c>
      <c r="AE132">
        <f t="shared" si="38"/>
        <v>2</v>
      </c>
      <c r="AT132" s="189" t="str">
        <f>AT121</f>
        <v>brebis</v>
      </c>
      <c r="AV132" s="173">
        <f t="shared" ref="AV132:BS139" si="39">IF(AV75=0,0,VALUE(CONCATENATE(AV87,AV98)))</f>
        <v>23</v>
      </c>
      <c r="AW132" s="173">
        <f t="shared" si="39"/>
        <v>23</v>
      </c>
      <c r="AX132" s="173">
        <f t="shared" si="39"/>
        <v>23</v>
      </c>
      <c r="AY132" s="173">
        <f t="shared" si="39"/>
        <v>22</v>
      </c>
      <c r="AZ132" s="173">
        <f t="shared" si="39"/>
        <v>22</v>
      </c>
      <c r="BA132" s="173">
        <f t="shared" si="39"/>
        <v>22</v>
      </c>
      <c r="BB132" s="173">
        <f t="shared" si="39"/>
        <v>22</v>
      </c>
      <c r="BC132" s="173">
        <f t="shared" si="39"/>
        <v>22</v>
      </c>
      <c r="BD132" s="173">
        <f t="shared" si="39"/>
        <v>22</v>
      </c>
      <c r="BE132" s="173">
        <f t="shared" si="39"/>
        <v>22</v>
      </c>
      <c r="BF132" s="173">
        <f t="shared" si="39"/>
        <v>22</v>
      </c>
      <c r="BG132" s="173">
        <f t="shared" si="39"/>
        <v>21</v>
      </c>
      <c r="BH132" s="173">
        <f t="shared" si="39"/>
        <v>21</v>
      </c>
      <c r="BI132" s="173">
        <f t="shared" si="39"/>
        <v>21</v>
      </c>
      <c r="BJ132" s="173">
        <f t="shared" si="39"/>
        <v>21</v>
      </c>
      <c r="BK132" s="173">
        <f t="shared" si="39"/>
        <v>21</v>
      </c>
      <c r="BL132" s="173">
        <f t="shared" si="39"/>
        <v>21</v>
      </c>
      <c r="BM132" s="173">
        <f t="shared" si="39"/>
        <v>21</v>
      </c>
      <c r="BN132" s="173">
        <f t="shared" si="39"/>
        <v>22</v>
      </c>
      <c r="BO132" s="173">
        <f t="shared" si="39"/>
        <v>22</v>
      </c>
      <c r="BP132" s="173">
        <f t="shared" si="39"/>
        <v>23</v>
      </c>
      <c r="BQ132" s="173">
        <f t="shared" si="39"/>
        <v>23</v>
      </c>
      <c r="BR132" s="173">
        <f t="shared" si="39"/>
        <v>23</v>
      </c>
      <c r="BS132" s="173">
        <f t="shared" si="39"/>
        <v>23</v>
      </c>
      <c r="BZ132" s="189" t="str">
        <f>BZ121</f>
        <v xml:space="preserve">vaches </v>
      </c>
      <c r="CB132" s="173">
        <f t="shared" ref="CB132:CY139" si="40">IF(CB75=0,0,VALUE(CONCATENATE(CB87,CB98)))</f>
        <v>23</v>
      </c>
      <c r="CC132" s="173">
        <f t="shared" si="40"/>
        <v>23</v>
      </c>
      <c r="CD132" s="173">
        <f t="shared" si="40"/>
        <v>23</v>
      </c>
      <c r="CE132" s="173">
        <f t="shared" si="40"/>
        <v>23</v>
      </c>
      <c r="CF132" s="173">
        <f t="shared" si="40"/>
        <v>23</v>
      </c>
      <c r="CG132" s="173">
        <f t="shared" si="40"/>
        <v>23</v>
      </c>
      <c r="CH132" s="173">
        <f t="shared" si="40"/>
        <v>22</v>
      </c>
      <c r="CI132" s="173">
        <f t="shared" si="40"/>
        <v>22</v>
      </c>
      <c r="CJ132" s="173">
        <f t="shared" si="40"/>
        <v>22</v>
      </c>
      <c r="CK132" s="173">
        <f t="shared" si="40"/>
        <v>22</v>
      </c>
      <c r="CL132" s="173">
        <f t="shared" si="40"/>
        <v>21</v>
      </c>
      <c r="CM132" s="173">
        <f t="shared" si="40"/>
        <v>21</v>
      </c>
      <c r="CN132" s="173">
        <f t="shared" si="40"/>
        <v>21</v>
      </c>
      <c r="CO132" s="173">
        <f t="shared" si="40"/>
        <v>21</v>
      </c>
      <c r="CP132" s="173">
        <f t="shared" si="40"/>
        <v>21</v>
      </c>
      <c r="CQ132" s="173">
        <f t="shared" si="40"/>
        <v>21</v>
      </c>
      <c r="CR132" s="173">
        <f t="shared" si="40"/>
        <v>21</v>
      </c>
      <c r="CS132" s="173">
        <f t="shared" si="40"/>
        <v>21</v>
      </c>
      <c r="CT132" s="173">
        <f t="shared" si="40"/>
        <v>22</v>
      </c>
      <c r="CU132" s="173">
        <f t="shared" si="40"/>
        <v>22</v>
      </c>
      <c r="CV132" s="173">
        <f t="shared" si="40"/>
        <v>22</v>
      </c>
      <c r="CW132" s="173">
        <f t="shared" si="40"/>
        <v>22</v>
      </c>
      <c r="CX132" s="173">
        <f t="shared" si="40"/>
        <v>23</v>
      </c>
      <c r="CY132" s="173">
        <f t="shared" si="40"/>
        <v>23</v>
      </c>
      <c r="DC132" s="189" t="str">
        <f>DC121</f>
        <v>lot1</v>
      </c>
      <c r="DE132" s="173">
        <f t="shared" ref="DE132:EB139" si="41">IF(DE75=0,0,VALUE(CONCATENATE(DE87,DE98)))</f>
        <v>0</v>
      </c>
      <c r="DF132" s="173">
        <f t="shared" si="41"/>
        <v>0</v>
      </c>
      <c r="DG132" s="173">
        <f t="shared" si="41"/>
        <v>0</v>
      </c>
      <c r="DH132" s="173">
        <f t="shared" si="41"/>
        <v>0</v>
      </c>
      <c r="DI132" s="173">
        <f t="shared" si="41"/>
        <v>0</v>
      </c>
      <c r="DJ132" s="173">
        <f t="shared" si="41"/>
        <v>0</v>
      </c>
      <c r="DK132" s="173">
        <f t="shared" si="41"/>
        <v>0</v>
      </c>
      <c r="DL132" s="173">
        <f t="shared" si="41"/>
        <v>0</v>
      </c>
      <c r="DM132" s="173">
        <f t="shared" si="41"/>
        <v>0</v>
      </c>
      <c r="DN132" s="173">
        <f t="shared" si="41"/>
        <v>0</v>
      </c>
      <c r="DO132" s="173">
        <f t="shared" si="41"/>
        <v>0</v>
      </c>
      <c r="DP132" s="173">
        <f t="shared" si="41"/>
        <v>0</v>
      </c>
      <c r="DQ132" s="173">
        <f t="shared" si="41"/>
        <v>0</v>
      </c>
      <c r="DR132" s="173">
        <f t="shared" si="41"/>
        <v>0</v>
      </c>
      <c r="DS132" s="173">
        <f t="shared" si="41"/>
        <v>0</v>
      </c>
      <c r="DT132" s="173">
        <f t="shared" si="41"/>
        <v>0</v>
      </c>
      <c r="DU132" s="173">
        <f t="shared" si="41"/>
        <v>0</v>
      </c>
      <c r="DV132" s="173">
        <f t="shared" si="41"/>
        <v>0</v>
      </c>
      <c r="DW132" s="173">
        <f t="shared" si="41"/>
        <v>0</v>
      </c>
      <c r="DX132" s="173">
        <f t="shared" si="41"/>
        <v>0</v>
      </c>
      <c r="DY132" s="173">
        <f t="shared" si="41"/>
        <v>0</v>
      </c>
      <c r="DZ132" s="173">
        <f t="shared" si="41"/>
        <v>0</v>
      </c>
      <c r="EA132" s="173">
        <f t="shared" si="41"/>
        <v>0</v>
      </c>
      <c r="EB132" s="173">
        <f t="shared" si="41"/>
        <v>0</v>
      </c>
    </row>
    <row r="133" spans="1:132" x14ac:dyDescent="0.25">
      <c r="B133" s="14" t="s">
        <v>1219</v>
      </c>
      <c r="C133" s="262">
        <f>IF(C110&gt;0,C110/(C110+C113+C116),0)</f>
        <v>0.50909090909090904</v>
      </c>
      <c r="D133" s="262">
        <f t="shared" si="25"/>
        <v>0.50909090909090904</v>
      </c>
      <c r="AT133" s="189" t="str">
        <f t="shared" ref="AT133:AT141" si="42">AT122</f>
        <v>vides</v>
      </c>
      <c r="AV133" s="173">
        <f t="shared" si="39"/>
        <v>22</v>
      </c>
      <c r="AW133" s="173">
        <f t="shared" si="39"/>
        <v>22</v>
      </c>
      <c r="AX133" s="173">
        <f t="shared" si="39"/>
        <v>22</v>
      </c>
      <c r="AY133" s="173">
        <f t="shared" si="39"/>
        <v>22</v>
      </c>
      <c r="AZ133" s="173">
        <f t="shared" si="39"/>
        <v>22</v>
      </c>
      <c r="BA133" s="173">
        <f t="shared" si="39"/>
        <v>22</v>
      </c>
      <c r="BB133" s="173">
        <f t="shared" si="39"/>
        <v>22</v>
      </c>
      <c r="BC133" s="173">
        <f t="shared" si="39"/>
        <v>22</v>
      </c>
      <c r="BD133" s="173">
        <f t="shared" si="39"/>
        <v>22</v>
      </c>
      <c r="BE133" s="173">
        <f t="shared" si="39"/>
        <v>0</v>
      </c>
      <c r="BF133" s="173">
        <f t="shared" si="39"/>
        <v>0</v>
      </c>
      <c r="BG133" s="173">
        <f t="shared" si="39"/>
        <v>0</v>
      </c>
      <c r="BH133" s="173">
        <f t="shared" si="39"/>
        <v>0</v>
      </c>
      <c r="BI133" s="173">
        <f t="shared" si="39"/>
        <v>0</v>
      </c>
      <c r="BJ133" s="173">
        <f t="shared" si="39"/>
        <v>0</v>
      </c>
      <c r="BK133" s="173">
        <f t="shared" si="39"/>
        <v>0</v>
      </c>
      <c r="BL133" s="173">
        <f t="shared" si="39"/>
        <v>0</v>
      </c>
      <c r="BM133" s="173">
        <f t="shared" si="39"/>
        <v>0</v>
      </c>
      <c r="BN133" s="173">
        <f t="shared" si="39"/>
        <v>0</v>
      </c>
      <c r="BO133" s="173">
        <f t="shared" si="39"/>
        <v>22</v>
      </c>
      <c r="BP133" s="173">
        <f t="shared" si="39"/>
        <v>22</v>
      </c>
      <c r="BQ133" s="173">
        <f t="shared" si="39"/>
        <v>22</v>
      </c>
      <c r="BR133" s="173">
        <f t="shared" si="39"/>
        <v>22</v>
      </c>
      <c r="BS133" s="173">
        <f t="shared" si="39"/>
        <v>22</v>
      </c>
      <c r="BZ133" s="189" t="str">
        <f t="shared" ref="BZ133:BZ141" si="43">BZ122</f>
        <v>genisses -1an</v>
      </c>
      <c r="CB133" s="173">
        <f t="shared" si="40"/>
        <v>0</v>
      </c>
      <c r="CC133" s="173">
        <f t="shared" si="40"/>
        <v>0</v>
      </c>
      <c r="CD133" s="173">
        <f t="shared" si="40"/>
        <v>0</v>
      </c>
      <c r="CE133" s="173">
        <f t="shared" si="40"/>
        <v>0</v>
      </c>
      <c r="CF133" s="173">
        <f t="shared" si="40"/>
        <v>0</v>
      </c>
      <c r="CG133" s="173">
        <f t="shared" si="40"/>
        <v>21</v>
      </c>
      <c r="CH133" s="173">
        <f t="shared" si="40"/>
        <v>21</v>
      </c>
      <c r="CI133" s="173">
        <f t="shared" si="40"/>
        <v>21</v>
      </c>
      <c r="CJ133" s="173">
        <f t="shared" si="40"/>
        <v>21</v>
      </c>
      <c r="CK133" s="173">
        <f t="shared" si="40"/>
        <v>21</v>
      </c>
      <c r="CL133" s="173">
        <f t="shared" si="40"/>
        <v>21</v>
      </c>
      <c r="CM133" s="173">
        <f t="shared" si="40"/>
        <v>21</v>
      </c>
      <c r="CN133" s="173">
        <f t="shared" si="40"/>
        <v>21</v>
      </c>
      <c r="CO133" s="173">
        <f t="shared" si="40"/>
        <v>21</v>
      </c>
      <c r="CP133" s="173">
        <f t="shared" si="40"/>
        <v>21</v>
      </c>
      <c r="CQ133" s="173">
        <f t="shared" si="40"/>
        <v>21</v>
      </c>
      <c r="CR133" s="173">
        <f t="shared" si="40"/>
        <v>21</v>
      </c>
      <c r="CS133" s="173">
        <f t="shared" si="40"/>
        <v>21</v>
      </c>
      <c r="CT133" s="173">
        <f t="shared" si="40"/>
        <v>21</v>
      </c>
      <c r="CU133" s="173">
        <f t="shared" si="40"/>
        <v>21</v>
      </c>
      <c r="CV133" s="173">
        <f t="shared" si="40"/>
        <v>22</v>
      </c>
      <c r="CW133" s="173">
        <f t="shared" si="40"/>
        <v>22</v>
      </c>
      <c r="CX133" s="173">
        <f t="shared" si="40"/>
        <v>0</v>
      </c>
      <c r="CY133" s="173">
        <f t="shared" si="40"/>
        <v>0</v>
      </c>
      <c r="DC133" s="189" t="str">
        <f t="shared" ref="DC133:DC141" si="44">DC122</f>
        <v>lot2</v>
      </c>
      <c r="DE133" s="173">
        <f t="shared" si="41"/>
        <v>0</v>
      </c>
      <c r="DF133" s="173">
        <f t="shared" si="41"/>
        <v>0</v>
      </c>
      <c r="DG133" s="173">
        <f t="shared" si="41"/>
        <v>0</v>
      </c>
      <c r="DH133" s="173">
        <f t="shared" si="41"/>
        <v>0</v>
      </c>
      <c r="DI133" s="173">
        <f t="shared" si="41"/>
        <v>0</v>
      </c>
      <c r="DJ133" s="173">
        <f t="shared" si="41"/>
        <v>0</v>
      </c>
      <c r="DK133" s="173">
        <f t="shared" si="41"/>
        <v>0</v>
      </c>
      <c r="DL133" s="173">
        <f t="shared" si="41"/>
        <v>0</v>
      </c>
      <c r="DM133" s="173">
        <f t="shared" si="41"/>
        <v>0</v>
      </c>
      <c r="DN133" s="173">
        <f t="shared" si="41"/>
        <v>0</v>
      </c>
      <c r="DO133" s="173">
        <f t="shared" si="41"/>
        <v>0</v>
      </c>
      <c r="DP133" s="173">
        <f t="shared" si="41"/>
        <v>0</v>
      </c>
      <c r="DQ133" s="173">
        <f t="shared" si="41"/>
        <v>0</v>
      </c>
      <c r="DR133" s="173">
        <f t="shared" si="41"/>
        <v>0</v>
      </c>
      <c r="DS133" s="173">
        <f t="shared" si="41"/>
        <v>0</v>
      </c>
      <c r="DT133" s="173">
        <f t="shared" si="41"/>
        <v>0</v>
      </c>
      <c r="DU133" s="173">
        <f t="shared" si="41"/>
        <v>0</v>
      </c>
      <c r="DV133" s="173">
        <f t="shared" si="41"/>
        <v>0</v>
      </c>
      <c r="DW133" s="173">
        <f t="shared" si="41"/>
        <v>0</v>
      </c>
      <c r="DX133" s="173">
        <f t="shared" si="41"/>
        <v>0</v>
      </c>
      <c r="DY133" s="173">
        <f t="shared" si="41"/>
        <v>0</v>
      </c>
      <c r="DZ133" s="173">
        <f t="shared" si="41"/>
        <v>0</v>
      </c>
      <c r="EA133" s="173">
        <f t="shared" si="41"/>
        <v>0</v>
      </c>
      <c r="EB133" s="173">
        <f t="shared" si="41"/>
        <v>0</v>
      </c>
    </row>
    <row r="134" spans="1:132" x14ac:dyDescent="0.25">
      <c r="B134" s="14" t="s">
        <v>1220</v>
      </c>
      <c r="C134" s="262">
        <f t="shared" ref="C134:C135" si="45">IF(C111&gt;0,C111/(C111+C114+C117),0)</f>
        <v>0.47169811320754718</v>
      </c>
      <c r="D134" s="262">
        <f t="shared" si="25"/>
        <v>0.47169811320754718</v>
      </c>
      <c r="F134" s="14" t="s">
        <v>1221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1</v>
      </c>
      <c r="T134">
        <f t="shared" si="46"/>
        <v>1</v>
      </c>
      <c r="U134">
        <f t="shared" si="46"/>
        <v>1</v>
      </c>
      <c r="V134">
        <f t="shared" si="46"/>
        <v>1</v>
      </c>
      <c r="W134">
        <f t="shared" si="46"/>
        <v>1</v>
      </c>
      <c r="X134">
        <f t="shared" si="46"/>
        <v>1</v>
      </c>
      <c r="Y134">
        <f t="shared" si="46"/>
        <v>1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9" t="str">
        <f t="shared" si="42"/>
        <v>agnelles</v>
      </c>
      <c r="AV134" s="173">
        <f t="shared" si="39"/>
        <v>23</v>
      </c>
      <c r="AW134" s="173">
        <f t="shared" si="39"/>
        <v>23</v>
      </c>
      <c r="AX134" s="173">
        <f t="shared" si="39"/>
        <v>23</v>
      </c>
      <c r="AY134" s="173">
        <f t="shared" si="39"/>
        <v>23</v>
      </c>
      <c r="AZ134" s="173">
        <f t="shared" si="39"/>
        <v>23</v>
      </c>
      <c r="BA134" s="173">
        <f t="shared" si="39"/>
        <v>22</v>
      </c>
      <c r="BB134" s="173">
        <f t="shared" si="39"/>
        <v>22</v>
      </c>
      <c r="BC134" s="173">
        <f t="shared" si="39"/>
        <v>22</v>
      </c>
      <c r="BD134" s="173">
        <f t="shared" si="39"/>
        <v>22</v>
      </c>
      <c r="BE134" s="173">
        <f t="shared" si="39"/>
        <v>22</v>
      </c>
      <c r="BF134" s="173">
        <f t="shared" si="39"/>
        <v>22</v>
      </c>
      <c r="BG134" s="173">
        <f t="shared" si="39"/>
        <v>22</v>
      </c>
      <c r="BH134" s="173">
        <f t="shared" si="39"/>
        <v>22</v>
      </c>
      <c r="BI134" s="173">
        <f t="shared" si="39"/>
        <v>22</v>
      </c>
      <c r="BJ134" s="173">
        <f t="shared" si="39"/>
        <v>22</v>
      </c>
      <c r="BK134" s="173">
        <f t="shared" si="39"/>
        <v>22</v>
      </c>
      <c r="BL134" s="173">
        <f t="shared" si="39"/>
        <v>22</v>
      </c>
      <c r="BM134" s="173">
        <f t="shared" si="39"/>
        <v>22</v>
      </c>
      <c r="BN134" s="173">
        <f t="shared" si="39"/>
        <v>22</v>
      </c>
      <c r="BO134" s="173">
        <f t="shared" si="39"/>
        <v>0</v>
      </c>
      <c r="BP134" s="173">
        <f t="shared" si="39"/>
        <v>0</v>
      </c>
      <c r="BQ134" s="173">
        <f t="shared" si="39"/>
        <v>23</v>
      </c>
      <c r="BR134" s="173">
        <f t="shared" si="39"/>
        <v>23</v>
      </c>
      <c r="BS134" s="173">
        <f t="shared" si="39"/>
        <v>23</v>
      </c>
      <c r="BZ134" s="189" t="str">
        <f t="shared" si="43"/>
        <v>genisses +1an</v>
      </c>
      <c r="CB134" s="173">
        <f t="shared" si="40"/>
        <v>3</v>
      </c>
      <c r="CC134" s="173">
        <f t="shared" si="40"/>
        <v>3</v>
      </c>
      <c r="CD134" s="173">
        <f t="shared" si="40"/>
        <v>1</v>
      </c>
      <c r="CE134" s="173">
        <f t="shared" si="40"/>
        <v>1</v>
      </c>
      <c r="CF134" s="173">
        <f t="shared" si="40"/>
        <v>1</v>
      </c>
      <c r="CG134" s="173">
        <f t="shared" si="40"/>
        <v>1</v>
      </c>
      <c r="CH134" s="173">
        <f t="shared" si="40"/>
        <v>1</v>
      </c>
      <c r="CI134" s="173">
        <f t="shared" si="40"/>
        <v>1</v>
      </c>
      <c r="CJ134" s="173">
        <f t="shared" si="40"/>
        <v>1</v>
      </c>
      <c r="CK134" s="173">
        <f t="shared" si="40"/>
        <v>1</v>
      </c>
      <c r="CL134" s="173">
        <f t="shared" si="40"/>
        <v>1</v>
      </c>
      <c r="CM134" s="173">
        <f t="shared" si="40"/>
        <v>1</v>
      </c>
      <c r="CN134" s="173">
        <f t="shared" si="40"/>
        <v>1</v>
      </c>
      <c r="CO134" s="173">
        <f t="shared" si="40"/>
        <v>1</v>
      </c>
      <c r="CP134" s="173">
        <f t="shared" si="40"/>
        <v>1</v>
      </c>
      <c r="CQ134" s="173">
        <f t="shared" si="40"/>
        <v>1</v>
      </c>
      <c r="CR134" s="173">
        <f t="shared" si="40"/>
        <v>1</v>
      </c>
      <c r="CS134" s="173">
        <f t="shared" si="40"/>
        <v>1</v>
      </c>
      <c r="CT134" s="173">
        <f t="shared" si="40"/>
        <v>1</v>
      </c>
      <c r="CU134" s="173">
        <f t="shared" si="40"/>
        <v>1</v>
      </c>
      <c r="CV134" s="173">
        <f t="shared" si="40"/>
        <v>1</v>
      </c>
      <c r="CW134" s="173">
        <f t="shared" si="40"/>
        <v>1</v>
      </c>
      <c r="CX134" s="173">
        <f t="shared" si="40"/>
        <v>3</v>
      </c>
      <c r="CY134" s="173">
        <f t="shared" si="40"/>
        <v>3</v>
      </c>
      <c r="DC134" s="189" t="str">
        <f t="shared" si="44"/>
        <v>lot3</v>
      </c>
      <c r="DE134" s="173">
        <f t="shared" si="41"/>
        <v>0</v>
      </c>
      <c r="DF134" s="173">
        <f t="shared" si="41"/>
        <v>0</v>
      </c>
      <c r="DG134" s="173">
        <f t="shared" si="41"/>
        <v>0</v>
      </c>
      <c r="DH134" s="173">
        <f t="shared" si="41"/>
        <v>0</v>
      </c>
      <c r="DI134" s="173">
        <f t="shared" si="41"/>
        <v>0</v>
      </c>
      <c r="DJ134" s="173">
        <f t="shared" si="41"/>
        <v>0</v>
      </c>
      <c r="DK134" s="173">
        <f t="shared" si="41"/>
        <v>0</v>
      </c>
      <c r="DL134" s="173">
        <f t="shared" si="41"/>
        <v>0</v>
      </c>
      <c r="DM134" s="173">
        <f t="shared" si="41"/>
        <v>0</v>
      </c>
      <c r="DN134" s="173">
        <f t="shared" si="41"/>
        <v>0</v>
      </c>
      <c r="DO134" s="173">
        <f t="shared" si="41"/>
        <v>0</v>
      </c>
      <c r="DP134" s="173">
        <f t="shared" si="41"/>
        <v>0</v>
      </c>
      <c r="DQ134" s="173">
        <f t="shared" si="41"/>
        <v>0</v>
      </c>
      <c r="DR134" s="173">
        <f t="shared" si="41"/>
        <v>0</v>
      </c>
      <c r="DS134" s="173">
        <f t="shared" si="41"/>
        <v>0</v>
      </c>
      <c r="DT134" s="173">
        <f t="shared" si="41"/>
        <v>0</v>
      </c>
      <c r="DU134" s="173">
        <f t="shared" si="41"/>
        <v>0</v>
      </c>
      <c r="DV134" s="173">
        <f t="shared" si="41"/>
        <v>0</v>
      </c>
      <c r="DW134" s="173">
        <f t="shared" si="41"/>
        <v>0</v>
      </c>
      <c r="DX134" s="173">
        <f t="shared" si="41"/>
        <v>0</v>
      </c>
      <c r="DY134" s="173">
        <f t="shared" si="41"/>
        <v>0</v>
      </c>
      <c r="DZ134" s="173">
        <f t="shared" si="41"/>
        <v>0</v>
      </c>
      <c r="EA134" s="173">
        <f t="shared" si="41"/>
        <v>0</v>
      </c>
      <c r="EB134" s="173">
        <f t="shared" si="41"/>
        <v>0</v>
      </c>
    </row>
    <row r="135" spans="1:132" x14ac:dyDescent="0.25">
      <c r="B135" s="14" t="s">
        <v>1222</v>
      </c>
      <c r="C135" s="262">
        <f t="shared" si="45"/>
        <v>0</v>
      </c>
      <c r="D135" s="262">
        <f t="shared" si="25"/>
        <v>0</v>
      </c>
      <c r="F135" s="14" t="s">
        <v>1223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0</v>
      </c>
      <c r="S135">
        <f t="shared" si="47"/>
        <v>0</v>
      </c>
      <c r="T135">
        <f t="shared" si="47"/>
        <v>0</v>
      </c>
      <c r="U135">
        <f t="shared" si="47"/>
        <v>0</v>
      </c>
      <c r="V135">
        <f t="shared" si="47"/>
        <v>0</v>
      </c>
      <c r="W135">
        <f t="shared" si="47"/>
        <v>0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9" t="str">
        <f t="shared" si="42"/>
        <v>beliers</v>
      </c>
      <c r="AV135" s="173">
        <f t="shared" si="39"/>
        <v>22</v>
      </c>
      <c r="AW135" s="173">
        <f t="shared" si="39"/>
        <v>22</v>
      </c>
      <c r="AX135" s="173">
        <f t="shared" si="39"/>
        <v>22</v>
      </c>
      <c r="AY135" s="173">
        <f t="shared" si="39"/>
        <v>22</v>
      </c>
      <c r="AZ135" s="173">
        <f t="shared" si="39"/>
        <v>22</v>
      </c>
      <c r="BA135" s="173">
        <f t="shared" si="39"/>
        <v>22</v>
      </c>
      <c r="BB135" s="173">
        <f t="shared" si="39"/>
        <v>22</v>
      </c>
      <c r="BC135" s="173">
        <f t="shared" si="39"/>
        <v>22</v>
      </c>
      <c r="BD135" s="173">
        <f t="shared" si="39"/>
        <v>22</v>
      </c>
      <c r="BE135" s="173">
        <f t="shared" si="39"/>
        <v>0</v>
      </c>
      <c r="BF135" s="173">
        <f t="shared" si="39"/>
        <v>0</v>
      </c>
      <c r="BG135" s="173">
        <f t="shared" si="39"/>
        <v>0</v>
      </c>
      <c r="BH135" s="173">
        <f t="shared" si="39"/>
        <v>0</v>
      </c>
      <c r="BI135" s="173">
        <f t="shared" si="39"/>
        <v>0</v>
      </c>
      <c r="BJ135" s="173">
        <f t="shared" si="39"/>
        <v>0</v>
      </c>
      <c r="BK135" s="173">
        <f t="shared" si="39"/>
        <v>0</v>
      </c>
      <c r="BL135" s="173">
        <f t="shared" si="39"/>
        <v>0</v>
      </c>
      <c r="BM135" s="173">
        <f t="shared" si="39"/>
        <v>0</v>
      </c>
      <c r="BN135" s="173">
        <f t="shared" si="39"/>
        <v>0</v>
      </c>
      <c r="BO135" s="173">
        <f t="shared" si="39"/>
        <v>22</v>
      </c>
      <c r="BP135" s="173">
        <f t="shared" si="39"/>
        <v>22</v>
      </c>
      <c r="BQ135" s="173">
        <f t="shared" si="39"/>
        <v>22</v>
      </c>
      <c r="BR135" s="173">
        <f t="shared" si="39"/>
        <v>22</v>
      </c>
      <c r="BS135" s="173">
        <f t="shared" si="39"/>
        <v>22</v>
      </c>
      <c r="BZ135" s="189" t="str">
        <f t="shared" si="43"/>
        <v>lot4</v>
      </c>
      <c r="CB135" s="173">
        <f t="shared" si="40"/>
        <v>0</v>
      </c>
      <c r="CC135" s="173">
        <f t="shared" si="40"/>
        <v>0</v>
      </c>
      <c r="CD135" s="173">
        <f t="shared" si="40"/>
        <v>0</v>
      </c>
      <c r="CE135" s="173">
        <f t="shared" si="40"/>
        <v>0</v>
      </c>
      <c r="CF135" s="173">
        <f t="shared" si="40"/>
        <v>0</v>
      </c>
      <c r="CG135" s="173">
        <f t="shared" si="40"/>
        <v>0</v>
      </c>
      <c r="CH135" s="173">
        <f t="shared" si="40"/>
        <v>0</v>
      </c>
      <c r="CI135" s="173">
        <f t="shared" si="40"/>
        <v>0</v>
      </c>
      <c r="CJ135" s="173">
        <f t="shared" si="40"/>
        <v>0</v>
      </c>
      <c r="CK135" s="173">
        <f t="shared" si="40"/>
        <v>0</v>
      </c>
      <c r="CL135" s="173">
        <f t="shared" si="40"/>
        <v>0</v>
      </c>
      <c r="CM135" s="173">
        <f t="shared" si="40"/>
        <v>0</v>
      </c>
      <c r="CN135" s="173">
        <f t="shared" si="40"/>
        <v>0</v>
      </c>
      <c r="CO135" s="173">
        <f t="shared" si="40"/>
        <v>0</v>
      </c>
      <c r="CP135" s="173">
        <f t="shared" si="40"/>
        <v>0</v>
      </c>
      <c r="CQ135" s="173">
        <f t="shared" si="40"/>
        <v>0</v>
      </c>
      <c r="CR135" s="173">
        <f t="shared" si="40"/>
        <v>0</v>
      </c>
      <c r="CS135" s="173">
        <f t="shared" si="40"/>
        <v>0</v>
      </c>
      <c r="CT135" s="173">
        <f t="shared" si="40"/>
        <v>0</v>
      </c>
      <c r="CU135" s="173">
        <f t="shared" si="40"/>
        <v>0</v>
      </c>
      <c r="CV135" s="173">
        <f t="shared" si="40"/>
        <v>0</v>
      </c>
      <c r="CW135" s="173">
        <f t="shared" si="40"/>
        <v>0</v>
      </c>
      <c r="CX135" s="173">
        <f t="shared" si="40"/>
        <v>0</v>
      </c>
      <c r="CY135" s="173">
        <f t="shared" si="40"/>
        <v>0</v>
      </c>
      <c r="DC135" s="189" t="str">
        <f t="shared" si="44"/>
        <v>lot4</v>
      </c>
      <c r="DE135" s="173">
        <f t="shared" si="41"/>
        <v>0</v>
      </c>
      <c r="DF135" s="173">
        <f t="shared" si="41"/>
        <v>0</v>
      </c>
      <c r="DG135" s="173">
        <f t="shared" si="41"/>
        <v>0</v>
      </c>
      <c r="DH135" s="173">
        <f t="shared" si="41"/>
        <v>0</v>
      </c>
      <c r="DI135" s="173">
        <f t="shared" si="41"/>
        <v>0</v>
      </c>
      <c r="DJ135" s="173">
        <f t="shared" si="41"/>
        <v>0</v>
      </c>
      <c r="DK135" s="173">
        <f t="shared" si="41"/>
        <v>0</v>
      </c>
      <c r="DL135" s="173">
        <f t="shared" si="41"/>
        <v>0</v>
      </c>
      <c r="DM135" s="173">
        <f t="shared" si="41"/>
        <v>0</v>
      </c>
      <c r="DN135" s="173">
        <f t="shared" si="41"/>
        <v>0</v>
      </c>
      <c r="DO135" s="173">
        <f t="shared" si="41"/>
        <v>0</v>
      </c>
      <c r="DP135" s="173">
        <f t="shared" si="41"/>
        <v>0</v>
      </c>
      <c r="DQ135" s="173">
        <f t="shared" si="41"/>
        <v>0</v>
      </c>
      <c r="DR135" s="173">
        <f t="shared" si="41"/>
        <v>0</v>
      </c>
      <c r="DS135" s="173">
        <f t="shared" si="41"/>
        <v>0</v>
      </c>
      <c r="DT135" s="173">
        <f t="shared" si="41"/>
        <v>0</v>
      </c>
      <c r="DU135" s="173">
        <f t="shared" si="41"/>
        <v>0</v>
      </c>
      <c r="DV135" s="173">
        <f t="shared" si="41"/>
        <v>0</v>
      </c>
      <c r="DW135" s="173">
        <f t="shared" si="41"/>
        <v>0</v>
      </c>
      <c r="DX135" s="173">
        <f t="shared" si="41"/>
        <v>0</v>
      </c>
      <c r="DY135" s="173">
        <f t="shared" si="41"/>
        <v>0</v>
      </c>
      <c r="DZ135" s="173">
        <f t="shared" si="41"/>
        <v>0</v>
      </c>
      <c r="EA135" s="173">
        <f t="shared" si="41"/>
        <v>0</v>
      </c>
      <c r="EB135" s="173">
        <f t="shared" si="41"/>
        <v>0</v>
      </c>
    </row>
    <row r="136" spans="1:132" x14ac:dyDescent="0.25">
      <c r="B136" s="14" t="s">
        <v>1224</v>
      </c>
      <c r="C136" s="262">
        <f>SUM(C110:C112)/SUM(C110:C118)</f>
        <v>0.49074074074074076</v>
      </c>
      <c r="D136" s="262">
        <f t="shared" si="25"/>
        <v>0.49074074074074076</v>
      </c>
      <c r="F136" s="14" t="s">
        <v>1225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9" t="str">
        <f t="shared" si="42"/>
        <v>lot5</v>
      </c>
      <c r="AV136" s="173">
        <f t="shared" si="39"/>
        <v>0</v>
      </c>
      <c r="AW136" s="173">
        <f t="shared" si="39"/>
        <v>0</v>
      </c>
      <c r="AX136" s="173">
        <f t="shared" si="39"/>
        <v>0</v>
      </c>
      <c r="AY136" s="173">
        <f t="shared" si="39"/>
        <v>0</v>
      </c>
      <c r="AZ136" s="173">
        <f t="shared" si="39"/>
        <v>0</v>
      </c>
      <c r="BA136" s="173">
        <f t="shared" si="39"/>
        <v>0</v>
      </c>
      <c r="BB136" s="173">
        <f t="shared" si="39"/>
        <v>0</v>
      </c>
      <c r="BC136" s="173">
        <f t="shared" si="39"/>
        <v>0</v>
      </c>
      <c r="BD136" s="173">
        <f t="shared" si="39"/>
        <v>0</v>
      </c>
      <c r="BE136" s="173">
        <f t="shared" si="39"/>
        <v>0</v>
      </c>
      <c r="BF136" s="173">
        <f t="shared" si="39"/>
        <v>0</v>
      </c>
      <c r="BG136" s="173">
        <f t="shared" si="39"/>
        <v>0</v>
      </c>
      <c r="BH136" s="173">
        <f t="shared" si="39"/>
        <v>0</v>
      </c>
      <c r="BI136" s="173">
        <f t="shared" si="39"/>
        <v>0</v>
      </c>
      <c r="BJ136" s="173">
        <f t="shared" si="39"/>
        <v>0</v>
      </c>
      <c r="BK136" s="173">
        <f t="shared" si="39"/>
        <v>0</v>
      </c>
      <c r="BL136" s="173">
        <f t="shared" si="39"/>
        <v>0</v>
      </c>
      <c r="BM136" s="173">
        <f t="shared" si="39"/>
        <v>0</v>
      </c>
      <c r="BN136" s="173">
        <f t="shared" si="39"/>
        <v>0</v>
      </c>
      <c r="BO136" s="173">
        <f t="shared" si="39"/>
        <v>0</v>
      </c>
      <c r="BP136" s="173">
        <f t="shared" si="39"/>
        <v>0</v>
      </c>
      <c r="BQ136" s="173">
        <f t="shared" si="39"/>
        <v>0</v>
      </c>
      <c r="BR136" s="173">
        <f t="shared" si="39"/>
        <v>0</v>
      </c>
      <c r="BS136" s="173">
        <f t="shared" si="39"/>
        <v>0</v>
      </c>
      <c r="BZ136" s="189" t="str">
        <f t="shared" si="43"/>
        <v>lot5</v>
      </c>
      <c r="CB136" s="173">
        <f t="shared" si="40"/>
        <v>0</v>
      </c>
      <c r="CC136" s="173">
        <f t="shared" si="40"/>
        <v>0</v>
      </c>
      <c r="CD136" s="173">
        <f t="shared" si="40"/>
        <v>0</v>
      </c>
      <c r="CE136" s="173">
        <f t="shared" si="40"/>
        <v>0</v>
      </c>
      <c r="CF136" s="173">
        <f t="shared" si="40"/>
        <v>0</v>
      </c>
      <c r="CG136" s="173">
        <f t="shared" si="40"/>
        <v>0</v>
      </c>
      <c r="CH136" s="173">
        <f t="shared" si="40"/>
        <v>0</v>
      </c>
      <c r="CI136" s="173">
        <f t="shared" si="40"/>
        <v>0</v>
      </c>
      <c r="CJ136" s="173">
        <f t="shared" si="40"/>
        <v>0</v>
      </c>
      <c r="CK136" s="173">
        <f t="shared" si="40"/>
        <v>0</v>
      </c>
      <c r="CL136" s="173">
        <f t="shared" si="40"/>
        <v>0</v>
      </c>
      <c r="CM136" s="173">
        <f t="shared" si="40"/>
        <v>0</v>
      </c>
      <c r="CN136" s="173">
        <f t="shared" si="40"/>
        <v>0</v>
      </c>
      <c r="CO136" s="173">
        <f t="shared" si="40"/>
        <v>0</v>
      </c>
      <c r="CP136" s="173">
        <f t="shared" si="40"/>
        <v>0</v>
      </c>
      <c r="CQ136" s="173">
        <f t="shared" si="40"/>
        <v>0</v>
      </c>
      <c r="CR136" s="173">
        <f t="shared" si="40"/>
        <v>0</v>
      </c>
      <c r="CS136" s="173">
        <f t="shared" si="40"/>
        <v>0</v>
      </c>
      <c r="CT136" s="173">
        <f t="shared" si="40"/>
        <v>0</v>
      </c>
      <c r="CU136" s="173">
        <f t="shared" si="40"/>
        <v>0</v>
      </c>
      <c r="CV136" s="173">
        <f t="shared" si="40"/>
        <v>0</v>
      </c>
      <c r="CW136" s="173">
        <f t="shared" si="40"/>
        <v>0</v>
      </c>
      <c r="CX136" s="173">
        <f t="shared" si="40"/>
        <v>0</v>
      </c>
      <c r="CY136" s="173">
        <f t="shared" si="40"/>
        <v>0</v>
      </c>
      <c r="DC136" s="189" t="str">
        <f t="shared" si="44"/>
        <v>lot5</v>
      </c>
      <c r="DE136" s="173">
        <f t="shared" si="41"/>
        <v>0</v>
      </c>
      <c r="DF136" s="173">
        <f t="shared" si="41"/>
        <v>0</v>
      </c>
      <c r="DG136" s="173">
        <f t="shared" si="41"/>
        <v>0</v>
      </c>
      <c r="DH136" s="173">
        <f t="shared" si="41"/>
        <v>0</v>
      </c>
      <c r="DI136" s="173">
        <f t="shared" si="41"/>
        <v>0</v>
      </c>
      <c r="DJ136" s="173">
        <f t="shared" si="41"/>
        <v>0</v>
      </c>
      <c r="DK136" s="173">
        <f t="shared" si="41"/>
        <v>0</v>
      </c>
      <c r="DL136" s="173">
        <f t="shared" si="41"/>
        <v>0</v>
      </c>
      <c r="DM136" s="173">
        <f t="shared" si="41"/>
        <v>0</v>
      </c>
      <c r="DN136" s="173">
        <f t="shared" si="41"/>
        <v>0</v>
      </c>
      <c r="DO136" s="173">
        <f t="shared" si="41"/>
        <v>0</v>
      </c>
      <c r="DP136" s="173">
        <f t="shared" si="41"/>
        <v>0</v>
      </c>
      <c r="DQ136" s="173">
        <f t="shared" si="41"/>
        <v>0</v>
      </c>
      <c r="DR136" s="173">
        <f t="shared" si="41"/>
        <v>0</v>
      </c>
      <c r="DS136" s="173">
        <f t="shared" si="41"/>
        <v>0</v>
      </c>
      <c r="DT136" s="173">
        <f t="shared" si="41"/>
        <v>0</v>
      </c>
      <c r="DU136" s="173">
        <f t="shared" si="41"/>
        <v>0</v>
      </c>
      <c r="DV136" s="173">
        <f t="shared" si="41"/>
        <v>0</v>
      </c>
      <c r="DW136" s="173">
        <f t="shared" si="41"/>
        <v>0</v>
      </c>
      <c r="DX136" s="173">
        <f t="shared" si="41"/>
        <v>0</v>
      </c>
      <c r="DY136" s="173">
        <f t="shared" si="41"/>
        <v>0</v>
      </c>
      <c r="DZ136" s="173">
        <f t="shared" si="41"/>
        <v>0</v>
      </c>
      <c r="EA136" s="173">
        <f t="shared" si="41"/>
        <v>0</v>
      </c>
      <c r="EB136" s="173">
        <f t="shared" si="41"/>
        <v>0</v>
      </c>
    </row>
    <row r="137" spans="1:132" x14ac:dyDescent="0.25">
      <c r="A137" s="2" t="s">
        <v>1226</v>
      </c>
      <c r="B137" s="32" t="s">
        <v>1227</v>
      </c>
      <c r="C137" s="173">
        <f>IF(Troupeau!B$3="OL",('Calcul éco'!B9+'Calcul éco'!B10),0)</f>
        <v>295</v>
      </c>
      <c r="D137" s="263">
        <f>C137*$D$82/$C$82</f>
        <v>283.22942643391519</v>
      </c>
      <c r="F137" s="14" t="s">
        <v>1228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0</v>
      </c>
      <c r="S137">
        <f t="shared" si="49"/>
        <v>1</v>
      </c>
      <c r="T137">
        <f t="shared" si="49"/>
        <v>1</v>
      </c>
      <c r="U137">
        <f t="shared" si="49"/>
        <v>1</v>
      </c>
      <c r="V137">
        <f t="shared" si="49"/>
        <v>1</v>
      </c>
      <c r="W137">
        <f t="shared" si="49"/>
        <v>1</v>
      </c>
      <c r="X137">
        <f t="shared" si="49"/>
        <v>1</v>
      </c>
      <c r="Y137">
        <f t="shared" si="49"/>
        <v>1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9" t="str">
        <f t="shared" si="42"/>
        <v>lot6</v>
      </c>
      <c r="AV137" s="173">
        <f t="shared" si="39"/>
        <v>0</v>
      </c>
      <c r="AW137" s="173">
        <f t="shared" si="39"/>
        <v>0</v>
      </c>
      <c r="AX137" s="173">
        <f t="shared" si="39"/>
        <v>0</v>
      </c>
      <c r="AY137" s="173">
        <f t="shared" si="39"/>
        <v>0</v>
      </c>
      <c r="AZ137" s="173">
        <f t="shared" si="39"/>
        <v>0</v>
      </c>
      <c r="BA137" s="173">
        <f t="shared" si="39"/>
        <v>0</v>
      </c>
      <c r="BB137" s="173">
        <f t="shared" si="39"/>
        <v>0</v>
      </c>
      <c r="BC137" s="173">
        <f t="shared" si="39"/>
        <v>0</v>
      </c>
      <c r="BD137" s="173">
        <f t="shared" si="39"/>
        <v>0</v>
      </c>
      <c r="BE137" s="173">
        <f t="shared" si="39"/>
        <v>0</v>
      </c>
      <c r="BF137" s="173">
        <f t="shared" si="39"/>
        <v>0</v>
      </c>
      <c r="BG137" s="173">
        <f t="shared" si="39"/>
        <v>0</v>
      </c>
      <c r="BH137" s="173">
        <f t="shared" si="39"/>
        <v>0</v>
      </c>
      <c r="BI137" s="173">
        <f t="shared" si="39"/>
        <v>0</v>
      </c>
      <c r="BJ137" s="173">
        <f t="shared" si="39"/>
        <v>0</v>
      </c>
      <c r="BK137" s="173">
        <f t="shared" si="39"/>
        <v>0</v>
      </c>
      <c r="BL137" s="173">
        <f t="shared" si="39"/>
        <v>0</v>
      </c>
      <c r="BM137" s="173">
        <f t="shared" si="39"/>
        <v>0</v>
      </c>
      <c r="BN137" s="173">
        <f t="shared" si="39"/>
        <v>0</v>
      </c>
      <c r="BO137" s="173">
        <f t="shared" si="39"/>
        <v>0</v>
      </c>
      <c r="BP137" s="173">
        <f t="shared" si="39"/>
        <v>0</v>
      </c>
      <c r="BQ137" s="173">
        <f t="shared" si="39"/>
        <v>0</v>
      </c>
      <c r="BR137" s="173">
        <f t="shared" si="39"/>
        <v>0</v>
      </c>
      <c r="BS137" s="173">
        <f t="shared" si="39"/>
        <v>0</v>
      </c>
      <c r="BZ137" s="189" t="str">
        <f t="shared" si="43"/>
        <v>lot6</v>
      </c>
      <c r="CB137" s="173">
        <f t="shared" si="40"/>
        <v>0</v>
      </c>
      <c r="CC137" s="173">
        <f t="shared" si="40"/>
        <v>0</v>
      </c>
      <c r="CD137" s="173">
        <f t="shared" si="40"/>
        <v>0</v>
      </c>
      <c r="CE137" s="173">
        <f t="shared" si="40"/>
        <v>0</v>
      </c>
      <c r="CF137" s="173">
        <f t="shared" si="40"/>
        <v>0</v>
      </c>
      <c r="CG137" s="173">
        <f t="shared" si="40"/>
        <v>0</v>
      </c>
      <c r="CH137" s="173">
        <f t="shared" si="40"/>
        <v>0</v>
      </c>
      <c r="CI137" s="173">
        <f t="shared" si="40"/>
        <v>0</v>
      </c>
      <c r="CJ137" s="173">
        <f t="shared" si="40"/>
        <v>0</v>
      </c>
      <c r="CK137" s="173">
        <f t="shared" si="40"/>
        <v>0</v>
      </c>
      <c r="CL137" s="173">
        <f t="shared" si="40"/>
        <v>0</v>
      </c>
      <c r="CM137" s="173">
        <f t="shared" si="40"/>
        <v>0</v>
      </c>
      <c r="CN137" s="173">
        <f t="shared" si="40"/>
        <v>0</v>
      </c>
      <c r="CO137" s="173">
        <f t="shared" si="40"/>
        <v>0</v>
      </c>
      <c r="CP137" s="173">
        <f t="shared" si="40"/>
        <v>0</v>
      </c>
      <c r="CQ137" s="173">
        <f t="shared" si="40"/>
        <v>0</v>
      </c>
      <c r="CR137" s="173">
        <f t="shared" si="40"/>
        <v>0</v>
      </c>
      <c r="CS137" s="173">
        <f t="shared" si="40"/>
        <v>0</v>
      </c>
      <c r="CT137" s="173">
        <f t="shared" si="40"/>
        <v>0</v>
      </c>
      <c r="CU137" s="173">
        <f t="shared" si="40"/>
        <v>0</v>
      </c>
      <c r="CV137" s="173">
        <f t="shared" si="40"/>
        <v>0</v>
      </c>
      <c r="CW137" s="173">
        <f t="shared" si="40"/>
        <v>0</v>
      </c>
      <c r="CX137" s="173">
        <f t="shared" si="40"/>
        <v>0</v>
      </c>
      <c r="CY137" s="173">
        <f t="shared" si="40"/>
        <v>0</v>
      </c>
      <c r="DC137" s="189" t="str">
        <f t="shared" si="44"/>
        <v>lot6</v>
      </c>
      <c r="DE137" s="173">
        <f t="shared" si="41"/>
        <v>0</v>
      </c>
      <c r="DF137" s="173">
        <f t="shared" si="41"/>
        <v>0</v>
      </c>
      <c r="DG137" s="173">
        <f t="shared" si="41"/>
        <v>0</v>
      </c>
      <c r="DH137" s="173">
        <f t="shared" si="41"/>
        <v>0</v>
      </c>
      <c r="DI137" s="173">
        <f t="shared" si="41"/>
        <v>0</v>
      </c>
      <c r="DJ137" s="173">
        <f t="shared" si="41"/>
        <v>0</v>
      </c>
      <c r="DK137" s="173">
        <f t="shared" si="41"/>
        <v>0</v>
      </c>
      <c r="DL137" s="173">
        <f t="shared" si="41"/>
        <v>0</v>
      </c>
      <c r="DM137" s="173">
        <f t="shared" si="41"/>
        <v>0</v>
      </c>
      <c r="DN137" s="173">
        <f t="shared" si="41"/>
        <v>0</v>
      </c>
      <c r="DO137" s="173">
        <f t="shared" si="41"/>
        <v>0</v>
      </c>
      <c r="DP137" s="173">
        <f t="shared" si="41"/>
        <v>0</v>
      </c>
      <c r="DQ137" s="173">
        <f t="shared" si="41"/>
        <v>0</v>
      </c>
      <c r="DR137" s="173">
        <f t="shared" si="41"/>
        <v>0</v>
      </c>
      <c r="DS137" s="173">
        <f t="shared" si="41"/>
        <v>0</v>
      </c>
      <c r="DT137" s="173">
        <f t="shared" si="41"/>
        <v>0</v>
      </c>
      <c r="DU137" s="173">
        <f t="shared" si="41"/>
        <v>0</v>
      </c>
      <c r="DV137" s="173">
        <f t="shared" si="41"/>
        <v>0</v>
      </c>
      <c r="DW137" s="173">
        <f t="shared" si="41"/>
        <v>0</v>
      </c>
      <c r="DX137" s="173">
        <f t="shared" si="41"/>
        <v>0</v>
      </c>
      <c r="DY137" s="173">
        <f t="shared" si="41"/>
        <v>0</v>
      </c>
      <c r="DZ137" s="173">
        <f t="shared" si="41"/>
        <v>0</v>
      </c>
      <c r="EA137" s="173">
        <f t="shared" si="41"/>
        <v>0</v>
      </c>
      <c r="EB137" s="173">
        <f t="shared" si="41"/>
        <v>0</v>
      </c>
    </row>
    <row r="138" spans="1:132" x14ac:dyDescent="0.25">
      <c r="B138" s="32" t="s">
        <v>1229</v>
      </c>
      <c r="C138" s="173">
        <f>IF(Troupeau!B$3="OL",('Calcul éco'!B13+'Calcul éco'!B14),0)</f>
        <v>45</v>
      </c>
      <c r="D138" s="263">
        <f t="shared" ref="D138:D174" si="50">C138*$D$82/$C$82</f>
        <v>43.204488778054859</v>
      </c>
      <c r="F138" s="14" t="s">
        <v>1230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9" t="str">
        <f t="shared" si="42"/>
        <v>lot7</v>
      </c>
      <c r="AV138" s="173">
        <f t="shared" si="39"/>
        <v>0</v>
      </c>
      <c r="AW138" s="173">
        <f t="shared" si="39"/>
        <v>0</v>
      </c>
      <c r="AX138" s="173">
        <f t="shared" si="39"/>
        <v>0</v>
      </c>
      <c r="AY138" s="173">
        <f t="shared" si="39"/>
        <v>0</v>
      </c>
      <c r="AZ138" s="173">
        <f t="shared" si="39"/>
        <v>0</v>
      </c>
      <c r="BA138" s="173">
        <f t="shared" si="39"/>
        <v>0</v>
      </c>
      <c r="BB138" s="173">
        <f t="shared" si="39"/>
        <v>0</v>
      </c>
      <c r="BC138" s="173">
        <f t="shared" si="39"/>
        <v>0</v>
      </c>
      <c r="BD138" s="173">
        <f t="shared" si="39"/>
        <v>0</v>
      </c>
      <c r="BE138" s="173">
        <f t="shared" si="39"/>
        <v>0</v>
      </c>
      <c r="BF138" s="173">
        <f t="shared" si="39"/>
        <v>0</v>
      </c>
      <c r="BG138" s="173">
        <f t="shared" si="39"/>
        <v>0</v>
      </c>
      <c r="BH138" s="173">
        <f t="shared" si="39"/>
        <v>0</v>
      </c>
      <c r="BI138" s="173">
        <f t="shared" si="39"/>
        <v>0</v>
      </c>
      <c r="BJ138" s="173">
        <f t="shared" si="39"/>
        <v>0</v>
      </c>
      <c r="BK138" s="173">
        <f t="shared" si="39"/>
        <v>0</v>
      </c>
      <c r="BL138" s="173">
        <f t="shared" si="39"/>
        <v>0</v>
      </c>
      <c r="BM138" s="173">
        <f t="shared" si="39"/>
        <v>0</v>
      </c>
      <c r="BN138" s="173">
        <f t="shared" si="39"/>
        <v>0</v>
      </c>
      <c r="BO138" s="173">
        <f t="shared" si="39"/>
        <v>0</v>
      </c>
      <c r="BP138" s="173">
        <f t="shared" si="39"/>
        <v>0</v>
      </c>
      <c r="BQ138" s="173">
        <f t="shared" si="39"/>
        <v>0</v>
      </c>
      <c r="BR138" s="173">
        <f t="shared" si="39"/>
        <v>0</v>
      </c>
      <c r="BS138" s="173">
        <f t="shared" si="39"/>
        <v>0</v>
      </c>
      <c r="BZ138" s="189" t="str">
        <f t="shared" si="43"/>
        <v>lot7</v>
      </c>
      <c r="CB138" s="173">
        <f t="shared" si="40"/>
        <v>0</v>
      </c>
      <c r="CC138" s="173">
        <f t="shared" si="40"/>
        <v>0</v>
      </c>
      <c r="CD138" s="173">
        <f t="shared" si="40"/>
        <v>0</v>
      </c>
      <c r="CE138" s="173">
        <f t="shared" si="40"/>
        <v>0</v>
      </c>
      <c r="CF138" s="173">
        <f t="shared" si="40"/>
        <v>0</v>
      </c>
      <c r="CG138" s="173">
        <f t="shared" si="40"/>
        <v>0</v>
      </c>
      <c r="CH138" s="173">
        <f t="shared" si="40"/>
        <v>0</v>
      </c>
      <c r="CI138" s="173">
        <f t="shared" si="40"/>
        <v>0</v>
      </c>
      <c r="CJ138" s="173">
        <f t="shared" si="40"/>
        <v>0</v>
      </c>
      <c r="CK138" s="173">
        <f t="shared" si="40"/>
        <v>0</v>
      </c>
      <c r="CL138" s="173">
        <f t="shared" si="40"/>
        <v>0</v>
      </c>
      <c r="CM138" s="173">
        <f t="shared" si="40"/>
        <v>0</v>
      </c>
      <c r="CN138" s="173">
        <f t="shared" si="40"/>
        <v>0</v>
      </c>
      <c r="CO138" s="173">
        <f t="shared" si="40"/>
        <v>0</v>
      </c>
      <c r="CP138" s="173">
        <f t="shared" si="40"/>
        <v>0</v>
      </c>
      <c r="CQ138" s="173">
        <f t="shared" si="40"/>
        <v>0</v>
      </c>
      <c r="CR138" s="173">
        <f t="shared" si="40"/>
        <v>0</v>
      </c>
      <c r="CS138" s="173">
        <f t="shared" si="40"/>
        <v>0</v>
      </c>
      <c r="CT138" s="173">
        <f t="shared" si="40"/>
        <v>0</v>
      </c>
      <c r="CU138" s="173">
        <f t="shared" si="40"/>
        <v>0</v>
      </c>
      <c r="CV138" s="173">
        <f t="shared" si="40"/>
        <v>0</v>
      </c>
      <c r="CW138" s="173">
        <f t="shared" si="40"/>
        <v>0</v>
      </c>
      <c r="CX138" s="173">
        <f t="shared" si="40"/>
        <v>0</v>
      </c>
      <c r="CY138" s="173">
        <f t="shared" si="40"/>
        <v>0</v>
      </c>
      <c r="DC138" s="189" t="str">
        <f t="shared" si="44"/>
        <v>lot7</v>
      </c>
      <c r="DE138" s="173">
        <f t="shared" si="41"/>
        <v>0</v>
      </c>
      <c r="DF138" s="173">
        <f t="shared" si="41"/>
        <v>0</v>
      </c>
      <c r="DG138" s="173">
        <f t="shared" si="41"/>
        <v>0</v>
      </c>
      <c r="DH138" s="173">
        <f t="shared" si="41"/>
        <v>0</v>
      </c>
      <c r="DI138" s="173">
        <f t="shared" si="41"/>
        <v>0</v>
      </c>
      <c r="DJ138" s="173">
        <f t="shared" si="41"/>
        <v>0</v>
      </c>
      <c r="DK138" s="173">
        <f t="shared" si="41"/>
        <v>0</v>
      </c>
      <c r="DL138" s="173">
        <f t="shared" si="41"/>
        <v>0</v>
      </c>
      <c r="DM138" s="173">
        <f t="shared" si="41"/>
        <v>0</v>
      </c>
      <c r="DN138" s="173">
        <f t="shared" si="41"/>
        <v>0</v>
      </c>
      <c r="DO138" s="173">
        <f t="shared" si="41"/>
        <v>0</v>
      </c>
      <c r="DP138" s="173">
        <f t="shared" si="41"/>
        <v>0</v>
      </c>
      <c r="DQ138" s="173">
        <f t="shared" si="41"/>
        <v>0</v>
      </c>
      <c r="DR138" s="173">
        <f t="shared" si="41"/>
        <v>0</v>
      </c>
      <c r="DS138" s="173">
        <f t="shared" si="41"/>
        <v>0</v>
      </c>
      <c r="DT138" s="173">
        <f t="shared" si="41"/>
        <v>0</v>
      </c>
      <c r="DU138" s="173">
        <f t="shared" si="41"/>
        <v>0</v>
      </c>
      <c r="DV138" s="173">
        <f t="shared" si="41"/>
        <v>0</v>
      </c>
      <c r="DW138" s="173">
        <f t="shared" si="41"/>
        <v>0</v>
      </c>
      <c r="DX138" s="173">
        <f t="shared" si="41"/>
        <v>0</v>
      </c>
      <c r="DY138" s="173">
        <f t="shared" si="41"/>
        <v>0</v>
      </c>
      <c r="DZ138" s="173">
        <f t="shared" si="41"/>
        <v>0</v>
      </c>
      <c r="EA138" s="173">
        <f t="shared" si="41"/>
        <v>0</v>
      </c>
      <c r="EB138" s="173">
        <f t="shared" si="41"/>
        <v>0</v>
      </c>
    </row>
    <row r="139" spans="1:132" x14ac:dyDescent="0.25">
      <c r="B139" s="32" t="s">
        <v>1231</v>
      </c>
      <c r="C139" s="173">
        <f>IF(Troupeau!B$3="VL",('Calcul éco'!B9+'Calcul éco'!B10),0)</f>
        <v>0</v>
      </c>
      <c r="D139" s="263">
        <f t="shared" si="50"/>
        <v>0</v>
      </c>
      <c r="F139" s="14" t="s">
        <v>1232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9" t="str">
        <f t="shared" si="42"/>
        <v>lot8</v>
      </c>
      <c r="AV139" s="173">
        <f t="shared" si="39"/>
        <v>0</v>
      </c>
      <c r="AW139" s="173">
        <f t="shared" si="39"/>
        <v>0</v>
      </c>
      <c r="AX139" s="173">
        <f t="shared" si="39"/>
        <v>0</v>
      </c>
      <c r="AY139" s="173">
        <f t="shared" si="39"/>
        <v>0</v>
      </c>
      <c r="AZ139" s="173">
        <f t="shared" si="39"/>
        <v>0</v>
      </c>
      <c r="BA139" s="173">
        <f t="shared" si="39"/>
        <v>0</v>
      </c>
      <c r="BB139" s="173">
        <f t="shared" si="39"/>
        <v>0</v>
      </c>
      <c r="BC139" s="173">
        <f t="shared" si="39"/>
        <v>0</v>
      </c>
      <c r="BD139" s="173">
        <f t="shared" si="39"/>
        <v>0</v>
      </c>
      <c r="BE139" s="173">
        <f t="shared" si="39"/>
        <v>0</v>
      </c>
      <c r="BF139" s="173">
        <f t="shared" si="39"/>
        <v>0</v>
      </c>
      <c r="BG139" s="173">
        <f t="shared" si="39"/>
        <v>0</v>
      </c>
      <c r="BH139" s="173">
        <f t="shared" si="39"/>
        <v>0</v>
      </c>
      <c r="BI139" s="173">
        <f t="shared" si="39"/>
        <v>0</v>
      </c>
      <c r="BJ139" s="173">
        <f t="shared" si="39"/>
        <v>0</v>
      </c>
      <c r="BK139" s="173">
        <f t="shared" si="39"/>
        <v>0</v>
      </c>
      <c r="BL139" s="173">
        <f t="shared" si="39"/>
        <v>0</v>
      </c>
      <c r="BM139" s="173">
        <f t="shared" si="39"/>
        <v>0</v>
      </c>
      <c r="BN139" s="173">
        <f t="shared" si="39"/>
        <v>0</v>
      </c>
      <c r="BO139" s="173">
        <f t="shared" si="39"/>
        <v>0</v>
      </c>
      <c r="BP139" s="173">
        <f t="shared" si="39"/>
        <v>0</v>
      </c>
      <c r="BQ139" s="173">
        <f t="shared" si="39"/>
        <v>0</v>
      </c>
      <c r="BR139" s="173">
        <f t="shared" si="39"/>
        <v>0</v>
      </c>
      <c r="BS139" s="173">
        <f t="shared" si="39"/>
        <v>0</v>
      </c>
      <c r="BZ139" s="189" t="str">
        <f t="shared" si="43"/>
        <v>lot8</v>
      </c>
      <c r="CB139" s="173">
        <f t="shared" si="40"/>
        <v>0</v>
      </c>
      <c r="CC139" s="173">
        <f t="shared" si="40"/>
        <v>0</v>
      </c>
      <c r="CD139" s="173">
        <f t="shared" si="40"/>
        <v>0</v>
      </c>
      <c r="CE139" s="173">
        <f t="shared" si="40"/>
        <v>0</v>
      </c>
      <c r="CF139" s="173">
        <f t="shared" si="40"/>
        <v>0</v>
      </c>
      <c r="CG139" s="173">
        <f t="shared" si="40"/>
        <v>0</v>
      </c>
      <c r="CH139" s="173">
        <f t="shared" si="40"/>
        <v>0</v>
      </c>
      <c r="CI139" s="173">
        <f t="shared" si="40"/>
        <v>0</v>
      </c>
      <c r="CJ139" s="173">
        <f t="shared" si="40"/>
        <v>0</v>
      </c>
      <c r="CK139" s="173">
        <f t="shared" si="40"/>
        <v>0</v>
      </c>
      <c r="CL139" s="173">
        <f t="shared" si="40"/>
        <v>0</v>
      </c>
      <c r="CM139" s="173">
        <f t="shared" si="40"/>
        <v>0</v>
      </c>
      <c r="CN139" s="173">
        <f t="shared" si="40"/>
        <v>0</v>
      </c>
      <c r="CO139" s="173">
        <f t="shared" si="40"/>
        <v>0</v>
      </c>
      <c r="CP139" s="173">
        <f t="shared" si="40"/>
        <v>0</v>
      </c>
      <c r="CQ139" s="173">
        <f t="shared" si="40"/>
        <v>0</v>
      </c>
      <c r="CR139" s="173">
        <f t="shared" si="40"/>
        <v>0</v>
      </c>
      <c r="CS139" s="173">
        <f t="shared" si="40"/>
        <v>0</v>
      </c>
      <c r="CT139" s="173">
        <f t="shared" si="40"/>
        <v>0</v>
      </c>
      <c r="CU139" s="173">
        <f t="shared" si="40"/>
        <v>0</v>
      </c>
      <c r="CV139" s="173">
        <f t="shared" si="40"/>
        <v>0</v>
      </c>
      <c r="CW139" s="173">
        <f t="shared" si="40"/>
        <v>0</v>
      </c>
      <c r="CX139" s="173">
        <f t="shared" si="40"/>
        <v>0</v>
      </c>
      <c r="CY139" s="173">
        <f t="shared" si="40"/>
        <v>0</v>
      </c>
      <c r="DC139" s="189" t="str">
        <f t="shared" si="44"/>
        <v>lot8</v>
      </c>
      <c r="DE139" s="173">
        <f t="shared" si="41"/>
        <v>0</v>
      </c>
      <c r="DF139" s="173">
        <f t="shared" si="41"/>
        <v>0</v>
      </c>
      <c r="DG139" s="173">
        <f t="shared" si="41"/>
        <v>0</v>
      </c>
      <c r="DH139" s="173">
        <f t="shared" si="41"/>
        <v>0</v>
      </c>
      <c r="DI139" s="173">
        <f t="shared" si="41"/>
        <v>0</v>
      </c>
      <c r="DJ139" s="173">
        <f t="shared" si="41"/>
        <v>0</v>
      </c>
      <c r="DK139" s="173">
        <f t="shared" si="41"/>
        <v>0</v>
      </c>
      <c r="DL139" s="173">
        <f t="shared" si="41"/>
        <v>0</v>
      </c>
      <c r="DM139" s="173">
        <f t="shared" si="41"/>
        <v>0</v>
      </c>
      <c r="DN139" s="173">
        <f t="shared" si="41"/>
        <v>0</v>
      </c>
      <c r="DO139" s="173">
        <f t="shared" si="41"/>
        <v>0</v>
      </c>
      <c r="DP139" s="173">
        <f t="shared" si="41"/>
        <v>0</v>
      </c>
      <c r="DQ139" s="173">
        <f t="shared" si="41"/>
        <v>0</v>
      </c>
      <c r="DR139" s="173">
        <f t="shared" si="41"/>
        <v>0</v>
      </c>
      <c r="DS139" s="173">
        <f t="shared" si="41"/>
        <v>0</v>
      </c>
      <c r="DT139" s="173">
        <f t="shared" si="41"/>
        <v>0</v>
      </c>
      <c r="DU139" s="173">
        <f t="shared" si="41"/>
        <v>0</v>
      </c>
      <c r="DV139" s="173">
        <f t="shared" si="41"/>
        <v>0</v>
      </c>
      <c r="DW139" s="173">
        <f t="shared" si="41"/>
        <v>0</v>
      </c>
      <c r="DX139" s="173">
        <f t="shared" si="41"/>
        <v>0</v>
      </c>
      <c r="DY139" s="173">
        <f t="shared" si="41"/>
        <v>0</v>
      </c>
      <c r="DZ139" s="173">
        <f t="shared" si="41"/>
        <v>0</v>
      </c>
      <c r="EA139" s="173">
        <f t="shared" si="41"/>
        <v>0</v>
      </c>
      <c r="EB139" s="173">
        <f t="shared" si="41"/>
        <v>0</v>
      </c>
    </row>
    <row r="140" spans="1:132" x14ac:dyDescent="0.25">
      <c r="B140" s="32" t="s">
        <v>1233</v>
      </c>
      <c r="C140" s="173">
        <f>IF(Troupeau!B$3="VL",('Calcul éco'!B13),0)</f>
        <v>0</v>
      </c>
      <c r="D140" s="263">
        <f t="shared" si="50"/>
        <v>0</v>
      </c>
      <c r="F140" s="14" t="s">
        <v>1234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9" t="str">
        <f t="shared" si="42"/>
        <v>lot9</v>
      </c>
      <c r="AV140" s="173">
        <f t="shared" ref="AV140:BS141" si="54">IF(AV84=0,0,VALUE(CONCATENATE(AV95,AV106)))</f>
        <v>0</v>
      </c>
      <c r="AW140" s="173">
        <f t="shared" si="54"/>
        <v>0</v>
      </c>
      <c r="AX140" s="173">
        <f t="shared" si="54"/>
        <v>0</v>
      </c>
      <c r="AY140" s="173">
        <f t="shared" si="54"/>
        <v>0</v>
      </c>
      <c r="AZ140" s="173">
        <f t="shared" si="54"/>
        <v>0</v>
      </c>
      <c r="BA140" s="173">
        <f t="shared" si="54"/>
        <v>0</v>
      </c>
      <c r="BB140" s="173">
        <f t="shared" si="54"/>
        <v>0</v>
      </c>
      <c r="BC140" s="173">
        <f t="shared" si="54"/>
        <v>0</v>
      </c>
      <c r="BD140" s="173">
        <f t="shared" si="54"/>
        <v>0</v>
      </c>
      <c r="BE140" s="173">
        <f t="shared" si="54"/>
        <v>0</v>
      </c>
      <c r="BF140" s="173">
        <f t="shared" si="54"/>
        <v>0</v>
      </c>
      <c r="BG140" s="173">
        <f t="shared" si="54"/>
        <v>0</v>
      </c>
      <c r="BH140" s="173">
        <f t="shared" si="54"/>
        <v>0</v>
      </c>
      <c r="BI140" s="173">
        <f t="shared" si="54"/>
        <v>0</v>
      </c>
      <c r="BJ140" s="173">
        <f t="shared" si="54"/>
        <v>0</v>
      </c>
      <c r="BK140" s="173">
        <f t="shared" si="54"/>
        <v>0</v>
      </c>
      <c r="BL140" s="173">
        <f t="shared" si="54"/>
        <v>0</v>
      </c>
      <c r="BM140" s="173">
        <f t="shared" si="54"/>
        <v>0</v>
      </c>
      <c r="BN140" s="173">
        <f t="shared" si="54"/>
        <v>0</v>
      </c>
      <c r="BO140" s="173">
        <f t="shared" si="54"/>
        <v>0</v>
      </c>
      <c r="BP140" s="173">
        <f t="shared" si="54"/>
        <v>0</v>
      </c>
      <c r="BQ140" s="173">
        <f t="shared" si="54"/>
        <v>0</v>
      </c>
      <c r="BR140" s="173">
        <f t="shared" si="54"/>
        <v>0</v>
      </c>
      <c r="BS140" s="173">
        <f t="shared" si="54"/>
        <v>0</v>
      </c>
      <c r="BZ140" s="189" t="str">
        <f t="shared" si="43"/>
        <v>lot9</v>
      </c>
      <c r="CB140" s="173">
        <f t="shared" ref="CB140:CY141" si="55">IF(CB84=0,0,VALUE(CONCATENATE(CB95,CB106)))</f>
        <v>0</v>
      </c>
      <c r="CC140" s="173">
        <f t="shared" si="55"/>
        <v>0</v>
      </c>
      <c r="CD140" s="173">
        <f t="shared" si="55"/>
        <v>0</v>
      </c>
      <c r="CE140" s="173">
        <f t="shared" si="55"/>
        <v>0</v>
      </c>
      <c r="CF140" s="173">
        <f t="shared" si="55"/>
        <v>0</v>
      </c>
      <c r="CG140" s="173">
        <f t="shared" si="55"/>
        <v>0</v>
      </c>
      <c r="CH140" s="173">
        <f t="shared" si="55"/>
        <v>0</v>
      </c>
      <c r="CI140" s="173">
        <f t="shared" si="55"/>
        <v>0</v>
      </c>
      <c r="CJ140" s="173">
        <f t="shared" si="55"/>
        <v>0</v>
      </c>
      <c r="CK140" s="173">
        <f t="shared" si="55"/>
        <v>0</v>
      </c>
      <c r="CL140" s="173">
        <f t="shared" si="55"/>
        <v>0</v>
      </c>
      <c r="CM140" s="173">
        <f t="shared" si="55"/>
        <v>0</v>
      </c>
      <c r="CN140" s="173">
        <f t="shared" si="55"/>
        <v>0</v>
      </c>
      <c r="CO140" s="173">
        <f t="shared" si="55"/>
        <v>0</v>
      </c>
      <c r="CP140" s="173">
        <f t="shared" si="55"/>
        <v>0</v>
      </c>
      <c r="CQ140" s="173">
        <f t="shared" si="55"/>
        <v>0</v>
      </c>
      <c r="CR140" s="173">
        <f t="shared" si="55"/>
        <v>0</v>
      </c>
      <c r="CS140" s="173">
        <f t="shared" si="55"/>
        <v>0</v>
      </c>
      <c r="CT140" s="173">
        <f t="shared" si="55"/>
        <v>0</v>
      </c>
      <c r="CU140" s="173">
        <f t="shared" si="55"/>
        <v>0</v>
      </c>
      <c r="CV140" s="173">
        <f t="shared" si="55"/>
        <v>0</v>
      </c>
      <c r="CW140" s="173">
        <f t="shared" si="55"/>
        <v>0</v>
      </c>
      <c r="CX140" s="173">
        <f t="shared" si="55"/>
        <v>0</v>
      </c>
      <c r="CY140" s="173">
        <f t="shared" si="55"/>
        <v>0</v>
      </c>
      <c r="DC140" s="189" t="str">
        <f t="shared" si="44"/>
        <v>lot9</v>
      </c>
      <c r="DE140" s="173">
        <f t="shared" ref="DE140:EB141" si="56">IF(DE84=0,0,VALUE(CONCATENATE(DE95,DE106)))</f>
        <v>0</v>
      </c>
      <c r="DF140" s="173">
        <f t="shared" si="56"/>
        <v>0</v>
      </c>
      <c r="DG140" s="173">
        <f t="shared" si="56"/>
        <v>0</v>
      </c>
      <c r="DH140" s="173">
        <f t="shared" si="56"/>
        <v>0</v>
      </c>
      <c r="DI140" s="173">
        <f t="shared" si="56"/>
        <v>0</v>
      </c>
      <c r="DJ140" s="173">
        <f t="shared" si="56"/>
        <v>0</v>
      </c>
      <c r="DK140" s="173">
        <f t="shared" si="56"/>
        <v>0</v>
      </c>
      <c r="DL140" s="173">
        <f t="shared" si="56"/>
        <v>0</v>
      </c>
      <c r="DM140" s="173">
        <f t="shared" si="56"/>
        <v>0</v>
      </c>
      <c r="DN140" s="173">
        <f t="shared" si="56"/>
        <v>0</v>
      </c>
      <c r="DO140" s="173">
        <f t="shared" si="56"/>
        <v>0</v>
      </c>
      <c r="DP140" s="173">
        <f t="shared" si="56"/>
        <v>0</v>
      </c>
      <c r="DQ140" s="173">
        <f t="shared" si="56"/>
        <v>0</v>
      </c>
      <c r="DR140" s="173">
        <f t="shared" si="56"/>
        <v>0</v>
      </c>
      <c r="DS140" s="173">
        <f t="shared" si="56"/>
        <v>0</v>
      </c>
      <c r="DT140" s="173">
        <f t="shared" si="56"/>
        <v>0</v>
      </c>
      <c r="DU140" s="173">
        <f t="shared" si="56"/>
        <v>0</v>
      </c>
      <c r="DV140" s="173">
        <f t="shared" si="56"/>
        <v>0</v>
      </c>
      <c r="DW140" s="173">
        <f t="shared" si="56"/>
        <v>0</v>
      </c>
      <c r="DX140" s="173">
        <f t="shared" si="56"/>
        <v>0</v>
      </c>
      <c r="DY140" s="173">
        <f t="shared" si="56"/>
        <v>0</v>
      </c>
      <c r="DZ140" s="173">
        <f t="shared" si="56"/>
        <v>0</v>
      </c>
      <c r="EA140" s="173">
        <f t="shared" si="56"/>
        <v>0</v>
      </c>
      <c r="EB140" s="173">
        <f t="shared" si="56"/>
        <v>0</v>
      </c>
    </row>
    <row r="141" spans="1:132" x14ac:dyDescent="0.25">
      <c r="B141" s="32" t="s">
        <v>1235</v>
      </c>
      <c r="C141" s="173">
        <f>IF(Troupeau!B$3="VL",('Calcul éco'!B14),0)</f>
        <v>0</v>
      </c>
      <c r="D141" s="263">
        <f t="shared" si="50"/>
        <v>0</v>
      </c>
      <c r="F141" s="14" t="s">
        <v>1236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9" t="str">
        <f t="shared" si="42"/>
        <v>lot10</v>
      </c>
      <c r="AV141" s="173">
        <f t="shared" si="54"/>
        <v>0</v>
      </c>
      <c r="AW141" s="173">
        <f t="shared" si="54"/>
        <v>0</v>
      </c>
      <c r="AX141" s="173">
        <f t="shared" si="54"/>
        <v>0</v>
      </c>
      <c r="AY141" s="173">
        <f t="shared" si="54"/>
        <v>0</v>
      </c>
      <c r="AZ141" s="173">
        <f t="shared" si="54"/>
        <v>0</v>
      </c>
      <c r="BA141" s="173">
        <f t="shared" si="54"/>
        <v>0</v>
      </c>
      <c r="BB141" s="173">
        <f t="shared" si="54"/>
        <v>0</v>
      </c>
      <c r="BC141" s="173">
        <f t="shared" si="54"/>
        <v>0</v>
      </c>
      <c r="BD141" s="173">
        <f t="shared" si="54"/>
        <v>0</v>
      </c>
      <c r="BE141" s="173">
        <f t="shared" si="54"/>
        <v>0</v>
      </c>
      <c r="BF141" s="173">
        <f t="shared" si="54"/>
        <v>0</v>
      </c>
      <c r="BG141" s="173">
        <f t="shared" si="54"/>
        <v>0</v>
      </c>
      <c r="BH141" s="173">
        <f t="shared" si="54"/>
        <v>0</v>
      </c>
      <c r="BI141" s="173">
        <f t="shared" si="54"/>
        <v>0</v>
      </c>
      <c r="BJ141" s="173">
        <f t="shared" si="54"/>
        <v>0</v>
      </c>
      <c r="BK141" s="173">
        <f t="shared" si="54"/>
        <v>0</v>
      </c>
      <c r="BL141" s="173">
        <f t="shared" si="54"/>
        <v>0</v>
      </c>
      <c r="BM141" s="173">
        <f t="shared" si="54"/>
        <v>0</v>
      </c>
      <c r="BN141" s="173">
        <f t="shared" si="54"/>
        <v>0</v>
      </c>
      <c r="BO141" s="173">
        <f t="shared" si="54"/>
        <v>0</v>
      </c>
      <c r="BP141" s="173">
        <f t="shared" si="54"/>
        <v>0</v>
      </c>
      <c r="BQ141" s="173">
        <f t="shared" si="54"/>
        <v>0</v>
      </c>
      <c r="BR141" s="173">
        <f t="shared" si="54"/>
        <v>0</v>
      </c>
      <c r="BS141" s="173">
        <f t="shared" si="54"/>
        <v>0</v>
      </c>
      <c r="BZ141" s="189" t="str">
        <f t="shared" si="43"/>
        <v>lot10</v>
      </c>
      <c r="CB141" s="173">
        <f t="shared" si="55"/>
        <v>0</v>
      </c>
      <c r="CC141" s="173">
        <f t="shared" si="55"/>
        <v>0</v>
      </c>
      <c r="CD141" s="173">
        <f t="shared" si="55"/>
        <v>0</v>
      </c>
      <c r="CE141" s="173">
        <f t="shared" si="55"/>
        <v>0</v>
      </c>
      <c r="CF141" s="173">
        <f t="shared" si="55"/>
        <v>0</v>
      </c>
      <c r="CG141" s="173">
        <f t="shared" si="55"/>
        <v>0</v>
      </c>
      <c r="CH141" s="173">
        <f t="shared" si="55"/>
        <v>0</v>
      </c>
      <c r="CI141" s="173">
        <f t="shared" si="55"/>
        <v>0</v>
      </c>
      <c r="CJ141" s="173">
        <f t="shared" si="55"/>
        <v>0</v>
      </c>
      <c r="CK141" s="173">
        <f t="shared" si="55"/>
        <v>0</v>
      </c>
      <c r="CL141" s="173">
        <f t="shared" si="55"/>
        <v>0</v>
      </c>
      <c r="CM141" s="173">
        <f t="shared" si="55"/>
        <v>0</v>
      </c>
      <c r="CN141" s="173">
        <f t="shared" si="55"/>
        <v>0</v>
      </c>
      <c r="CO141" s="173">
        <f t="shared" si="55"/>
        <v>0</v>
      </c>
      <c r="CP141" s="173">
        <f t="shared" si="55"/>
        <v>0</v>
      </c>
      <c r="CQ141" s="173">
        <f t="shared" si="55"/>
        <v>0</v>
      </c>
      <c r="CR141" s="173">
        <f t="shared" si="55"/>
        <v>0</v>
      </c>
      <c r="CS141" s="173">
        <f t="shared" si="55"/>
        <v>0</v>
      </c>
      <c r="CT141" s="173">
        <f t="shared" si="55"/>
        <v>0</v>
      </c>
      <c r="CU141" s="173">
        <f t="shared" si="55"/>
        <v>0</v>
      </c>
      <c r="CV141" s="173">
        <f t="shared" si="55"/>
        <v>0</v>
      </c>
      <c r="CW141" s="173">
        <f t="shared" si="55"/>
        <v>0</v>
      </c>
      <c r="CX141" s="173">
        <f t="shared" si="55"/>
        <v>0</v>
      </c>
      <c r="CY141" s="173">
        <f t="shared" si="55"/>
        <v>0</v>
      </c>
      <c r="DC141" s="189" t="str">
        <f t="shared" si="44"/>
        <v>lot10</v>
      </c>
      <c r="DE141" s="173">
        <f t="shared" si="56"/>
        <v>0</v>
      </c>
      <c r="DF141" s="173">
        <f t="shared" si="56"/>
        <v>0</v>
      </c>
      <c r="DG141" s="173">
        <f t="shared" si="56"/>
        <v>0</v>
      </c>
      <c r="DH141" s="173">
        <f t="shared" si="56"/>
        <v>0</v>
      </c>
      <c r="DI141" s="173">
        <f t="shared" si="56"/>
        <v>0</v>
      </c>
      <c r="DJ141" s="173">
        <f t="shared" si="56"/>
        <v>0</v>
      </c>
      <c r="DK141" s="173">
        <f t="shared" si="56"/>
        <v>0</v>
      </c>
      <c r="DL141" s="173">
        <f t="shared" si="56"/>
        <v>0</v>
      </c>
      <c r="DM141" s="173">
        <f t="shared" si="56"/>
        <v>0</v>
      </c>
      <c r="DN141" s="173">
        <f t="shared" si="56"/>
        <v>0</v>
      </c>
      <c r="DO141" s="173">
        <f t="shared" si="56"/>
        <v>0</v>
      </c>
      <c r="DP141" s="173">
        <f t="shared" si="56"/>
        <v>0</v>
      </c>
      <c r="DQ141" s="173">
        <f t="shared" si="56"/>
        <v>0</v>
      </c>
      <c r="DR141" s="173">
        <f t="shared" si="56"/>
        <v>0</v>
      </c>
      <c r="DS141" s="173">
        <f t="shared" si="56"/>
        <v>0</v>
      </c>
      <c r="DT141" s="173">
        <f t="shared" si="56"/>
        <v>0</v>
      </c>
      <c r="DU141" s="173">
        <f t="shared" si="56"/>
        <v>0</v>
      </c>
      <c r="DV141" s="173">
        <f t="shared" si="56"/>
        <v>0</v>
      </c>
      <c r="DW141" s="173">
        <f t="shared" si="56"/>
        <v>0</v>
      </c>
      <c r="DX141" s="173">
        <f t="shared" si="56"/>
        <v>0</v>
      </c>
      <c r="DY141" s="173">
        <f t="shared" si="56"/>
        <v>0</v>
      </c>
      <c r="DZ141" s="173">
        <f t="shared" si="56"/>
        <v>0</v>
      </c>
      <c r="EA141" s="173">
        <f t="shared" si="56"/>
        <v>0</v>
      </c>
      <c r="EB141" s="173">
        <f t="shared" si="56"/>
        <v>0</v>
      </c>
    </row>
    <row r="142" spans="1:132" x14ac:dyDescent="0.25">
      <c r="B142" s="32" t="s">
        <v>1237</v>
      </c>
      <c r="C142" s="173">
        <f>SUM(G147:G150)</f>
        <v>10</v>
      </c>
      <c r="D142" s="263">
        <f t="shared" si="50"/>
        <v>9.6009975062344139</v>
      </c>
      <c r="AT142" s="19" t="s">
        <v>817</v>
      </c>
      <c r="AV142" s="173">
        <f>COUNTIF(AV$132:AV$141,23)</f>
        <v>2</v>
      </c>
      <c r="AW142" s="173">
        <f t="shared" ref="AW142:BS142" si="58">COUNTIF(AW$132:AW$141,23)</f>
        <v>2</v>
      </c>
      <c r="AX142" s="173">
        <f t="shared" si="58"/>
        <v>2</v>
      </c>
      <c r="AY142" s="173">
        <f t="shared" si="58"/>
        <v>1</v>
      </c>
      <c r="AZ142" s="173">
        <f t="shared" si="58"/>
        <v>1</v>
      </c>
      <c r="BA142" s="173">
        <f t="shared" si="58"/>
        <v>0</v>
      </c>
      <c r="BB142" s="173">
        <f t="shared" si="58"/>
        <v>0</v>
      </c>
      <c r="BC142" s="173">
        <f t="shared" si="58"/>
        <v>0</v>
      </c>
      <c r="BD142" s="173">
        <f t="shared" si="58"/>
        <v>0</v>
      </c>
      <c r="BE142" s="173">
        <f t="shared" si="58"/>
        <v>0</v>
      </c>
      <c r="BF142" s="173">
        <f t="shared" si="58"/>
        <v>0</v>
      </c>
      <c r="BG142" s="173">
        <f t="shared" si="58"/>
        <v>0</v>
      </c>
      <c r="BH142" s="173">
        <f t="shared" si="58"/>
        <v>0</v>
      </c>
      <c r="BI142" s="173">
        <f t="shared" si="58"/>
        <v>0</v>
      </c>
      <c r="BJ142" s="173">
        <f t="shared" si="58"/>
        <v>0</v>
      </c>
      <c r="BK142" s="173">
        <f t="shared" si="58"/>
        <v>0</v>
      </c>
      <c r="BL142" s="173">
        <f t="shared" si="58"/>
        <v>0</v>
      </c>
      <c r="BM142" s="173">
        <f t="shared" si="58"/>
        <v>0</v>
      </c>
      <c r="BN142" s="173">
        <f t="shared" si="58"/>
        <v>0</v>
      </c>
      <c r="BO142" s="173">
        <f t="shared" si="58"/>
        <v>0</v>
      </c>
      <c r="BP142" s="173">
        <f t="shared" si="58"/>
        <v>1</v>
      </c>
      <c r="BQ142" s="173">
        <f t="shared" si="58"/>
        <v>2</v>
      </c>
      <c r="BR142" s="173">
        <f t="shared" si="58"/>
        <v>2</v>
      </c>
      <c r="BS142" s="173">
        <f t="shared" si="58"/>
        <v>2</v>
      </c>
      <c r="BZ142" s="19" t="s">
        <v>817</v>
      </c>
      <c r="CB142" s="173">
        <f>COUNTIF(CB$132:CB$141,23)</f>
        <v>1</v>
      </c>
      <c r="CC142" s="173">
        <f>COUNTIF(CC$132:CC$141,23)</f>
        <v>1</v>
      </c>
      <c r="CD142" s="173">
        <f t="shared" ref="CD142:CY142" si="59">COUNTIF(CD$132:CD$141,23)</f>
        <v>1</v>
      </c>
      <c r="CE142" s="173">
        <f t="shared" si="59"/>
        <v>1</v>
      </c>
      <c r="CF142" s="173">
        <f t="shared" si="59"/>
        <v>1</v>
      </c>
      <c r="CG142" s="173">
        <f t="shared" si="59"/>
        <v>1</v>
      </c>
      <c r="CH142" s="173">
        <f t="shared" si="59"/>
        <v>0</v>
      </c>
      <c r="CI142" s="173">
        <f t="shared" si="59"/>
        <v>0</v>
      </c>
      <c r="CJ142" s="173">
        <f t="shared" si="59"/>
        <v>0</v>
      </c>
      <c r="CK142" s="173">
        <f t="shared" si="59"/>
        <v>0</v>
      </c>
      <c r="CL142" s="173">
        <f t="shared" si="59"/>
        <v>0</v>
      </c>
      <c r="CM142" s="173">
        <f t="shared" si="59"/>
        <v>0</v>
      </c>
      <c r="CN142" s="173">
        <f t="shared" si="59"/>
        <v>0</v>
      </c>
      <c r="CO142" s="173">
        <f t="shared" si="59"/>
        <v>0</v>
      </c>
      <c r="CP142" s="173">
        <f t="shared" si="59"/>
        <v>0</v>
      </c>
      <c r="CQ142" s="173">
        <f t="shared" si="59"/>
        <v>0</v>
      </c>
      <c r="CR142" s="173">
        <f t="shared" si="59"/>
        <v>0</v>
      </c>
      <c r="CS142" s="173">
        <f t="shared" si="59"/>
        <v>0</v>
      </c>
      <c r="CT142" s="173">
        <f t="shared" si="59"/>
        <v>0</v>
      </c>
      <c r="CU142" s="173">
        <f t="shared" si="59"/>
        <v>0</v>
      </c>
      <c r="CV142" s="173">
        <f t="shared" si="59"/>
        <v>0</v>
      </c>
      <c r="CW142" s="173">
        <f t="shared" si="59"/>
        <v>0</v>
      </c>
      <c r="CX142" s="173">
        <f t="shared" si="59"/>
        <v>1</v>
      </c>
      <c r="CY142" s="173">
        <f t="shared" si="59"/>
        <v>1</v>
      </c>
      <c r="DC142" s="19" t="s">
        <v>817</v>
      </c>
      <c r="DE142" s="173">
        <f>COUNTIF(DE$132:DE$141,23)</f>
        <v>0</v>
      </c>
      <c r="DF142" s="173">
        <f>COUNTIF(DF$132:DF$141,23)</f>
        <v>0</v>
      </c>
      <c r="DG142" s="173">
        <f t="shared" ref="DG142:EB142" si="60">COUNTIF(DG$132:DG$141,23)</f>
        <v>0</v>
      </c>
      <c r="DH142" s="173">
        <f t="shared" si="60"/>
        <v>0</v>
      </c>
      <c r="DI142" s="173">
        <f t="shared" si="60"/>
        <v>0</v>
      </c>
      <c r="DJ142" s="173">
        <f t="shared" si="60"/>
        <v>0</v>
      </c>
      <c r="DK142" s="173">
        <f t="shared" si="60"/>
        <v>0</v>
      </c>
      <c r="DL142" s="173">
        <f t="shared" si="60"/>
        <v>0</v>
      </c>
      <c r="DM142" s="173">
        <f t="shared" si="60"/>
        <v>0</v>
      </c>
      <c r="DN142" s="173">
        <f t="shared" si="60"/>
        <v>0</v>
      </c>
      <c r="DO142" s="173">
        <f t="shared" si="60"/>
        <v>0</v>
      </c>
      <c r="DP142" s="173">
        <f t="shared" si="60"/>
        <v>0</v>
      </c>
      <c r="DQ142" s="173">
        <f t="shared" si="60"/>
        <v>0</v>
      </c>
      <c r="DR142" s="173">
        <f t="shared" si="60"/>
        <v>0</v>
      </c>
      <c r="DS142" s="173">
        <f t="shared" si="60"/>
        <v>0</v>
      </c>
      <c r="DT142" s="173">
        <f t="shared" si="60"/>
        <v>0</v>
      </c>
      <c r="DU142" s="173">
        <f t="shared" si="60"/>
        <v>0</v>
      </c>
      <c r="DV142" s="173">
        <f t="shared" si="60"/>
        <v>0</v>
      </c>
      <c r="DW142" s="173">
        <f t="shared" si="60"/>
        <v>0</v>
      </c>
      <c r="DX142" s="173">
        <f t="shared" si="60"/>
        <v>0</v>
      </c>
      <c r="DY142" s="173">
        <f t="shared" si="60"/>
        <v>0</v>
      </c>
      <c r="DZ142" s="173">
        <f t="shared" si="60"/>
        <v>0</v>
      </c>
      <c r="EA142" s="173">
        <f t="shared" si="60"/>
        <v>0</v>
      </c>
      <c r="EB142" s="173">
        <f t="shared" si="60"/>
        <v>0</v>
      </c>
    </row>
    <row r="143" spans="1:132" x14ac:dyDescent="0.25">
      <c r="B143" s="32" t="s">
        <v>1238</v>
      </c>
      <c r="C143" s="173">
        <f>G151+G153</f>
        <v>3</v>
      </c>
      <c r="D143" s="263">
        <f t="shared" si="50"/>
        <v>2.8802992518703241</v>
      </c>
      <c r="AT143" s="19" t="s">
        <v>820</v>
      </c>
      <c r="AV143" s="173">
        <f>COUNTIF(AV$132:AV$141,13)</f>
        <v>0</v>
      </c>
      <c r="AW143" s="173">
        <f t="shared" ref="AW143:BS143" si="61">COUNTIF(AW$132:AW$141,13)</f>
        <v>0</v>
      </c>
      <c r="AX143" s="173">
        <f t="shared" si="61"/>
        <v>0</v>
      </c>
      <c r="AY143" s="173">
        <f t="shared" si="61"/>
        <v>0</v>
      </c>
      <c r="AZ143" s="173">
        <f t="shared" si="61"/>
        <v>0</v>
      </c>
      <c r="BA143" s="173">
        <f t="shared" si="61"/>
        <v>0</v>
      </c>
      <c r="BB143" s="173">
        <f t="shared" si="61"/>
        <v>0</v>
      </c>
      <c r="BC143" s="173">
        <f t="shared" si="61"/>
        <v>0</v>
      </c>
      <c r="BD143" s="173">
        <f t="shared" si="61"/>
        <v>0</v>
      </c>
      <c r="BE143" s="173">
        <f t="shared" si="61"/>
        <v>0</v>
      </c>
      <c r="BF143" s="173">
        <f t="shared" si="61"/>
        <v>0</v>
      </c>
      <c r="BG143" s="173">
        <f t="shared" si="61"/>
        <v>0</v>
      </c>
      <c r="BH143" s="173">
        <f t="shared" si="61"/>
        <v>0</v>
      </c>
      <c r="BI143" s="173">
        <f t="shared" si="61"/>
        <v>0</v>
      </c>
      <c r="BJ143" s="173">
        <f t="shared" si="61"/>
        <v>0</v>
      </c>
      <c r="BK143" s="173">
        <f t="shared" si="61"/>
        <v>0</v>
      </c>
      <c r="BL143" s="173">
        <f t="shared" si="61"/>
        <v>0</v>
      </c>
      <c r="BM143" s="173">
        <f t="shared" si="61"/>
        <v>0</v>
      </c>
      <c r="BN143" s="173">
        <f t="shared" si="61"/>
        <v>0</v>
      </c>
      <c r="BO143" s="173">
        <f t="shared" si="61"/>
        <v>0</v>
      </c>
      <c r="BP143" s="173">
        <f t="shared" si="61"/>
        <v>0</v>
      </c>
      <c r="BQ143" s="173">
        <f t="shared" si="61"/>
        <v>0</v>
      </c>
      <c r="BR143" s="173">
        <f t="shared" si="61"/>
        <v>0</v>
      </c>
      <c r="BS143" s="173">
        <f t="shared" si="61"/>
        <v>0</v>
      </c>
      <c r="BZ143" s="19" t="s">
        <v>820</v>
      </c>
      <c r="CB143" s="173">
        <f>COUNTIF(CB$132:CB$141,13)</f>
        <v>0</v>
      </c>
      <c r="CC143" s="173">
        <f t="shared" ref="CC143:CY143" si="62">COUNTIF(CC$132:CC$141,13)</f>
        <v>0</v>
      </c>
      <c r="CD143" s="173">
        <f t="shared" si="62"/>
        <v>0</v>
      </c>
      <c r="CE143" s="173">
        <f t="shared" si="62"/>
        <v>0</v>
      </c>
      <c r="CF143" s="173">
        <f t="shared" si="62"/>
        <v>0</v>
      </c>
      <c r="CG143" s="173">
        <f t="shared" si="62"/>
        <v>0</v>
      </c>
      <c r="CH143" s="173">
        <f t="shared" si="62"/>
        <v>0</v>
      </c>
      <c r="CI143" s="173">
        <f t="shared" si="62"/>
        <v>0</v>
      </c>
      <c r="CJ143" s="173">
        <f t="shared" si="62"/>
        <v>0</v>
      </c>
      <c r="CK143" s="173">
        <f t="shared" si="62"/>
        <v>0</v>
      </c>
      <c r="CL143" s="173">
        <f t="shared" si="62"/>
        <v>0</v>
      </c>
      <c r="CM143" s="173">
        <f t="shared" si="62"/>
        <v>0</v>
      </c>
      <c r="CN143" s="173">
        <f t="shared" si="62"/>
        <v>0</v>
      </c>
      <c r="CO143" s="173">
        <f t="shared" si="62"/>
        <v>0</v>
      </c>
      <c r="CP143" s="173">
        <f t="shared" si="62"/>
        <v>0</v>
      </c>
      <c r="CQ143" s="173">
        <f t="shared" si="62"/>
        <v>0</v>
      </c>
      <c r="CR143" s="173">
        <f t="shared" si="62"/>
        <v>0</v>
      </c>
      <c r="CS143" s="173">
        <f t="shared" si="62"/>
        <v>0</v>
      </c>
      <c r="CT143" s="173">
        <f t="shared" si="62"/>
        <v>0</v>
      </c>
      <c r="CU143" s="173">
        <f t="shared" si="62"/>
        <v>0</v>
      </c>
      <c r="CV143" s="173">
        <f t="shared" si="62"/>
        <v>0</v>
      </c>
      <c r="CW143" s="173">
        <f t="shared" si="62"/>
        <v>0</v>
      </c>
      <c r="CX143" s="173">
        <f t="shared" si="62"/>
        <v>0</v>
      </c>
      <c r="CY143" s="173">
        <f t="shared" si="62"/>
        <v>0</v>
      </c>
      <c r="DC143" s="19" t="s">
        <v>820</v>
      </c>
      <c r="DE143" s="173">
        <f>COUNTIF(DE$132:DE$141,13)</f>
        <v>0</v>
      </c>
      <c r="DF143" s="173">
        <f t="shared" ref="DF143:EB143" si="63">COUNTIF(DF$132:DF$141,13)</f>
        <v>0</v>
      </c>
      <c r="DG143" s="173">
        <f t="shared" si="63"/>
        <v>0</v>
      </c>
      <c r="DH143" s="173">
        <f t="shared" si="63"/>
        <v>0</v>
      </c>
      <c r="DI143" s="173">
        <f t="shared" si="63"/>
        <v>0</v>
      </c>
      <c r="DJ143" s="173">
        <f t="shared" si="63"/>
        <v>0</v>
      </c>
      <c r="DK143" s="173">
        <f t="shared" si="63"/>
        <v>0</v>
      </c>
      <c r="DL143" s="173">
        <f t="shared" si="63"/>
        <v>0</v>
      </c>
      <c r="DM143" s="173">
        <f t="shared" si="63"/>
        <v>0</v>
      </c>
      <c r="DN143" s="173">
        <f t="shared" si="63"/>
        <v>0</v>
      </c>
      <c r="DO143" s="173">
        <f t="shared" si="63"/>
        <v>0</v>
      </c>
      <c r="DP143" s="173">
        <f t="shared" si="63"/>
        <v>0</v>
      </c>
      <c r="DQ143" s="173">
        <f t="shared" si="63"/>
        <v>0</v>
      </c>
      <c r="DR143" s="173">
        <f t="shared" si="63"/>
        <v>0</v>
      </c>
      <c r="DS143" s="173">
        <f t="shared" si="63"/>
        <v>0</v>
      </c>
      <c r="DT143" s="173">
        <f t="shared" si="63"/>
        <v>0</v>
      </c>
      <c r="DU143" s="173">
        <f t="shared" si="63"/>
        <v>0</v>
      </c>
      <c r="DV143" s="173">
        <f t="shared" si="63"/>
        <v>0</v>
      </c>
      <c r="DW143" s="173">
        <f t="shared" si="63"/>
        <v>0</v>
      </c>
      <c r="DX143" s="173">
        <f t="shared" si="63"/>
        <v>0</v>
      </c>
      <c r="DY143" s="173">
        <f t="shared" si="63"/>
        <v>0</v>
      </c>
      <c r="DZ143" s="173">
        <f t="shared" si="63"/>
        <v>0</v>
      </c>
      <c r="EA143" s="173">
        <f t="shared" si="63"/>
        <v>0</v>
      </c>
      <c r="EB143" s="173">
        <f t="shared" si="63"/>
        <v>0</v>
      </c>
    </row>
    <row r="144" spans="1:132" x14ac:dyDescent="0.25">
      <c r="B144" s="32" t="s">
        <v>1239</v>
      </c>
      <c r="C144" s="173">
        <f>G152+G154</f>
        <v>0</v>
      </c>
      <c r="D144" s="263">
        <f t="shared" si="50"/>
        <v>0</v>
      </c>
      <c r="AT144" s="19" t="s">
        <v>822</v>
      </c>
      <c r="AV144" s="173">
        <f>COUNTIF(AV$132:AV$141,22)</f>
        <v>2</v>
      </c>
      <c r="AW144" s="173">
        <f t="shared" ref="AW144:BS144" si="64">COUNTIF(AW$132:AW$141,22)</f>
        <v>2</v>
      </c>
      <c r="AX144" s="173">
        <f t="shared" si="64"/>
        <v>2</v>
      </c>
      <c r="AY144" s="173">
        <f t="shared" si="64"/>
        <v>3</v>
      </c>
      <c r="AZ144" s="173">
        <f t="shared" si="64"/>
        <v>3</v>
      </c>
      <c r="BA144" s="173">
        <f t="shared" si="64"/>
        <v>4</v>
      </c>
      <c r="BB144" s="173">
        <f t="shared" si="64"/>
        <v>4</v>
      </c>
      <c r="BC144" s="173">
        <f t="shared" si="64"/>
        <v>4</v>
      </c>
      <c r="BD144" s="173">
        <f t="shared" si="64"/>
        <v>4</v>
      </c>
      <c r="BE144" s="173">
        <f t="shared" si="64"/>
        <v>2</v>
      </c>
      <c r="BF144" s="173">
        <f t="shared" si="64"/>
        <v>2</v>
      </c>
      <c r="BG144" s="173">
        <f t="shared" si="64"/>
        <v>1</v>
      </c>
      <c r="BH144" s="173">
        <f t="shared" si="64"/>
        <v>1</v>
      </c>
      <c r="BI144" s="173">
        <f t="shared" si="64"/>
        <v>1</v>
      </c>
      <c r="BJ144" s="173">
        <f t="shared" si="64"/>
        <v>1</v>
      </c>
      <c r="BK144" s="173">
        <f t="shared" si="64"/>
        <v>1</v>
      </c>
      <c r="BL144" s="173">
        <f t="shared" si="64"/>
        <v>1</v>
      </c>
      <c r="BM144" s="173">
        <f t="shared" si="64"/>
        <v>1</v>
      </c>
      <c r="BN144" s="173">
        <f t="shared" si="64"/>
        <v>2</v>
      </c>
      <c r="BO144" s="173">
        <f t="shared" si="64"/>
        <v>3</v>
      </c>
      <c r="BP144" s="173">
        <f t="shared" si="64"/>
        <v>2</v>
      </c>
      <c r="BQ144" s="173">
        <f t="shared" si="64"/>
        <v>2</v>
      </c>
      <c r="BR144" s="173">
        <f t="shared" si="64"/>
        <v>2</v>
      </c>
      <c r="BS144" s="173">
        <f t="shared" si="64"/>
        <v>2</v>
      </c>
      <c r="BZ144" s="19" t="s">
        <v>822</v>
      </c>
      <c r="CB144" s="173">
        <f>COUNTIF(CB$132:CB$141,22)</f>
        <v>0</v>
      </c>
      <c r="CC144" s="173">
        <f t="shared" ref="CC144:CY144" si="65">COUNTIF(CC$132:CC$141,22)</f>
        <v>0</v>
      </c>
      <c r="CD144" s="173">
        <f t="shared" si="65"/>
        <v>0</v>
      </c>
      <c r="CE144" s="173">
        <f t="shared" si="65"/>
        <v>0</v>
      </c>
      <c r="CF144" s="173">
        <f t="shared" si="65"/>
        <v>0</v>
      </c>
      <c r="CG144" s="173">
        <f t="shared" si="65"/>
        <v>0</v>
      </c>
      <c r="CH144" s="173">
        <f t="shared" si="65"/>
        <v>1</v>
      </c>
      <c r="CI144" s="173">
        <f t="shared" si="65"/>
        <v>1</v>
      </c>
      <c r="CJ144" s="173">
        <f t="shared" si="65"/>
        <v>1</v>
      </c>
      <c r="CK144" s="173">
        <f t="shared" si="65"/>
        <v>1</v>
      </c>
      <c r="CL144" s="173">
        <f t="shared" si="65"/>
        <v>0</v>
      </c>
      <c r="CM144" s="173">
        <f t="shared" si="65"/>
        <v>0</v>
      </c>
      <c r="CN144" s="173">
        <f t="shared" si="65"/>
        <v>0</v>
      </c>
      <c r="CO144" s="173">
        <f t="shared" si="65"/>
        <v>0</v>
      </c>
      <c r="CP144" s="173">
        <f t="shared" si="65"/>
        <v>0</v>
      </c>
      <c r="CQ144" s="173">
        <f t="shared" si="65"/>
        <v>0</v>
      </c>
      <c r="CR144" s="173">
        <f t="shared" si="65"/>
        <v>0</v>
      </c>
      <c r="CS144" s="173">
        <f t="shared" si="65"/>
        <v>0</v>
      </c>
      <c r="CT144" s="173">
        <f t="shared" si="65"/>
        <v>1</v>
      </c>
      <c r="CU144" s="173">
        <f t="shared" si="65"/>
        <v>1</v>
      </c>
      <c r="CV144" s="173">
        <f t="shared" si="65"/>
        <v>2</v>
      </c>
      <c r="CW144" s="173">
        <f t="shared" si="65"/>
        <v>2</v>
      </c>
      <c r="CX144" s="173">
        <f t="shared" si="65"/>
        <v>0</v>
      </c>
      <c r="CY144" s="173">
        <f t="shared" si="65"/>
        <v>0</v>
      </c>
      <c r="DC144" s="19" t="s">
        <v>822</v>
      </c>
      <c r="DE144" s="173">
        <f>COUNTIF(DE$132:DE$141,22)</f>
        <v>0</v>
      </c>
      <c r="DF144" s="173">
        <f t="shared" ref="DF144:EB144" si="66">COUNTIF(DF$132:DF$141,22)</f>
        <v>0</v>
      </c>
      <c r="DG144" s="173">
        <f t="shared" si="66"/>
        <v>0</v>
      </c>
      <c r="DH144" s="173">
        <f t="shared" si="66"/>
        <v>0</v>
      </c>
      <c r="DI144" s="173">
        <f t="shared" si="66"/>
        <v>0</v>
      </c>
      <c r="DJ144" s="173">
        <f t="shared" si="66"/>
        <v>0</v>
      </c>
      <c r="DK144" s="173">
        <f t="shared" si="66"/>
        <v>0</v>
      </c>
      <c r="DL144" s="173">
        <f t="shared" si="66"/>
        <v>0</v>
      </c>
      <c r="DM144" s="173">
        <f t="shared" si="66"/>
        <v>0</v>
      </c>
      <c r="DN144" s="173">
        <f t="shared" si="66"/>
        <v>0</v>
      </c>
      <c r="DO144" s="173">
        <f t="shared" si="66"/>
        <v>0</v>
      </c>
      <c r="DP144" s="173">
        <f t="shared" si="66"/>
        <v>0</v>
      </c>
      <c r="DQ144" s="173">
        <f t="shared" si="66"/>
        <v>0</v>
      </c>
      <c r="DR144" s="173">
        <f t="shared" si="66"/>
        <v>0</v>
      </c>
      <c r="DS144" s="173">
        <f t="shared" si="66"/>
        <v>0</v>
      </c>
      <c r="DT144" s="173">
        <f t="shared" si="66"/>
        <v>0</v>
      </c>
      <c r="DU144" s="173">
        <f t="shared" si="66"/>
        <v>0</v>
      </c>
      <c r="DV144" s="173">
        <f t="shared" si="66"/>
        <v>0</v>
      </c>
      <c r="DW144" s="173">
        <f t="shared" si="66"/>
        <v>0</v>
      </c>
      <c r="DX144" s="173">
        <f t="shared" si="66"/>
        <v>0</v>
      </c>
      <c r="DY144" s="173">
        <f t="shared" si="66"/>
        <v>0</v>
      </c>
      <c r="DZ144" s="173">
        <f t="shared" si="66"/>
        <v>0</v>
      </c>
      <c r="EA144" s="173">
        <f>COUNTIF(EA$132:EA$141,22)</f>
        <v>0</v>
      </c>
      <c r="EB144" s="173">
        <f t="shared" si="66"/>
        <v>0</v>
      </c>
    </row>
    <row r="145" spans="1:132" x14ac:dyDescent="0.25">
      <c r="B145" s="32" t="s">
        <v>1240</v>
      </c>
      <c r="C145" s="173">
        <f>G155+G156</f>
        <v>0</v>
      </c>
      <c r="D145" s="263">
        <f t="shared" si="50"/>
        <v>0</v>
      </c>
      <c r="AT145" s="19" t="s">
        <v>824</v>
      </c>
      <c r="AV145" s="173">
        <f>COUNTIF(AV$132:AV$141,12)</f>
        <v>0</v>
      </c>
      <c r="AW145" s="173">
        <f t="shared" ref="AW145:BS145" si="67">COUNTIF(AW$132:AW$141,12)</f>
        <v>0</v>
      </c>
      <c r="AX145" s="173">
        <f t="shared" si="67"/>
        <v>0</v>
      </c>
      <c r="AY145" s="173">
        <f t="shared" si="67"/>
        <v>0</v>
      </c>
      <c r="AZ145" s="173">
        <f t="shared" si="67"/>
        <v>0</v>
      </c>
      <c r="BA145" s="173">
        <f t="shared" si="67"/>
        <v>0</v>
      </c>
      <c r="BB145" s="173">
        <f t="shared" si="67"/>
        <v>0</v>
      </c>
      <c r="BC145" s="173">
        <f t="shared" si="67"/>
        <v>0</v>
      </c>
      <c r="BD145" s="173">
        <f t="shared" si="67"/>
        <v>0</v>
      </c>
      <c r="BE145" s="173">
        <f t="shared" si="67"/>
        <v>0</v>
      </c>
      <c r="BF145" s="173">
        <f t="shared" si="67"/>
        <v>0</v>
      </c>
      <c r="BG145" s="173">
        <f t="shared" si="67"/>
        <v>0</v>
      </c>
      <c r="BH145" s="173">
        <f t="shared" si="67"/>
        <v>0</v>
      </c>
      <c r="BI145" s="173">
        <f t="shared" si="67"/>
        <v>0</v>
      </c>
      <c r="BJ145" s="173">
        <f t="shared" si="67"/>
        <v>0</v>
      </c>
      <c r="BK145" s="173">
        <f t="shared" si="67"/>
        <v>0</v>
      </c>
      <c r="BL145" s="173">
        <f t="shared" si="67"/>
        <v>0</v>
      </c>
      <c r="BM145" s="173">
        <f t="shared" si="67"/>
        <v>0</v>
      </c>
      <c r="BN145" s="173">
        <f t="shared" si="67"/>
        <v>0</v>
      </c>
      <c r="BO145" s="173">
        <f t="shared" si="67"/>
        <v>0</v>
      </c>
      <c r="BP145" s="173">
        <f t="shared" si="67"/>
        <v>0</v>
      </c>
      <c r="BQ145" s="173">
        <f t="shared" si="67"/>
        <v>0</v>
      </c>
      <c r="BR145" s="173">
        <f t="shared" si="67"/>
        <v>0</v>
      </c>
      <c r="BS145" s="173">
        <f t="shared" si="67"/>
        <v>0</v>
      </c>
      <c r="BZ145" s="19" t="s">
        <v>824</v>
      </c>
      <c r="CB145" s="173">
        <f>COUNTIF(CB$132:CB$141,12)</f>
        <v>0</v>
      </c>
      <c r="CC145" s="173">
        <f t="shared" ref="CC145:CY145" si="68">COUNTIF(CC$132:CC$141,12)</f>
        <v>0</v>
      </c>
      <c r="CD145" s="173">
        <f t="shared" si="68"/>
        <v>0</v>
      </c>
      <c r="CE145" s="173">
        <f t="shared" si="68"/>
        <v>0</v>
      </c>
      <c r="CF145" s="173">
        <f t="shared" si="68"/>
        <v>0</v>
      </c>
      <c r="CG145" s="173">
        <f t="shared" si="68"/>
        <v>0</v>
      </c>
      <c r="CH145" s="173">
        <f t="shared" si="68"/>
        <v>0</v>
      </c>
      <c r="CI145" s="173">
        <f t="shared" si="68"/>
        <v>0</v>
      </c>
      <c r="CJ145" s="173">
        <f t="shared" si="68"/>
        <v>0</v>
      </c>
      <c r="CK145" s="173">
        <f t="shared" si="68"/>
        <v>0</v>
      </c>
      <c r="CL145" s="173">
        <f t="shared" si="68"/>
        <v>0</v>
      </c>
      <c r="CM145" s="173">
        <f t="shared" si="68"/>
        <v>0</v>
      </c>
      <c r="CN145" s="173">
        <f t="shared" si="68"/>
        <v>0</v>
      </c>
      <c r="CO145" s="173">
        <f t="shared" si="68"/>
        <v>0</v>
      </c>
      <c r="CP145" s="173">
        <f t="shared" si="68"/>
        <v>0</v>
      </c>
      <c r="CQ145" s="173">
        <f t="shared" si="68"/>
        <v>0</v>
      </c>
      <c r="CR145" s="173">
        <f t="shared" si="68"/>
        <v>0</v>
      </c>
      <c r="CS145" s="173">
        <f t="shared" si="68"/>
        <v>0</v>
      </c>
      <c r="CT145" s="173">
        <f t="shared" si="68"/>
        <v>0</v>
      </c>
      <c r="CU145" s="173">
        <f t="shared" si="68"/>
        <v>0</v>
      </c>
      <c r="CV145" s="173">
        <f t="shared" si="68"/>
        <v>0</v>
      </c>
      <c r="CW145" s="173">
        <f t="shared" si="68"/>
        <v>0</v>
      </c>
      <c r="CX145" s="173">
        <f t="shared" si="68"/>
        <v>0</v>
      </c>
      <c r="CY145" s="173">
        <f t="shared" si="68"/>
        <v>0</v>
      </c>
      <c r="DC145" s="19" t="s">
        <v>824</v>
      </c>
      <c r="DE145" s="173">
        <f>COUNTIF(DE$132:DE$141,12)</f>
        <v>0</v>
      </c>
      <c r="DF145" s="173">
        <f t="shared" ref="DF145:EB145" si="69">COUNTIF(DF$132:DF$141,12)</f>
        <v>0</v>
      </c>
      <c r="DG145" s="173">
        <f t="shared" si="69"/>
        <v>0</v>
      </c>
      <c r="DH145" s="173">
        <f t="shared" si="69"/>
        <v>0</v>
      </c>
      <c r="DI145" s="173">
        <f t="shared" si="69"/>
        <v>0</v>
      </c>
      <c r="DJ145" s="173">
        <f t="shared" si="69"/>
        <v>0</v>
      </c>
      <c r="DK145" s="173">
        <f t="shared" si="69"/>
        <v>0</v>
      </c>
      <c r="DL145" s="173">
        <f t="shared" si="69"/>
        <v>0</v>
      </c>
      <c r="DM145" s="173">
        <f t="shared" si="69"/>
        <v>0</v>
      </c>
      <c r="DN145" s="173">
        <f t="shared" si="69"/>
        <v>0</v>
      </c>
      <c r="DO145" s="173">
        <f t="shared" si="69"/>
        <v>0</v>
      </c>
      <c r="DP145" s="173">
        <f t="shared" si="69"/>
        <v>0</v>
      </c>
      <c r="DQ145" s="173">
        <f t="shared" si="69"/>
        <v>0</v>
      </c>
      <c r="DR145" s="173">
        <f t="shared" si="69"/>
        <v>0</v>
      </c>
      <c r="DS145" s="173">
        <f t="shared" si="69"/>
        <v>0</v>
      </c>
      <c r="DT145" s="173">
        <f t="shared" si="69"/>
        <v>0</v>
      </c>
      <c r="DU145" s="173">
        <f t="shared" si="69"/>
        <v>0</v>
      </c>
      <c r="DV145" s="173">
        <f t="shared" si="69"/>
        <v>0</v>
      </c>
      <c r="DW145" s="173">
        <f t="shared" si="69"/>
        <v>0</v>
      </c>
      <c r="DX145" s="173">
        <f t="shared" si="69"/>
        <v>0</v>
      </c>
      <c r="DY145" s="173">
        <f t="shared" si="69"/>
        <v>0</v>
      </c>
      <c r="DZ145" s="173">
        <f t="shared" si="69"/>
        <v>0</v>
      </c>
      <c r="EA145" s="173">
        <f t="shared" si="69"/>
        <v>0</v>
      </c>
      <c r="EB145" s="173">
        <f t="shared" si="69"/>
        <v>0</v>
      </c>
    </row>
    <row r="146" spans="1:132" x14ac:dyDescent="0.25">
      <c r="B146" s="32" t="s">
        <v>1241</v>
      </c>
      <c r="C146" s="173">
        <f>IF(Troupeau!D3="EQ",'Calcul éco'!D9+'Calcul éco'!D10,0)+IF(Troupeau!C3="EQ",'Calcul éco'!C9+'Calcul éco'!C10,0)</f>
        <v>0</v>
      </c>
      <c r="D146" s="263">
        <f t="shared" si="50"/>
        <v>0</v>
      </c>
      <c r="F146" s="2" t="s">
        <v>1242</v>
      </c>
      <c r="AT146" s="40" t="s">
        <v>826</v>
      </c>
      <c r="AV146" s="62">
        <f>IF(AV142&gt;0,23,IF(AV143&gt;0,13,IF(AV144&gt;0,22,IF(AV145&gt;0,12,0))))</f>
        <v>23</v>
      </c>
      <c r="AW146" s="62">
        <f t="shared" ref="AW146:BS146" si="70">IF(AW142&gt;0,23,IF(AW143&gt;0,13,IF(AW144&gt;0,22,IF(AW145&gt;0,12,0))))</f>
        <v>23</v>
      </c>
      <c r="AX146" s="62">
        <f t="shared" si="70"/>
        <v>23</v>
      </c>
      <c r="AY146" s="62">
        <f t="shared" si="70"/>
        <v>23</v>
      </c>
      <c r="AZ146" s="62">
        <f t="shared" si="70"/>
        <v>23</v>
      </c>
      <c r="BA146" s="62">
        <f t="shared" si="70"/>
        <v>22</v>
      </c>
      <c r="BB146" s="62">
        <f t="shared" si="70"/>
        <v>22</v>
      </c>
      <c r="BC146" s="62">
        <f t="shared" si="70"/>
        <v>22</v>
      </c>
      <c r="BD146" s="62">
        <f t="shared" si="70"/>
        <v>22</v>
      </c>
      <c r="BE146" s="62">
        <f t="shared" si="70"/>
        <v>22</v>
      </c>
      <c r="BF146" s="62">
        <f t="shared" si="70"/>
        <v>22</v>
      </c>
      <c r="BG146" s="62">
        <f t="shared" si="70"/>
        <v>22</v>
      </c>
      <c r="BH146" s="62">
        <f t="shared" si="70"/>
        <v>22</v>
      </c>
      <c r="BI146" s="62">
        <f t="shared" si="70"/>
        <v>22</v>
      </c>
      <c r="BJ146" s="62">
        <f t="shared" si="70"/>
        <v>22</v>
      </c>
      <c r="BK146" s="62">
        <f t="shared" si="70"/>
        <v>22</v>
      </c>
      <c r="BL146" s="62">
        <f t="shared" si="70"/>
        <v>22</v>
      </c>
      <c r="BM146" s="62">
        <f t="shared" si="70"/>
        <v>22</v>
      </c>
      <c r="BN146" s="62">
        <f t="shared" si="70"/>
        <v>22</v>
      </c>
      <c r="BO146" s="62">
        <f t="shared" si="70"/>
        <v>22</v>
      </c>
      <c r="BP146" s="62">
        <f t="shared" si="70"/>
        <v>23</v>
      </c>
      <c r="BQ146" s="62">
        <f t="shared" si="70"/>
        <v>23</v>
      </c>
      <c r="BR146" s="62">
        <f t="shared" si="70"/>
        <v>23</v>
      </c>
      <c r="BS146" s="62">
        <f t="shared" si="70"/>
        <v>23</v>
      </c>
      <c r="BZ146" s="40" t="s">
        <v>826</v>
      </c>
      <c r="CB146" s="62">
        <f>IF(CB142&gt;0,23,IF(CB143&gt;0,13,IF(CB144&gt;0,22,IF(CB145&gt;0,12,0))))</f>
        <v>23</v>
      </c>
      <c r="CC146" s="62">
        <f t="shared" ref="CC146:CY146" si="71">IF(CC142&gt;0,23,IF(CC143&gt;0,13,IF(CC144&gt;0,22,IF(CC145&gt;0,12,0))))</f>
        <v>23</v>
      </c>
      <c r="CD146" s="62">
        <f t="shared" si="71"/>
        <v>23</v>
      </c>
      <c r="CE146" s="62">
        <f t="shared" si="71"/>
        <v>23</v>
      </c>
      <c r="CF146" s="62">
        <f t="shared" si="71"/>
        <v>23</v>
      </c>
      <c r="CG146" s="62">
        <f t="shared" si="71"/>
        <v>23</v>
      </c>
      <c r="CH146" s="62">
        <f t="shared" si="71"/>
        <v>22</v>
      </c>
      <c r="CI146" s="62">
        <f t="shared" si="71"/>
        <v>22</v>
      </c>
      <c r="CJ146" s="62">
        <f t="shared" si="71"/>
        <v>22</v>
      </c>
      <c r="CK146" s="62">
        <f t="shared" si="71"/>
        <v>22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22</v>
      </c>
      <c r="CU146" s="62">
        <f t="shared" si="71"/>
        <v>22</v>
      </c>
      <c r="CV146" s="62">
        <f t="shared" si="71"/>
        <v>22</v>
      </c>
      <c r="CW146" s="62">
        <f t="shared" si="71"/>
        <v>22</v>
      </c>
      <c r="CX146" s="62">
        <f t="shared" si="71"/>
        <v>23</v>
      </c>
      <c r="CY146" s="62">
        <f t="shared" si="71"/>
        <v>23</v>
      </c>
      <c r="DC146" s="40" t="s">
        <v>826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1243</v>
      </c>
      <c r="C147" s="173">
        <f>IF(Troupeau!D3="EQ",'Calcul éco'!D13+'Calcul éco'!D14,0)+IF(Troupeau!C3="EQ",'Calcul éco'!C13+'Calcul éco'!C14,0)</f>
        <v>0</v>
      </c>
      <c r="D147" s="263">
        <f t="shared" si="50"/>
        <v>0</v>
      </c>
      <c r="F147" s="14" t="s">
        <v>1244</v>
      </c>
      <c r="G147">
        <f>IF(Troupeau!B$3="BV",'Calcul éco'!B9,0)</f>
        <v>0</v>
      </c>
      <c r="AT147" s="40" t="s">
        <v>828</v>
      </c>
      <c r="AV147" s="190">
        <f>IF(AV146=0,0,HLOOKUP(AV146,[1]Trav!$C$39:$G$59,$AU$166))</f>
        <v>42</v>
      </c>
      <c r="AW147" s="190">
        <f>IF(AW146=0,0,HLOOKUP(AW146,[1]Trav!$C$39:$G$59,$AU$166))</f>
        <v>42</v>
      </c>
      <c r="AX147" s="190">
        <f>IF(AX146=0,0,HLOOKUP(AX146,[1]Trav!$C$39:$G$59,$AU$166))</f>
        <v>42</v>
      </c>
      <c r="AY147" s="190">
        <f>IF(AY146=0,0,HLOOKUP(AY146,[1]Trav!$C$39:$G$59,$AU$166))</f>
        <v>42</v>
      </c>
      <c r="AZ147" s="190">
        <f>IF(AZ146=0,0,HLOOKUP(AZ146,[1]Trav!$C$39:$G$59,$AU$166))</f>
        <v>42</v>
      </c>
      <c r="BA147" s="190">
        <f>IF(BA146=0,0,HLOOKUP(BA146,[1]Trav!$C$39:$G$59,$AU$166))</f>
        <v>21</v>
      </c>
      <c r="BB147" s="190">
        <f>IF(BB146=0,0,HLOOKUP(BB146,[1]Trav!$C$39:$G$59,$AU$166))</f>
        <v>21</v>
      </c>
      <c r="BC147" s="190">
        <f>IF(BC146=0,0,HLOOKUP(BC146,[1]Trav!$C$39:$G$59,$AU$166))</f>
        <v>21</v>
      </c>
      <c r="BD147" s="190">
        <f>IF(BD146=0,0,HLOOKUP(BD146,[1]Trav!$C$39:$G$59,$AU$166))</f>
        <v>21</v>
      </c>
      <c r="BE147" s="190">
        <f>IF(BE146=0,0,HLOOKUP(BE146,[1]Trav!$C$39:$G$59,$AU$166))</f>
        <v>21</v>
      </c>
      <c r="BF147" s="190">
        <f>IF(BF146=0,0,HLOOKUP(BF146,[1]Trav!$C$39:$G$59,$AU$166))</f>
        <v>21</v>
      </c>
      <c r="BG147" s="190">
        <f>IF(BG146=0,0,HLOOKUP(BG146,[1]Trav!$C$39:$G$59,$AU$166))</f>
        <v>21</v>
      </c>
      <c r="BH147" s="190">
        <f>IF(BH146=0,0,HLOOKUP(BH146,[1]Trav!$C$39:$G$59,$AU$166))</f>
        <v>21</v>
      </c>
      <c r="BI147" s="190">
        <f>IF(BI146=0,0,HLOOKUP(BI146,[1]Trav!$C$39:$G$59,$AU$166))</f>
        <v>21</v>
      </c>
      <c r="BJ147" s="190">
        <f>IF(BJ146=0,0,HLOOKUP(BJ146,[1]Trav!$C$39:$G$59,$AU$166))</f>
        <v>21</v>
      </c>
      <c r="BK147" s="190">
        <f>IF(BK146=0,0,HLOOKUP(BK146,[1]Trav!$C$39:$G$59,$AU$166))</f>
        <v>21</v>
      </c>
      <c r="BL147" s="190">
        <f>IF(BL146=0,0,HLOOKUP(BL146,[1]Trav!$C$39:$G$59,$AU$166))</f>
        <v>21</v>
      </c>
      <c r="BM147" s="190">
        <f>IF(BM146=0,0,HLOOKUP(BM146,[1]Trav!$C$39:$G$59,$AU$166))</f>
        <v>21</v>
      </c>
      <c r="BN147" s="190">
        <f>IF(BN146=0,0,HLOOKUP(BN146,[1]Trav!$C$39:$G$59,$AU$166))</f>
        <v>21</v>
      </c>
      <c r="BO147" s="190">
        <f>IF(BO146=0,0,HLOOKUP(BO146,[1]Trav!$C$39:$G$59,$AU$166))</f>
        <v>21</v>
      </c>
      <c r="BP147" s="190">
        <f>IF(BP146=0,0,HLOOKUP(BP146,[1]Trav!$C$39:$G$59,$AU$166))</f>
        <v>42</v>
      </c>
      <c r="BQ147" s="190">
        <f>IF(BQ146=0,0,HLOOKUP(BQ146,[1]Trav!$C$39:$G$59,$AU$166))</f>
        <v>42</v>
      </c>
      <c r="BR147" s="190">
        <f>IF(BR146=0,0,HLOOKUP(BR146,[1]Trav!$C$39:$G$59,$AU$166))</f>
        <v>42</v>
      </c>
      <c r="BS147" s="190">
        <f>IF(BS146=0,0,HLOOKUP(BS146,[1]Trav!$C$39:$G$59,$AU$166))</f>
        <v>42</v>
      </c>
      <c r="BZ147" s="40" t="s">
        <v>828</v>
      </c>
      <c r="CB147" s="190">
        <f>IF(CB146=0,0,HLOOKUP(CB146,[1]Trav!$C$39:$G$59,$AU$166))</f>
        <v>42</v>
      </c>
      <c r="CC147" s="190">
        <f>IF(CC146=0,0,HLOOKUP(CC146,[1]Trav!$C$39:$G$59,$AU$166))</f>
        <v>42</v>
      </c>
      <c r="CD147" s="190">
        <f>IF(CD146=0,0,HLOOKUP(CD146,[1]Trav!$C$39:$G$59,$AU$166))</f>
        <v>42</v>
      </c>
      <c r="CE147" s="190">
        <f>IF(CE146=0,0,HLOOKUP(CE146,[1]Trav!$C$39:$G$59,$AU$166))</f>
        <v>42</v>
      </c>
      <c r="CF147" s="190">
        <f>IF(CF146=0,0,HLOOKUP(CF146,[1]Trav!$C$39:$G$59,$AU$166))</f>
        <v>42</v>
      </c>
      <c r="CG147" s="190">
        <f>IF(CG146=0,0,HLOOKUP(CG146,[1]Trav!$C$39:$G$59,$AU$166))</f>
        <v>42</v>
      </c>
      <c r="CH147" s="190">
        <f>IF(CH146=0,0,HLOOKUP(CH146,[1]Trav!$C$39:$G$59,$AU$166))</f>
        <v>21</v>
      </c>
      <c r="CI147" s="190">
        <f>IF(CI146=0,0,HLOOKUP(CI146,[1]Trav!$C$39:$G$59,$AU$166))</f>
        <v>21</v>
      </c>
      <c r="CJ147" s="190">
        <f>IF(CJ146=0,0,HLOOKUP(CJ146,[1]Trav!$C$39:$G$59,$AU$166))</f>
        <v>21</v>
      </c>
      <c r="CK147" s="190">
        <f>IF(CK146=0,0,HLOOKUP(CK146,[1]Trav!$C$39:$G$59,$AU$166))</f>
        <v>21</v>
      </c>
      <c r="CL147" s="190">
        <f>IF(CL146=0,0,HLOOKUP(CL146,[1]Trav!$C$39:$G$59,$AU$166))</f>
        <v>0</v>
      </c>
      <c r="CM147" s="190">
        <f>IF(CM146=0,0,HLOOKUP(CM146,[1]Trav!$C$39:$G$59,$AU$166))</f>
        <v>0</v>
      </c>
      <c r="CN147" s="190">
        <f>IF(CN146=0,0,HLOOKUP(CN146,[1]Trav!$C$39:$G$59,$AU$166))</f>
        <v>0</v>
      </c>
      <c r="CO147" s="190">
        <f>IF(CO146=0,0,HLOOKUP(CO146,[1]Trav!$C$39:$G$59,$AU$166))</f>
        <v>0</v>
      </c>
      <c r="CP147" s="190">
        <f>IF(CP146=0,0,HLOOKUP(CP146,[1]Trav!$C$39:$G$59,$AU$166))</f>
        <v>0</v>
      </c>
      <c r="CQ147" s="190">
        <f>IF(CQ146=0,0,HLOOKUP(CQ146,[1]Trav!$C$39:$G$59,$AU$166))</f>
        <v>0</v>
      </c>
      <c r="CR147" s="190">
        <f>IF(CR146=0,0,HLOOKUP(CR146,[1]Trav!$C$39:$G$59,$AU$166))</f>
        <v>0</v>
      </c>
      <c r="CS147" s="190">
        <f>IF(CS146=0,0,HLOOKUP(CS146,[1]Trav!$C$39:$G$59,$AU$166))</f>
        <v>0</v>
      </c>
      <c r="CT147" s="190">
        <f>IF(CT146=0,0,HLOOKUP(CT146,[1]Trav!$C$39:$G$59,$AU$166))</f>
        <v>21</v>
      </c>
      <c r="CU147" s="190">
        <f>IF(CU146=0,0,HLOOKUP(CU146,[1]Trav!$C$39:$G$59,$AU$166))</f>
        <v>21</v>
      </c>
      <c r="CV147" s="190">
        <f>IF(CV146=0,0,HLOOKUP(CV146,[1]Trav!$C$39:$G$59,$AU$166))</f>
        <v>21</v>
      </c>
      <c r="CW147" s="190">
        <f>IF(CW146=0,0,HLOOKUP(CW146,[1]Trav!$C$39:$G$59,$AU$166))</f>
        <v>21</v>
      </c>
      <c r="CX147" s="190">
        <f>IF(CX146=0,0,HLOOKUP(CX146,[1]Trav!$C$39:$G$59,$AU$166))</f>
        <v>42</v>
      </c>
      <c r="CY147" s="190">
        <f>IF(CY146=0,0,HLOOKUP(CY146,[1]Trav!$C$39:$G$59,$AU$166))</f>
        <v>42</v>
      </c>
      <c r="DC147" s="40" t="s">
        <v>828</v>
      </c>
      <c r="DE147" s="190">
        <f>IF(DE146=0,0,HLOOKUP(DE146,[1]Trav!$C$39:$G$59,$AU$166))</f>
        <v>0</v>
      </c>
      <c r="DF147" s="190">
        <f>IF(DF146=0,0,HLOOKUP(DF146,[1]Trav!$C$39:$G$59,$AU$166))</f>
        <v>0</v>
      </c>
      <c r="DG147" s="190">
        <f>IF(DG146=0,0,HLOOKUP(DG146,[1]Trav!$C$39:$G$59,$AU$166))</f>
        <v>0</v>
      </c>
      <c r="DH147" s="190">
        <f>IF(DH146=0,0,HLOOKUP(DH146,[1]Trav!$C$39:$G$59,$AU$166))</f>
        <v>0</v>
      </c>
      <c r="DI147" s="190">
        <f>IF(DI146=0,0,HLOOKUP(DI146,[1]Trav!$C$39:$G$59,$AU$166))</f>
        <v>0</v>
      </c>
      <c r="DJ147" s="190">
        <f>IF(DJ146=0,0,HLOOKUP(DJ146,[1]Trav!$C$39:$G$59,$AU$166))</f>
        <v>0</v>
      </c>
      <c r="DK147" s="190">
        <f>IF(DK146=0,0,HLOOKUP(DK146,[1]Trav!$C$39:$G$59,$AU$166))</f>
        <v>0</v>
      </c>
      <c r="DL147" s="190">
        <f>IF(DL146=0,0,HLOOKUP(DL146,[1]Trav!$C$39:$G$59,$AU$166))</f>
        <v>0</v>
      </c>
      <c r="DM147" s="190">
        <f>IF(DM146=0,0,HLOOKUP(DM146,[1]Trav!$C$39:$G$59,$AU$166))</f>
        <v>0</v>
      </c>
      <c r="DN147" s="190">
        <f>IF(DN146=0,0,HLOOKUP(DN146,[1]Trav!$C$39:$G$59,$AU$166))</f>
        <v>0</v>
      </c>
      <c r="DO147" s="190">
        <f>IF(DO146=0,0,HLOOKUP(DO146,[1]Trav!$C$39:$G$59,$AU$166))</f>
        <v>0</v>
      </c>
      <c r="DP147" s="190">
        <f>IF(DP146=0,0,HLOOKUP(DP146,[1]Trav!$C$39:$G$59,$AU$166))</f>
        <v>0</v>
      </c>
      <c r="DQ147" s="190">
        <f>IF(DQ146=0,0,HLOOKUP(DQ146,[1]Trav!$C$39:$G$59,$AU$166))</f>
        <v>0</v>
      </c>
      <c r="DR147" s="190">
        <f>IF(DR146=0,0,HLOOKUP(DR146,[1]Trav!$C$39:$G$59,$AU$166))</f>
        <v>0</v>
      </c>
      <c r="DS147" s="190">
        <f>IF(DS146=0,0,HLOOKUP(DS146,[1]Trav!$C$39:$G$59,$AU$166))</f>
        <v>0</v>
      </c>
      <c r="DT147" s="190">
        <f>IF(DT146=0,0,HLOOKUP(DT146,[1]Trav!$C$39:$G$59,$AU$166))</f>
        <v>0</v>
      </c>
      <c r="DU147" s="190">
        <f>IF(DU146=0,0,HLOOKUP(DU146,[1]Trav!$C$39:$G$59,$AU$166))</f>
        <v>0</v>
      </c>
      <c r="DV147" s="190">
        <f>IF(DV146=0,0,HLOOKUP(DV146,[1]Trav!$C$39:$G$59,$AU$166))</f>
        <v>0</v>
      </c>
      <c r="DW147" s="190">
        <f>IF(DW146=0,0,HLOOKUP(DW146,[1]Trav!$C$39:$G$59,$AU$166))</f>
        <v>0</v>
      </c>
      <c r="DX147" s="190">
        <f>IF(DX146=0,0,HLOOKUP(DX146,[1]Trav!$C$39:$G$59,$AU$166))</f>
        <v>0</v>
      </c>
      <c r="DY147" s="190">
        <f>IF(DY146=0,0,HLOOKUP(DY146,[1]Trav!$C$39:$G$59,$AU$166))</f>
        <v>0</v>
      </c>
      <c r="DZ147" s="190">
        <f>IF(DZ146=0,0,HLOOKUP(DZ146,[1]Trav!$C$39:$G$59,$AU$166))</f>
        <v>0</v>
      </c>
      <c r="EA147" s="190">
        <f>IF(EA146=0,0,HLOOKUP(EA146,[1]Trav!$C$39:$G$59,$AU$166))</f>
        <v>0</v>
      </c>
      <c r="EB147" s="190">
        <f>IF(EB146=0,0,HLOOKUP(EB146,[1]Trav!$C$39:$G$59,$AU$166))</f>
        <v>0</v>
      </c>
    </row>
    <row r="148" spans="1:132" x14ac:dyDescent="0.25">
      <c r="A148" s="2" t="s">
        <v>1245</v>
      </c>
      <c r="B148" s="14" t="s">
        <v>1246</v>
      </c>
      <c r="C148" s="173">
        <f>IF(Troupeau!B3="OL",'Calcul éco'!B5,0)</f>
        <v>0</v>
      </c>
      <c r="D148" s="263">
        <f t="shared" si="50"/>
        <v>0</v>
      </c>
      <c r="F148" s="14" t="s">
        <v>1247</v>
      </c>
      <c r="G148">
        <f>IF(Troupeau!B$3="BV",'Calcul éco'!B10,0)</f>
        <v>0</v>
      </c>
      <c r="AT148" s="40" t="s">
        <v>829</v>
      </c>
      <c r="AV148" s="190">
        <f>IF(AV146=0,0,HLOOKUP(AV146,[1]Trav!$C$62:$G$82,$AU$166))</f>
        <v>1.75</v>
      </c>
      <c r="AW148" s="190">
        <f>IF(AW146=0,0,HLOOKUP(AW146,[1]Trav!$C$62:$G$82,$AU$166))</f>
        <v>1.75</v>
      </c>
      <c r="AX148" s="190">
        <f>IF(AX146=0,0,HLOOKUP(AX146,[1]Trav!$C$62:$G$82,$AU$166))</f>
        <v>1.75</v>
      </c>
      <c r="AY148" s="190">
        <f>IF(AY146=0,0,HLOOKUP(AY146,[1]Trav!$C$62:$G$82,$AU$166))</f>
        <v>1.75</v>
      </c>
      <c r="AZ148" s="190">
        <f>IF(AZ146=0,0,HLOOKUP(AZ146,[1]Trav!$C$62:$G$82,$AU$166))</f>
        <v>1.75</v>
      </c>
      <c r="BA148" s="190">
        <f>IF(BA146=0,0,HLOOKUP(BA146,[1]Trav!$C$62:$G$82,$AU$166))</f>
        <v>1.75</v>
      </c>
      <c r="BB148" s="190">
        <f>IF(BB146=0,0,HLOOKUP(BB146,[1]Trav!$C$62:$G$82,$AU$166))</f>
        <v>1.75</v>
      </c>
      <c r="BC148" s="190">
        <f>IF(BC146=0,0,HLOOKUP(BC146,[1]Trav!$C$62:$G$82,$AU$166))</f>
        <v>1.75</v>
      </c>
      <c r="BD148" s="190">
        <f>IF(BD146=0,0,HLOOKUP(BD146,[1]Trav!$C$62:$G$82,$AU$166))</f>
        <v>1.75</v>
      </c>
      <c r="BE148" s="190">
        <f>IF(BE146=0,0,HLOOKUP(BE146,[1]Trav!$C$62:$G$82,$AU$166))</f>
        <v>1.75</v>
      </c>
      <c r="BF148" s="190">
        <f>IF(BF146=0,0,HLOOKUP(BF146,[1]Trav!$C$62:$G$82,$AU$166))</f>
        <v>1.75</v>
      </c>
      <c r="BG148" s="190">
        <f>IF(BG146=0,0,HLOOKUP(BG146,[1]Trav!$C$62:$G$82,$AU$166))</f>
        <v>1.75</v>
      </c>
      <c r="BH148" s="190">
        <f>IF(BH146=0,0,HLOOKUP(BH146,[1]Trav!$C$62:$G$82,$AU$166))</f>
        <v>1.75</v>
      </c>
      <c r="BI148" s="190">
        <f>IF(BI146=0,0,HLOOKUP(BI146,[1]Trav!$C$62:$G$82,$AU$166))</f>
        <v>1.75</v>
      </c>
      <c r="BJ148" s="190">
        <f>IF(BJ146=0,0,HLOOKUP(BJ146,[1]Trav!$C$62:$G$82,$AU$166))</f>
        <v>1.75</v>
      </c>
      <c r="BK148" s="190">
        <f>IF(BK146=0,0,HLOOKUP(BK146,[1]Trav!$C$62:$G$82,$AU$166))</f>
        <v>1.75</v>
      </c>
      <c r="BL148" s="190">
        <f>IF(BL146=0,0,HLOOKUP(BL146,[1]Trav!$C$62:$G$82,$AU$166))</f>
        <v>1.75</v>
      </c>
      <c r="BM148" s="190">
        <f>IF(BM146=0,0,HLOOKUP(BM146,[1]Trav!$C$62:$G$82,$AU$166))</f>
        <v>1.75</v>
      </c>
      <c r="BN148" s="190">
        <f>IF(BN146=0,0,HLOOKUP(BN146,[1]Trav!$C$62:$G$82,$AU$166))</f>
        <v>1.75</v>
      </c>
      <c r="BO148" s="190">
        <f>IF(BO146=0,0,HLOOKUP(BO146,[1]Trav!$C$62:$G$82,$AU$166))</f>
        <v>1.75</v>
      </c>
      <c r="BP148" s="190">
        <f>IF(BP146=0,0,HLOOKUP(BP146,[1]Trav!$C$62:$G$82,$AU$166))</f>
        <v>1.75</v>
      </c>
      <c r="BQ148" s="190">
        <f>IF(BQ146=0,0,HLOOKUP(BQ146,[1]Trav!$C$62:$G$82,$AU$166))</f>
        <v>1.75</v>
      </c>
      <c r="BR148" s="190">
        <f>IF(BR146=0,0,HLOOKUP(BR146,[1]Trav!$C$62:$G$82,$AU$166))</f>
        <v>1.75</v>
      </c>
      <c r="BS148" s="190">
        <f>IF(BS146=0,0,HLOOKUP(BS146,[1]Trav!$C$62:$G$82,$AU$166))</f>
        <v>1.75</v>
      </c>
      <c r="BZ148" s="40" t="s">
        <v>829</v>
      </c>
      <c r="CB148" s="190">
        <f>IF(CB146=0,0,HLOOKUP(CB146,[1]Trav!$C$62:$G$82,$AU$166))</f>
        <v>1.75</v>
      </c>
      <c r="CC148" s="190">
        <f>IF(CC146=0,0,HLOOKUP(CC146,[1]Trav!$C$62:$G$82,$AU$166))</f>
        <v>1.75</v>
      </c>
      <c r="CD148" s="190">
        <f>IF(CD146=0,0,HLOOKUP(CD146,[1]Trav!$C$62:$G$82,$AU$166))</f>
        <v>1.75</v>
      </c>
      <c r="CE148" s="190">
        <f>IF(CE146=0,0,HLOOKUP(CE146,[1]Trav!$C$62:$G$82,$AU$166))</f>
        <v>1.75</v>
      </c>
      <c r="CF148" s="190">
        <f>IF(CF146=0,0,HLOOKUP(CF146,[1]Trav!$C$62:$G$82,$AU$166))</f>
        <v>1.75</v>
      </c>
      <c r="CG148" s="190">
        <f>IF(CG146=0,0,HLOOKUP(CG146,[1]Trav!$C$62:$G$82,$AU$166))</f>
        <v>1.75</v>
      </c>
      <c r="CH148" s="190">
        <f>IF(CH146=0,0,HLOOKUP(CH146,[1]Trav!$C$62:$G$82,$AU$166))</f>
        <v>1.75</v>
      </c>
      <c r="CI148" s="190">
        <f>IF(CI146=0,0,HLOOKUP(CI146,[1]Trav!$C$62:$G$82,$AU$166))</f>
        <v>1.75</v>
      </c>
      <c r="CJ148" s="190">
        <f>IF(CJ146=0,0,HLOOKUP(CJ146,[1]Trav!$C$62:$G$82,$AU$166))</f>
        <v>1.75</v>
      </c>
      <c r="CK148" s="190">
        <f>IF(CK146=0,0,HLOOKUP(CK146,[1]Trav!$C$62:$G$82,$AU$166))</f>
        <v>1.75</v>
      </c>
      <c r="CL148" s="190">
        <f>IF(CL146=0,0,HLOOKUP(CL146,[1]Trav!$C$62:$G$82,$AU$166))</f>
        <v>0</v>
      </c>
      <c r="CM148" s="190">
        <f>IF(CM146=0,0,HLOOKUP(CM146,[1]Trav!$C$62:$G$82,$AU$166))</f>
        <v>0</v>
      </c>
      <c r="CN148" s="190">
        <f>IF(CN146=0,0,HLOOKUP(CN146,[1]Trav!$C$62:$G$82,$AU$166))</f>
        <v>0</v>
      </c>
      <c r="CO148" s="190">
        <f>IF(CO146=0,0,HLOOKUP(CO146,[1]Trav!$C$62:$G$82,$AU$166))</f>
        <v>0</v>
      </c>
      <c r="CP148" s="190">
        <f>IF(CP146=0,0,HLOOKUP(CP146,[1]Trav!$C$62:$G$82,$AU$166))</f>
        <v>0</v>
      </c>
      <c r="CQ148" s="190">
        <f>IF(CQ146=0,0,HLOOKUP(CQ146,[1]Trav!$C$62:$G$82,$AU$166))</f>
        <v>0</v>
      </c>
      <c r="CR148" s="190">
        <f>IF(CR146=0,0,HLOOKUP(CR146,[1]Trav!$C$62:$G$82,$AU$166))</f>
        <v>0</v>
      </c>
      <c r="CS148" s="190">
        <f>IF(CS146=0,0,HLOOKUP(CS146,[1]Trav!$C$62:$G$82,$AU$166))</f>
        <v>0</v>
      </c>
      <c r="CT148" s="190">
        <f>IF(CT146=0,0,HLOOKUP(CT146,[1]Trav!$C$62:$G$82,$AU$166))</f>
        <v>1.75</v>
      </c>
      <c r="CU148" s="190">
        <f>IF(CU146=0,0,HLOOKUP(CU146,[1]Trav!$C$62:$G$82,$AU$166))</f>
        <v>1.75</v>
      </c>
      <c r="CV148" s="190">
        <f>IF(CV146=0,0,HLOOKUP(CV146,[1]Trav!$C$62:$G$82,$AU$166))</f>
        <v>1.75</v>
      </c>
      <c r="CW148" s="190">
        <f>IF(CW146=0,0,HLOOKUP(CW146,[1]Trav!$C$62:$G$82,$AU$166))</f>
        <v>1.75</v>
      </c>
      <c r="CX148" s="190">
        <f>IF(CX146=0,0,HLOOKUP(CX146,[1]Trav!$C$62:$G$82,$AU$166))</f>
        <v>1.75</v>
      </c>
      <c r="CY148" s="190">
        <f>IF(CY146=0,0,HLOOKUP(CY146,[1]Trav!$C$62:$G$82,$AU$166))</f>
        <v>1.75</v>
      </c>
      <c r="DC148" s="40" t="s">
        <v>829</v>
      </c>
      <c r="DE148" s="190">
        <f>IF(DE146=0,0,HLOOKUP(DE146,[1]Trav!$C$62:$G$82,$AU$166))</f>
        <v>0</v>
      </c>
      <c r="DF148" s="190">
        <f>IF(DF146=0,0,HLOOKUP(DF146,[1]Trav!$C$62:$G$82,$AU$166))</f>
        <v>0</v>
      </c>
      <c r="DG148" s="190">
        <f>IF(DG146=0,0,HLOOKUP(DG146,[1]Trav!$C$62:$G$82,$AU$166))</f>
        <v>0</v>
      </c>
      <c r="DH148" s="190">
        <f>IF(DH146=0,0,HLOOKUP(DH146,[1]Trav!$C$62:$G$82,$AU$166))</f>
        <v>0</v>
      </c>
      <c r="DI148" s="190">
        <f>IF(DI146=0,0,HLOOKUP(DI146,[1]Trav!$C$62:$G$82,$AU$166))</f>
        <v>0</v>
      </c>
      <c r="DJ148" s="190">
        <f>IF(DJ146=0,0,HLOOKUP(DJ146,[1]Trav!$C$62:$G$82,$AU$166))</f>
        <v>0</v>
      </c>
      <c r="DK148" s="190">
        <f>IF(DK146=0,0,HLOOKUP(DK146,[1]Trav!$C$62:$G$82,$AU$166))</f>
        <v>0</v>
      </c>
      <c r="DL148" s="190">
        <f>IF(DL146=0,0,HLOOKUP(DL146,[1]Trav!$C$62:$G$82,$AU$166))</f>
        <v>0</v>
      </c>
      <c r="DM148" s="190">
        <f>IF(DM146=0,0,HLOOKUP(DM146,[1]Trav!$C$62:$G$82,$AU$166))</f>
        <v>0</v>
      </c>
      <c r="DN148" s="190">
        <f>IF(DN146=0,0,HLOOKUP(DN146,[1]Trav!$C$62:$G$82,$AU$166))</f>
        <v>0</v>
      </c>
      <c r="DO148" s="190">
        <f>IF(DO146=0,0,HLOOKUP(DO146,[1]Trav!$C$62:$G$82,$AU$166))</f>
        <v>0</v>
      </c>
      <c r="DP148" s="190">
        <f>IF(DP146=0,0,HLOOKUP(DP146,[1]Trav!$C$62:$G$82,$AU$166))</f>
        <v>0</v>
      </c>
      <c r="DQ148" s="190">
        <f>IF(DQ146=0,0,HLOOKUP(DQ146,[1]Trav!$C$62:$G$82,$AU$166))</f>
        <v>0</v>
      </c>
      <c r="DR148" s="190">
        <f>IF(DR146=0,0,HLOOKUP(DR146,[1]Trav!$C$62:$G$82,$AU$166))</f>
        <v>0</v>
      </c>
      <c r="DS148" s="190">
        <f>IF(DS146=0,0,HLOOKUP(DS146,[1]Trav!$C$62:$G$82,$AU$166))</f>
        <v>0</v>
      </c>
      <c r="DT148" s="190">
        <f>IF(DT146=0,0,HLOOKUP(DT146,[1]Trav!$C$62:$G$82,$AU$166))</f>
        <v>0</v>
      </c>
      <c r="DU148" s="190">
        <f>IF(DU146=0,0,HLOOKUP(DU146,[1]Trav!$C$62:$G$82,$AU$166))</f>
        <v>0</v>
      </c>
      <c r="DV148" s="190">
        <f>IF(DV146=0,0,HLOOKUP(DV146,[1]Trav!$C$62:$G$82,$AU$166))</f>
        <v>0</v>
      </c>
      <c r="DW148" s="190">
        <f>IF(DW146=0,0,HLOOKUP(DW146,[1]Trav!$C$62:$G$82,$AU$166))</f>
        <v>0</v>
      </c>
      <c r="DX148" s="190">
        <f>IF(DX146=0,0,HLOOKUP(DX146,[1]Trav!$C$62:$G$82,$AU$166))</f>
        <v>0</v>
      </c>
      <c r="DY148" s="190">
        <f>IF(DY146=0,0,HLOOKUP(DY146,[1]Trav!$C$62:$G$82,$AU$166))</f>
        <v>0</v>
      </c>
      <c r="DZ148" s="190">
        <f>IF(DZ146=0,0,HLOOKUP(DZ146,[1]Trav!$C$62:$G$82,$AU$166))</f>
        <v>0</v>
      </c>
      <c r="EA148" s="190">
        <f>IF(EA146=0,0,HLOOKUP(EA146,[1]Trav!$C$62:$G$82,$AU$166))</f>
        <v>0</v>
      </c>
      <c r="EB148" s="190">
        <f>IF(EB146=0,0,HLOOKUP(EB146,[1]Trav!$C$62:$G$82,$AU$166))</f>
        <v>0</v>
      </c>
    </row>
    <row r="149" spans="1:132" x14ac:dyDescent="0.25">
      <c r="B149" s="14" t="s">
        <v>1248</v>
      </c>
      <c r="C149" s="173">
        <f>IF(Troupeau!B3="OL",'Calcul éco'!B6,0)</f>
        <v>37947</v>
      </c>
      <c r="D149" s="263">
        <f t="shared" si="50"/>
        <v>36432.905236907733</v>
      </c>
      <c r="F149" s="14" t="s">
        <v>1249</v>
      </c>
      <c r="G149">
        <f>IF(Troupeau!C$3="BV",'Calcul éco'!C9,0)</f>
        <v>6.5</v>
      </c>
      <c r="AV149" s="273"/>
      <c r="AW149" s="273"/>
      <c r="AX149" s="273"/>
      <c r="AY149" s="273"/>
      <c r="AZ149" s="273"/>
      <c r="BA149" s="273"/>
      <c r="BB149" s="273"/>
      <c r="BC149" s="273"/>
      <c r="BD149" s="273"/>
      <c r="BE149" s="273"/>
      <c r="BF149" s="273"/>
      <c r="BG149" s="273"/>
      <c r="BH149" s="273"/>
      <c r="BI149" s="273"/>
      <c r="BJ149" s="273"/>
      <c r="BK149" s="273"/>
      <c r="BL149" s="273"/>
      <c r="BM149" s="273"/>
      <c r="BN149" s="273"/>
      <c r="BO149" s="273"/>
      <c r="BP149" s="273"/>
      <c r="BQ149" s="273"/>
      <c r="BR149" s="273"/>
      <c r="BS149" s="273"/>
      <c r="BY149" s="2"/>
      <c r="BZ149" s="40" t="s">
        <v>830</v>
      </c>
      <c r="CB149" s="273"/>
      <c r="CC149" s="273"/>
      <c r="CD149" s="273"/>
      <c r="CE149" s="273"/>
      <c r="CF149" s="273"/>
      <c r="CG149" s="273"/>
      <c r="CH149" s="273"/>
      <c r="CI149" s="273"/>
      <c r="CJ149" s="273"/>
      <c r="CK149" s="273"/>
      <c r="CL149" s="273"/>
      <c r="CM149" s="273"/>
      <c r="CN149" s="273"/>
      <c r="CO149" s="273"/>
      <c r="CP149" s="273"/>
      <c r="CQ149" s="273"/>
      <c r="CR149" s="273"/>
      <c r="CS149" s="273"/>
      <c r="CT149" s="273"/>
      <c r="CU149" s="273"/>
      <c r="CV149" s="273"/>
      <c r="CW149" s="273"/>
      <c r="CX149" s="273"/>
      <c r="CY149" s="273"/>
      <c r="DB149" s="2"/>
      <c r="DE149" s="273"/>
      <c r="DF149" s="273"/>
      <c r="DG149" s="273"/>
      <c r="DH149" s="273"/>
      <c r="DI149" s="273"/>
      <c r="DJ149" s="273"/>
      <c r="DK149" s="273"/>
      <c r="DL149" s="273"/>
      <c r="DM149" s="273"/>
      <c r="DN149" s="273"/>
      <c r="DO149" s="273"/>
      <c r="DP149" s="273"/>
      <c r="DQ149" s="273"/>
      <c r="DR149" s="273"/>
      <c r="DS149" s="273"/>
      <c r="DT149" s="273"/>
      <c r="DU149" s="273"/>
      <c r="DV149" s="273"/>
      <c r="DW149" s="273"/>
      <c r="DX149" s="273"/>
      <c r="DY149" s="273"/>
      <c r="DZ149" s="273"/>
      <c r="EA149" s="273"/>
      <c r="EB149" s="273"/>
    </row>
    <row r="150" spans="1:132" x14ac:dyDescent="0.25">
      <c r="B150" s="14" t="s">
        <v>1250</v>
      </c>
      <c r="C150" s="173">
        <f>IF(Troupeau!B3="BL",'Calcul éco'!B5,0)</f>
        <v>0</v>
      </c>
      <c r="D150" s="263">
        <f t="shared" si="50"/>
        <v>0</v>
      </c>
      <c r="F150" s="14" t="s">
        <v>1251</v>
      </c>
      <c r="G150">
        <f>IF(Troupeau!C$3="BV",'Calcul éco'!C10,0)</f>
        <v>3.5</v>
      </c>
      <c r="AT150" s="40" t="s">
        <v>830</v>
      </c>
      <c r="AV150" s="273"/>
      <c r="AW150" s="273"/>
      <c r="AX150" s="273"/>
      <c r="AY150" s="273"/>
      <c r="AZ150" s="273"/>
      <c r="BA150" s="273"/>
      <c r="BB150" s="273"/>
      <c r="BC150" s="273"/>
      <c r="BD150" s="273"/>
      <c r="BE150" s="273"/>
      <c r="BF150" s="273"/>
      <c r="BG150" s="273"/>
      <c r="BH150" s="273"/>
      <c r="BI150" s="273"/>
      <c r="BJ150" s="273"/>
      <c r="BK150" s="273"/>
      <c r="BL150" s="273"/>
      <c r="BM150" s="273"/>
      <c r="BN150" s="273"/>
      <c r="BO150" s="273"/>
      <c r="BP150" s="273"/>
      <c r="BQ150" s="273"/>
      <c r="BR150" s="273"/>
      <c r="BS150" s="273"/>
      <c r="BY150" s="2"/>
      <c r="BZ150" s="40"/>
      <c r="CB150" s="273"/>
      <c r="CC150" s="273"/>
      <c r="CD150" s="273"/>
      <c r="CE150" s="273"/>
      <c r="CF150" s="273"/>
      <c r="CG150" s="273"/>
      <c r="CH150" s="273"/>
      <c r="CI150" s="273"/>
      <c r="CJ150" s="273"/>
      <c r="CK150" s="273"/>
      <c r="CL150" s="273"/>
      <c r="CM150" s="273"/>
      <c r="CN150" s="273"/>
      <c r="CO150" s="273"/>
      <c r="CP150" s="273"/>
      <c r="CQ150" s="273"/>
      <c r="CR150" s="273"/>
      <c r="CS150" s="273"/>
      <c r="CT150" s="273"/>
      <c r="CU150" s="273"/>
      <c r="CV150" s="273"/>
      <c r="CW150" s="273"/>
      <c r="CX150" s="273"/>
      <c r="CY150" s="273"/>
      <c r="DB150" s="2"/>
      <c r="DC150" s="40" t="s">
        <v>830</v>
      </c>
      <c r="DE150" s="273"/>
      <c r="DF150" s="273"/>
      <c r="DG150" s="273"/>
      <c r="DH150" s="273"/>
      <c r="DI150" s="273"/>
      <c r="DJ150" s="273"/>
      <c r="DK150" s="273"/>
      <c r="DL150" s="273"/>
      <c r="DM150" s="273"/>
      <c r="DN150" s="273"/>
      <c r="DO150" s="273"/>
      <c r="DP150" s="273"/>
      <c r="DQ150" s="273"/>
      <c r="DR150" s="273"/>
      <c r="DS150" s="273"/>
      <c r="DT150" s="273"/>
      <c r="DU150" s="273"/>
      <c r="DV150" s="273"/>
      <c r="DW150" s="273"/>
      <c r="DX150" s="273"/>
      <c r="DY150" s="273"/>
      <c r="DZ150" s="273"/>
      <c r="EA150" s="273"/>
      <c r="EB150" s="273"/>
    </row>
    <row r="151" spans="1:132" x14ac:dyDescent="0.25">
      <c r="A151" s="2" t="s">
        <v>1252</v>
      </c>
      <c r="B151" s="14" t="s">
        <v>1253</v>
      </c>
      <c r="C151" s="173">
        <f>'Calcul éco'!C19</f>
        <v>0</v>
      </c>
      <c r="D151" s="263">
        <f t="shared" si="50"/>
        <v>0</v>
      </c>
      <c r="F151" s="14" t="s">
        <v>1254</v>
      </c>
      <c r="G151">
        <f>IF(Troupeau!B$3="BV",'Calcul éco'!B13,0)</f>
        <v>0</v>
      </c>
      <c r="AT151" s="189" t="str">
        <f t="shared" ref="AT151:AT154" si="73">AT87</f>
        <v>brebis</v>
      </c>
      <c r="AV151" s="173">
        <f t="shared" ref="AV151:BS156" si="74">IF(AV98&gt;1,AV64,0)</f>
        <v>253.80028190393577</v>
      </c>
      <c r="AW151" s="173">
        <f t="shared" si="74"/>
        <v>251.26227908489645</v>
      </c>
      <c r="AX151" s="173">
        <f t="shared" si="74"/>
        <v>248.72427626585707</v>
      </c>
      <c r="AY151" s="173">
        <f t="shared" si="74"/>
        <v>247.45527485633741</v>
      </c>
      <c r="AZ151" s="173">
        <f t="shared" si="74"/>
        <v>246.18627344681769</v>
      </c>
      <c r="BA151" s="173">
        <f t="shared" si="74"/>
        <v>244.91727203729803</v>
      </c>
      <c r="BB151" s="173">
        <f t="shared" si="74"/>
        <v>243.64827062777837</v>
      </c>
      <c r="BC151" s="173">
        <f t="shared" si="74"/>
        <v>242.37926921825868</v>
      </c>
      <c r="BD151" s="173">
        <f t="shared" si="74"/>
        <v>239.84126639921934</v>
      </c>
      <c r="BE151" s="173">
        <f t="shared" si="74"/>
        <v>244.91727203729803</v>
      </c>
      <c r="BF151" s="173">
        <f t="shared" si="74"/>
        <v>244.91727203729803</v>
      </c>
      <c r="BG151" s="173">
        <f t="shared" si="74"/>
        <v>0</v>
      </c>
      <c r="BH151" s="173">
        <f t="shared" si="74"/>
        <v>0</v>
      </c>
      <c r="BI151" s="173">
        <f t="shared" si="74"/>
        <v>0</v>
      </c>
      <c r="BJ151" s="173">
        <f t="shared" si="74"/>
        <v>0</v>
      </c>
      <c r="BK151" s="173">
        <f t="shared" si="74"/>
        <v>0</v>
      </c>
      <c r="BL151" s="173">
        <f t="shared" si="74"/>
        <v>0</v>
      </c>
      <c r="BM151" s="173">
        <f t="shared" si="74"/>
        <v>0</v>
      </c>
      <c r="BN151" s="173">
        <f t="shared" si="74"/>
        <v>244.91727203729803</v>
      </c>
      <c r="BO151" s="173">
        <f t="shared" si="74"/>
        <v>267.75929740865229</v>
      </c>
      <c r="BP151" s="173">
        <f t="shared" si="74"/>
        <v>267.75929740865229</v>
      </c>
      <c r="BQ151" s="173">
        <f t="shared" si="74"/>
        <v>253.80028190393577</v>
      </c>
      <c r="BR151" s="173">
        <f t="shared" si="74"/>
        <v>253.80028190393577</v>
      </c>
      <c r="BS151" s="173">
        <f t="shared" si="74"/>
        <v>253.80028190393577</v>
      </c>
      <c r="BY151" s="2"/>
      <c r="BZ151" s="189" t="str">
        <f t="shared" ref="BZ151:BZ154" si="75">BZ87</f>
        <v xml:space="preserve">vaches </v>
      </c>
      <c r="CB151" s="173">
        <f t="shared" ref="CB151:CY156" si="76">IF(CB98&gt;1,CB64,0)</f>
        <v>13.863840399002493</v>
      </c>
      <c r="CC151" s="173">
        <f t="shared" si="76"/>
        <v>13.863840399002493</v>
      </c>
      <c r="CD151" s="173">
        <f t="shared" si="76"/>
        <v>13.863840399002493</v>
      </c>
      <c r="CE151" s="173">
        <f t="shared" si="76"/>
        <v>13.863840399002493</v>
      </c>
      <c r="CF151" s="173">
        <f t="shared" si="76"/>
        <v>13.863840399002493</v>
      </c>
      <c r="CG151" s="173">
        <f t="shared" si="76"/>
        <v>13.863840399002493</v>
      </c>
      <c r="CH151" s="173">
        <f t="shared" si="76"/>
        <v>13.863840399002493</v>
      </c>
      <c r="CI151" s="173">
        <f t="shared" si="76"/>
        <v>13.863840399002493</v>
      </c>
      <c r="CJ151" s="173">
        <f t="shared" si="76"/>
        <v>13.863840399002493</v>
      </c>
      <c r="CK151" s="173">
        <f t="shared" si="76"/>
        <v>13.863840399002493</v>
      </c>
      <c r="CL151" s="173">
        <f t="shared" si="76"/>
        <v>0</v>
      </c>
      <c r="CM151" s="173">
        <f t="shared" si="76"/>
        <v>0</v>
      </c>
      <c r="CN151" s="173">
        <f t="shared" si="76"/>
        <v>0</v>
      </c>
      <c r="CO151" s="173">
        <f t="shared" si="76"/>
        <v>0</v>
      </c>
      <c r="CP151" s="173">
        <f t="shared" si="76"/>
        <v>0</v>
      </c>
      <c r="CQ151" s="173">
        <f t="shared" si="76"/>
        <v>0</v>
      </c>
      <c r="CR151" s="173">
        <f t="shared" si="76"/>
        <v>0</v>
      </c>
      <c r="CS151" s="173">
        <f t="shared" si="76"/>
        <v>0</v>
      </c>
      <c r="CT151" s="173">
        <f t="shared" si="76"/>
        <v>13.134164588528677</v>
      </c>
      <c r="CU151" s="173">
        <f t="shared" si="76"/>
        <v>13.134164588528677</v>
      </c>
      <c r="CV151" s="173">
        <f t="shared" si="76"/>
        <v>13.863840399002493</v>
      </c>
      <c r="CW151" s="173">
        <f t="shared" si="76"/>
        <v>13.863840399002493</v>
      </c>
      <c r="CX151" s="173">
        <f t="shared" si="76"/>
        <v>13.863840399002493</v>
      </c>
      <c r="CY151" s="173">
        <f t="shared" si="76"/>
        <v>13.863840399002493</v>
      </c>
      <c r="DB151" s="2"/>
      <c r="DC151" s="189" t="str">
        <f t="shared" ref="DC151:DC154" si="77">DC87</f>
        <v>lot1</v>
      </c>
      <c r="DE151" s="173">
        <f t="shared" ref="DE151:EB156" si="78">IF(DE98&gt;1,DE64,0)</f>
        <v>0</v>
      </c>
      <c r="DF151" s="173">
        <f t="shared" si="78"/>
        <v>0</v>
      </c>
      <c r="DG151" s="173">
        <f t="shared" si="78"/>
        <v>0</v>
      </c>
      <c r="DH151" s="173">
        <f t="shared" si="78"/>
        <v>0</v>
      </c>
      <c r="DI151" s="173">
        <f t="shared" si="78"/>
        <v>0</v>
      </c>
      <c r="DJ151" s="173">
        <f t="shared" si="78"/>
        <v>0</v>
      </c>
      <c r="DK151" s="173">
        <f t="shared" si="78"/>
        <v>0</v>
      </c>
      <c r="DL151" s="173">
        <f t="shared" si="78"/>
        <v>0</v>
      </c>
      <c r="DM151" s="173">
        <f t="shared" si="78"/>
        <v>0</v>
      </c>
      <c r="DN151" s="173">
        <f t="shared" si="78"/>
        <v>0</v>
      </c>
      <c r="DO151" s="173">
        <f t="shared" si="78"/>
        <v>0</v>
      </c>
      <c r="DP151" s="173">
        <f t="shared" si="78"/>
        <v>0</v>
      </c>
      <c r="DQ151" s="173">
        <f t="shared" si="78"/>
        <v>0</v>
      </c>
      <c r="DR151" s="173">
        <f t="shared" si="78"/>
        <v>0</v>
      </c>
      <c r="DS151" s="173">
        <f t="shared" si="78"/>
        <v>0</v>
      </c>
      <c r="DT151" s="173">
        <f t="shared" si="78"/>
        <v>0</v>
      </c>
      <c r="DU151" s="173">
        <f t="shared" si="78"/>
        <v>0</v>
      </c>
      <c r="DV151" s="173">
        <f t="shared" si="78"/>
        <v>0</v>
      </c>
      <c r="DW151" s="173">
        <f t="shared" si="78"/>
        <v>0</v>
      </c>
      <c r="DX151" s="173">
        <f t="shared" si="78"/>
        <v>0</v>
      </c>
      <c r="DY151" s="173">
        <f t="shared" si="78"/>
        <v>0</v>
      </c>
      <c r="DZ151" s="173">
        <f t="shared" si="78"/>
        <v>0</v>
      </c>
      <c r="EA151" s="173">
        <f t="shared" si="78"/>
        <v>0</v>
      </c>
      <c r="EB151" s="173">
        <f t="shared" si="78"/>
        <v>0</v>
      </c>
    </row>
    <row r="152" spans="1:132" x14ac:dyDescent="0.25">
      <c r="B152" s="14" t="s">
        <v>1255</v>
      </c>
      <c r="C152" s="173">
        <f>'Calcul éco'!C20</f>
        <v>0</v>
      </c>
      <c r="D152" s="263">
        <f t="shared" si="50"/>
        <v>0</v>
      </c>
      <c r="F152" s="14" t="s">
        <v>1256</v>
      </c>
      <c r="G152">
        <f>IF(Troupeau!B$3="BV",'Calcul éco'!B14,0)</f>
        <v>0</v>
      </c>
      <c r="AT152" s="189" t="str">
        <f t="shared" si="73"/>
        <v>vides</v>
      </c>
      <c r="AV152" s="173">
        <f t="shared" si="74"/>
        <v>24.1110267808739</v>
      </c>
      <c r="AW152" s="173">
        <f t="shared" si="74"/>
        <v>24.1110267808739</v>
      </c>
      <c r="AX152" s="173">
        <f t="shared" si="74"/>
        <v>24.1110267808739</v>
      </c>
      <c r="AY152" s="173">
        <f t="shared" si="74"/>
        <v>24.1110267808739</v>
      </c>
      <c r="AZ152" s="173">
        <f t="shared" si="74"/>
        <v>24.1110267808739</v>
      </c>
      <c r="BA152" s="173">
        <f t="shared" si="74"/>
        <v>24.1110267808739</v>
      </c>
      <c r="BB152" s="173">
        <f t="shared" si="74"/>
        <v>24.1110267808739</v>
      </c>
      <c r="BC152" s="173">
        <f t="shared" si="74"/>
        <v>24.1110267808739</v>
      </c>
      <c r="BD152" s="173">
        <f t="shared" si="74"/>
        <v>24.1110267808739</v>
      </c>
      <c r="BE152" s="173">
        <f t="shared" si="74"/>
        <v>0</v>
      </c>
      <c r="BF152" s="173">
        <f t="shared" si="74"/>
        <v>0</v>
      </c>
      <c r="BG152" s="173">
        <f t="shared" si="74"/>
        <v>0</v>
      </c>
      <c r="BH152" s="173">
        <f t="shared" si="74"/>
        <v>0</v>
      </c>
      <c r="BI152" s="173">
        <f t="shared" si="74"/>
        <v>0</v>
      </c>
      <c r="BJ152" s="173">
        <f t="shared" si="74"/>
        <v>0</v>
      </c>
      <c r="BK152" s="173">
        <f t="shared" si="74"/>
        <v>0</v>
      </c>
      <c r="BL152" s="173">
        <f t="shared" si="74"/>
        <v>0</v>
      </c>
      <c r="BM152" s="173">
        <f t="shared" si="74"/>
        <v>0</v>
      </c>
      <c r="BN152" s="173">
        <f t="shared" si="74"/>
        <v>0</v>
      </c>
      <c r="BO152" s="173">
        <f t="shared" si="74"/>
        <v>24.1110267808739</v>
      </c>
      <c r="BP152" s="173">
        <f t="shared" si="74"/>
        <v>24.1110267808739</v>
      </c>
      <c r="BQ152" s="173">
        <f t="shared" si="74"/>
        <v>24.1110267808739</v>
      </c>
      <c r="BR152" s="173">
        <f t="shared" si="74"/>
        <v>24.1110267808739</v>
      </c>
      <c r="BS152" s="173">
        <f t="shared" si="74"/>
        <v>24.1110267808739</v>
      </c>
      <c r="BY152" s="2"/>
      <c r="BZ152" s="189" t="str">
        <f t="shared" si="75"/>
        <v>genisses -1an</v>
      </c>
      <c r="CB152" s="173">
        <f t="shared" si="76"/>
        <v>0</v>
      </c>
      <c r="CC152" s="173">
        <f t="shared" si="76"/>
        <v>0</v>
      </c>
      <c r="CD152" s="173">
        <f t="shared" si="76"/>
        <v>0</v>
      </c>
      <c r="CE152" s="173">
        <f t="shared" si="76"/>
        <v>0</v>
      </c>
      <c r="CF152" s="173">
        <f t="shared" si="76"/>
        <v>0</v>
      </c>
      <c r="CG152" s="173">
        <f t="shared" si="76"/>
        <v>0</v>
      </c>
      <c r="CH152" s="173">
        <f t="shared" si="76"/>
        <v>0</v>
      </c>
      <c r="CI152" s="173">
        <f t="shared" si="76"/>
        <v>0</v>
      </c>
      <c r="CJ152" s="173">
        <f t="shared" si="76"/>
        <v>0</v>
      </c>
      <c r="CK152" s="173">
        <f t="shared" si="76"/>
        <v>0</v>
      </c>
      <c r="CL152" s="173">
        <f t="shared" si="76"/>
        <v>0</v>
      </c>
      <c r="CM152" s="173">
        <f t="shared" si="76"/>
        <v>0</v>
      </c>
      <c r="CN152" s="173">
        <f t="shared" si="76"/>
        <v>0</v>
      </c>
      <c r="CO152" s="173">
        <f t="shared" si="76"/>
        <v>0</v>
      </c>
      <c r="CP152" s="173">
        <f t="shared" si="76"/>
        <v>0</v>
      </c>
      <c r="CQ152" s="173">
        <f t="shared" si="76"/>
        <v>0</v>
      </c>
      <c r="CR152" s="173">
        <f t="shared" si="76"/>
        <v>0</v>
      </c>
      <c r="CS152" s="173">
        <f t="shared" si="76"/>
        <v>0</v>
      </c>
      <c r="CT152" s="173">
        <f t="shared" si="76"/>
        <v>0</v>
      </c>
      <c r="CU152" s="173">
        <f t="shared" si="76"/>
        <v>0</v>
      </c>
      <c r="CV152" s="173">
        <f t="shared" si="76"/>
        <v>1.4593516209476309</v>
      </c>
      <c r="CW152" s="173">
        <f t="shared" si="76"/>
        <v>0.72967581047381547</v>
      </c>
      <c r="CX152" s="173">
        <f t="shared" si="76"/>
        <v>0</v>
      </c>
      <c r="CY152" s="173">
        <f t="shared" si="76"/>
        <v>0</v>
      </c>
      <c r="DB152" s="2"/>
      <c r="DC152" s="189" t="str">
        <f t="shared" si="77"/>
        <v>lot2</v>
      </c>
      <c r="DE152" s="173">
        <f t="shared" si="78"/>
        <v>0</v>
      </c>
      <c r="DF152" s="173">
        <f t="shared" si="78"/>
        <v>0</v>
      </c>
      <c r="DG152" s="173">
        <f t="shared" si="78"/>
        <v>0</v>
      </c>
      <c r="DH152" s="173">
        <f t="shared" si="78"/>
        <v>0</v>
      </c>
      <c r="DI152" s="173">
        <f t="shared" si="78"/>
        <v>0</v>
      </c>
      <c r="DJ152" s="173">
        <f t="shared" si="78"/>
        <v>0</v>
      </c>
      <c r="DK152" s="173">
        <f t="shared" si="78"/>
        <v>0</v>
      </c>
      <c r="DL152" s="173">
        <f t="shared" si="78"/>
        <v>0</v>
      </c>
      <c r="DM152" s="173">
        <f t="shared" si="78"/>
        <v>0</v>
      </c>
      <c r="DN152" s="173">
        <f t="shared" si="78"/>
        <v>0</v>
      </c>
      <c r="DO152" s="173">
        <f t="shared" si="78"/>
        <v>0</v>
      </c>
      <c r="DP152" s="173">
        <f t="shared" si="78"/>
        <v>0</v>
      </c>
      <c r="DQ152" s="173">
        <f t="shared" si="78"/>
        <v>0</v>
      </c>
      <c r="DR152" s="173">
        <f t="shared" si="78"/>
        <v>0</v>
      </c>
      <c r="DS152" s="173">
        <f t="shared" si="78"/>
        <v>0</v>
      </c>
      <c r="DT152" s="173">
        <f t="shared" si="78"/>
        <v>0</v>
      </c>
      <c r="DU152" s="173">
        <f t="shared" si="78"/>
        <v>0</v>
      </c>
      <c r="DV152" s="173">
        <f t="shared" si="78"/>
        <v>0</v>
      </c>
      <c r="DW152" s="173">
        <f t="shared" si="78"/>
        <v>0</v>
      </c>
      <c r="DX152" s="173">
        <f t="shared" si="78"/>
        <v>0</v>
      </c>
      <c r="DY152" s="173">
        <f t="shared" si="78"/>
        <v>0</v>
      </c>
      <c r="DZ152" s="173">
        <f t="shared" si="78"/>
        <v>0</v>
      </c>
      <c r="EA152" s="173">
        <f t="shared" si="78"/>
        <v>0</v>
      </c>
      <c r="EB152" s="173">
        <f t="shared" si="78"/>
        <v>0</v>
      </c>
    </row>
    <row r="153" spans="1:132" x14ac:dyDescent="0.25">
      <c r="B153" s="14" t="s">
        <v>1257</v>
      </c>
      <c r="C153" s="173">
        <f>'Calcul éco'!C21</f>
        <v>0</v>
      </c>
      <c r="D153" s="263">
        <f t="shared" si="50"/>
        <v>0</v>
      </c>
      <c r="F153" s="14" t="s">
        <v>1258</v>
      </c>
      <c r="G153">
        <f>IF(Troupeau!C$3="BV",'Calcul éco'!C13,0)</f>
        <v>3</v>
      </c>
      <c r="AT153" s="189" t="str">
        <f t="shared" si="73"/>
        <v>agnelles</v>
      </c>
      <c r="AV153" s="173">
        <f t="shared" si="74"/>
        <v>65.988073295023312</v>
      </c>
      <c r="AW153" s="173">
        <f t="shared" si="74"/>
        <v>65.988073295023312</v>
      </c>
      <c r="AX153" s="173">
        <f t="shared" si="74"/>
        <v>65.988073295023312</v>
      </c>
      <c r="AY153" s="173">
        <f t="shared" si="74"/>
        <v>65.988073295023312</v>
      </c>
      <c r="AZ153" s="173">
        <f t="shared" si="74"/>
        <v>65.988073295023312</v>
      </c>
      <c r="BA153" s="173">
        <f t="shared" si="74"/>
        <v>65.988073295023312</v>
      </c>
      <c r="BB153" s="173">
        <f t="shared" si="74"/>
        <v>65.988073295023312</v>
      </c>
      <c r="BC153" s="173">
        <f t="shared" si="74"/>
        <v>65.988073295023312</v>
      </c>
      <c r="BD153" s="173">
        <f t="shared" si="74"/>
        <v>65.988073295023312</v>
      </c>
      <c r="BE153" s="173">
        <f t="shared" si="74"/>
        <v>65.988073295023312</v>
      </c>
      <c r="BF153" s="173">
        <f t="shared" si="74"/>
        <v>65.988073295023312</v>
      </c>
      <c r="BG153" s="173">
        <f t="shared" si="74"/>
        <v>65.988073295023312</v>
      </c>
      <c r="BH153" s="173">
        <f t="shared" si="74"/>
        <v>65.988073295023312</v>
      </c>
      <c r="BI153" s="173">
        <f t="shared" si="74"/>
        <v>65.988073295023312</v>
      </c>
      <c r="BJ153" s="173">
        <f t="shared" si="74"/>
        <v>65.988073295023312</v>
      </c>
      <c r="BK153" s="173">
        <f t="shared" si="74"/>
        <v>65.988073295023312</v>
      </c>
      <c r="BL153" s="173">
        <f t="shared" si="74"/>
        <v>65.988073295023312</v>
      </c>
      <c r="BM153" s="173">
        <f t="shared" si="74"/>
        <v>65.988073295023312</v>
      </c>
      <c r="BN153" s="173">
        <f t="shared" si="74"/>
        <v>65.988073295023312</v>
      </c>
      <c r="BO153" s="173">
        <f t="shared" si="74"/>
        <v>0</v>
      </c>
      <c r="BP153" s="173">
        <f t="shared" si="74"/>
        <v>0</v>
      </c>
      <c r="BQ153" s="173">
        <f t="shared" si="74"/>
        <v>65.988073295023312</v>
      </c>
      <c r="BR153" s="173">
        <f t="shared" si="74"/>
        <v>65.988073295023312</v>
      </c>
      <c r="BS153" s="173">
        <f t="shared" si="74"/>
        <v>65.988073295023312</v>
      </c>
      <c r="BY153" s="2"/>
      <c r="BZ153" s="189" t="str">
        <f t="shared" si="75"/>
        <v>genisses +1an</v>
      </c>
      <c r="CB153" s="173">
        <f t="shared" si="76"/>
        <v>8.7561097256857838</v>
      </c>
      <c r="CC153" s="173">
        <f t="shared" si="76"/>
        <v>8.7561097256857838</v>
      </c>
      <c r="CD153" s="173">
        <f t="shared" si="76"/>
        <v>0</v>
      </c>
      <c r="CE153" s="173">
        <f t="shared" si="76"/>
        <v>0</v>
      </c>
      <c r="CF153" s="173">
        <f t="shared" si="76"/>
        <v>0</v>
      </c>
      <c r="CG153" s="173">
        <f t="shared" si="76"/>
        <v>0</v>
      </c>
      <c r="CH153" s="173">
        <f t="shared" si="76"/>
        <v>0</v>
      </c>
      <c r="CI153" s="173">
        <f t="shared" si="76"/>
        <v>0</v>
      </c>
      <c r="CJ153" s="173">
        <f t="shared" si="76"/>
        <v>0</v>
      </c>
      <c r="CK153" s="173">
        <f t="shared" si="76"/>
        <v>0</v>
      </c>
      <c r="CL153" s="173">
        <f t="shared" si="76"/>
        <v>0</v>
      </c>
      <c r="CM153" s="173">
        <f t="shared" si="76"/>
        <v>0</v>
      </c>
      <c r="CN153" s="173">
        <f t="shared" si="76"/>
        <v>0</v>
      </c>
      <c r="CO153" s="173">
        <f t="shared" si="76"/>
        <v>0</v>
      </c>
      <c r="CP153" s="173">
        <f t="shared" si="76"/>
        <v>0</v>
      </c>
      <c r="CQ153" s="173">
        <f t="shared" si="76"/>
        <v>0</v>
      </c>
      <c r="CR153" s="173">
        <f t="shared" si="76"/>
        <v>0</v>
      </c>
      <c r="CS153" s="173">
        <f t="shared" si="76"/>
        <v>0</v>
      </c>
      <c r="CT153" s="173">
        <f t="shared" si="76"/>
        <v>0</v>
      </c>
      <c r="CU153" s="173">
        <f t="shared" si="76"/>
        <v>0</v>
      </c>
      <c r="CV153" s="173">
        <f t="shared" si="76"/>
        <v>0</v>
      </c>
      <c r="CW153" s="173">
        <f t="shared" si="76"/>
        <v>0</v>
      </c>
      <c r="CX153" s="173">
        <f t="shared" si="76"/>
        <v>8.7561097256857838</v>
      </c>
      <c r="CY153" s="173">
        <f t="shared" si="76"/>
        <v>8.7561097256857838</v>
      </c>
      <c r="DB153" s="2"/>
      <c r="DC153" s="189" t="str">
        <f t="shared" si="77"/>
        <v>lot3</v>
      </c>
      <c r="DE153" s="173">
        <f t="shared" si="78"/>
        <v>0</v>
      </c>
      <c r="DF153" s="173">
        <f t="shared" si="78"/>
        <v>0</v>
      </c>
      <c r="DG153" s="173">
        <f t="shared" si="78"/>
        <v>0</v>
      </c>
      <c r="DH153" s="173">
        <f t="shared" si="78"/>
        <v>0</v>
      </c>
      <c r="DI153" s="173">
        <f t="shared" si="78"/>
        <v>0</v>
      </c>
      <c r="DJ153" s="173">
        <f t="shared" si="78"/>
        <v>0</v>
      </c>
      <c r="DK153" s="173">
        <f t="shared" si="78"/>
        <v>0</v>
      </c>
      <c r="DL153" s="173">
        <f t="shared" si="78"/>
        <v>0</v>
      </c>
      <c r="DM153" s="173">
        <f t="shared" si="78"/>
        <v>0</v>
      </c>
      <c r="DN153" s="173">
        <f t="shared" si="78"/>
        <v>0</v>
      </c>
      <c r="DO153" s="173">
        <f t="shared" si="78"/>
        <v>0</v>
      </c>
      <c r="DP153" s="173">
        <f t="shared" si="78"/>
        <v>0</v>
      </c>
      <c r="DQ153" s="173">
        <f t="shared" si="78"/>
        <v>0</v>
      </c>
      <c r="DR153" s="173">
        <f t="shared" si="78"/>
        <v>0</v>
      </c>
      <c r="DS153" s="173">
        <f t="shared" si="78"/>
        <v>0</v>
      </c>
      <c r="DT153" s="173">
        <f t="shared" si="78"/>
        <v>0</v>
      </c>
      <c r="DU153" s="173">
        <f t="shared" si="78"/>
        <v>0</v>
      </c>
      <c r="DV153" s="173">
        <f t="shared" si="78"/>
        <v>0</v>
      </c>
      <c r="DW153" s="173">
        <f t="shared" si="78"/>
        <v>0</v>
      </c>
      <c r="DX153" s="173">
        <f t="shared" si="78"/>
        <v>0</v>
      </c>
      <c r="DY153" s="173">
        <f t="shared" si="78"/>
        <v>0</v>
      </c>
      <c r="DZ153" s="173">
        <f t="shared" si="78"/>
        <v>0</v>
      </c>
      <c r="EA153" s="173">
        <f t="shared" si="78"/>
        <v>0</v>
      </c>
      <c r="EB153" s="173">
        <f t="shared" si="78"/>
        <v>0</v>
      </c>
    </row>
    <row r="154" spans="1:132" x14ac:dyDescent="0.25">
      <c r="B154" s="14" t="s">
        <v>1259</v>
      </c>
      <c r="C154" s="173">
        <f>'Calcul éco'!D19</f>
        <v>0</v>
      </c>
      <c r="D154" s="263">
        <f t="shared" si="50"/>
        <v>0</v>
      </c>
      <c r="F154" s="14" t="s">
        <v>1260</v>
      </c>
      <c r="G154">
        <f>IF(Troupeau!C$3="BV",'Calcul éco'!C14,0)</f>
        <v>0</v>
      </c>
      <c r="AT154" s="189" t="str">
        <f t="shared" si="73"/>
        <v>beliers</v>
      </c>
      <c r="AV154" s="173">
        <f t="shared" si="74"/>
        <v>7.6140084571180742</v>
      </c>
      <c r="AW154" s="173">
        <f t="shared" si="74"/>
        <v>7.6140084571180742</v>
      </c>
      <c r="AX154" s="173">
        <f t="shared" si="74"/>
        <v>7.6140084571180742</v>
      </c>
      <c r="AY154" s="173">
        <f t="shared" si="74"/>
        <v>7.6140084571180742</v>
      </c>
      <c r="AZ154" s="173">
        <f t="shared" si="74"/>
        <v>7.6140084571180742</v>
      </c>
      <c r="BA154" s="173">
        <f t="shared" si="74"/>
        <v>7.6140084571180742</v>
      </c>
      <c r="BB154" s="173">
        <f t="shared" si="74"/>
        <v>7.6140084571180742</v>
      </c>
      <c r="BC154" s="173">
        <f t="shared" si="74"/>
        <v>7.6140084571180742</v>
      </c>
      <c r="BD154" s="173">
        <f t="shared" si="74"/>
        <v>7.6140084571180742</v>
      </c>
      <c r="BE154" s="173">
        <f t="shared" si="74"/>
        <v>0</v>
      </c>
      <c r="BF154" s="173">
        <f t="shared" si="74"/>
        <v>0</v>
      </c>
      <c r="BG154" s="173">
        <f t="shared" si="74"/>
        <v>0</v>
      </c>
      <c r="BH154" s="173">
        <f t="shared" si="74"/>
        <v>0</v>
      </c>
      <c r="BI154" s="173">
        <f t="shared" si="74"/>
        <v>0</v>
      </c>
      <c r="BJ154" s="173">
        <f t="shared" si="74"/>
        <v>0</v>
      </c>
      <c r="BK154" s="173">
        <f t="shared" si="74"/>
        <v>0</v>
      </c>
      <c r="BL154" s="173">
        <f t="shared" si="74"/>
        <v>0</v>
      </c>
      <c r="BM154" s="173">
        <f t="shared" si="74"/>
        <v>0</v>
      </c>
      <c r="BN154" s="173">
        <f t="shared" si="74"/>
        <v>0</v>
      </c>
      <c r="BO154" s="173">
        <f t="shared" si="74"/>
        <v>7.6140084571180742</v>
      </c>
      <c r="BP154" s="173">
        <f t="shared" si="74"/>
        <v>7.6140084571180742</v>
      </c>
      <c r="BQ154" s="173">
        <f t="shared" si="74"/>
        <v>7.6140084571180742</v>
      </c>
      <c r="BR154" s="173">
        <f t="shared" si="74"/>
        <v>7.6140084571180742</v>
      </c>
      <c r="BS154" s="173">
        <f t="shared" si="74"/>
        <v>7.6140084571180742</v>
      </c>
      <c r="BY154" s="2"/>
      <c r="BZ154" s="189" t="str">
        <f t="shared" si="75"/>
        <v>lot4</v>
      </c>
      <c r="CB154" s="173">
        <f t="shared" si="76"/>
        <v>0</v>
      </c>
      <c r="CC154" s="173">
        <f t="shared" si="76"/>
        <v>0</v>
      </c>
      <c r="CD154" s="173">
        <f t="shared" si="76"/>
        <v>0</v>
      </c>
      <c r="CE154" s="173">
        <f t="shared" si="76"/>
        <v>0</v>
      </c>
      <c r="CF154" s="173">
        <f t="shared" si="76"/>
        <v>0</v>
      </c>
      <c r="CG154" s="173">
        <f t="shared" si="76"/>
        <v>0</v>
      </c>
      <c r="CH154" s="173">
        <f t="shared" si="76"/>
        <v>0</v>
      </c>
      <c r="CI154" s="173">
        <f t="shared" si="76"/>
        <v>0</v>
      </c>
      <c r="CJ154" s="173">
        <f t="shared" si="76"/>
        <v>0</v>
      </c>
      <c r="CK154" s="173">
        <f t="shared" si="76"/>
        <v>0</v>
      </c>
      <c r="CL154" s="173">
        <f t="shared" si="76"/>
        <v>0</v>
      </c>
      <c r="CM154" s="173">
        <f t="shared" si="76"/>
        <v>0</v>
      </c>
      <c r="CN154" s="173">
        <f t="shared" si="76"/>
        <v>0</v>
      </c>
      <c r="CO154" s="173">
        <f t="shared" si="76"/>
        <v>0</v>
      </c>
      <c r="CP154" s="173">
        <f t="shared" si="76"/>
        <v>0</v>
      </c>
      <c r="CQ154" s="173">
        <f t="shared" si="76"/>
        <v>0</v>
      </c>
      <c r="CR154" s="173">
        <f t="shared" si="76"/>
        <v>0</v>
      </c>
      <c r="CS154" s="173">
        <f t="shared" si="76"/>
        <v>0</v>
      </c>
      <c r="CT154" s="173">
        <f t="shared" si="76"/>
        <v>0</v>
      </c>
      <c r="CU154" s="173">
        <f t="shared" si="76"/>
        <v>0</v>
      </c>
      <c r="CV154" s="173">
        <f t="shared" si="76"/>
        <v>0</v>
      </c>
      <c r="CW154" s="173">
        <f t="shared" si="76"/>
        <v>0</v>
      </c>
      <c r="CX154" s="173">
        <f t="shared" si="76"/>
        <v>0</v>
      </c>
      <c r="CY154" s="173">
        <f t="shared" si="76"/>
        <v>0</v>
      </c>
      <c r="DB154" s="2"/>
      <c r="DC154" s="189" t="str">
        <f t="shared" si="77"/>
        <v>lot4</v>
      </c>
      <c r="DE154" s="173">
        <f t="shared" si="78"/>
        <v>0</v>
      </c>
      <c r="DF154" s="173">
        <f t="shared" si="78"/>
        <v>0</v>
      </c>
      <c r="DG154" s="173">
        <f t="shared" si="78"/>
        <v>0</v>
      </c>
      <c r="DH154" s="173">
        <f t="shared" si="78"/>
        <v>0</v>
      </c>
      <c r="DI154" s="173">
        <f t="shared" si="78"/>
        <v>0</v>
      </c>
      <c r="DJ154" s="173">
        <f t="shared" si="78"/>
        <v>0</v>
      </c>
      <c r="DK154" s="173">
        <f t="shared" si="78"/>
        <v>0</v>
      </c>
      <c r="DL154" s="173">
        <f t="shared" si="78"/>
        <v>0</v>
      </c>
      <c r="DM154" s="173">
        <f t="shared" si="78"/>
        <v>0</v>
      </c>
      <c r="DN154" s="173">
        <f t="shared" si="78"/>
        <v>0</v>
      </c>
      <c r="DO154" s="173">
        <f t="shared" si="78"/>
        <v>0</v>
      </c>
      <c r="DP154" s="173">
        <f t="shared" si="78"/>
        <v>0</v>
      </c>
      <c r="DQ154" s="173">
        <f t="shared" si="78"/>
        <v>0</v>
      </c>
      <c r="DR154" s="173">
        <f t="shared" si="78"/>
        <v>0</v>
      </c>
      <c r="DS154" s="173">
        <f t="shared" si="78"/>
        <v>0</v>
      </c>
      <c r="DT154" s="173">
        <f t="shared" si="78"/>
        <v>0</v>
      </c>
      <c r="DU154" s="173">
        <f t="shared" si="78"/>
        <v>0</v>
      </c>
      <c r="DV154" s="173">
        <f t="shared" si="78"/>
        <v>0</v>
      </c>
      <c r="DW154" s="173">
        <f t="shared" si="78"/>
        <v>0</v>
      </c>
      <c r="DX154" s="173">
        <f t="shared" si="78"/>
        <v>0</v>
      </c>
      <c r="DY154" s="173">
        <f t="shared" si="78"/>
        <v>0</v>
      </c>
      <c r="DZ154" s="173">
        <f t="shared" si="78"/>
        <v>0</v>
      </c>
      <c r="EA154" s="173">
        <f t="shared" si="78"/>
        <v>0</v>
      </c>
      <c r="EB154" s="173">
        <f t="shared" si="78"/>
        <v>0</v>
      </c>
    </row>
    <row r="155" spans="1:132" x14ac:dyDescent="0.25">
      <c r="B155" s="14" t="s">
        <v>1261</v>
      </c>
      <c r="C155" s="173">
        <f>'Calcul éco'!D20</f>
        <v>0</v>
      </c>
      <c r="D155" s="263">
        <f t="shared" si="50"/>
        <v>0</v>
      </c>
      <c r="F155" s="14" t="s">
        <v>1262</v>
      </c>
      <c r="G155">
        <f>IF(Troupeau!B$3="BV",('Calcul éco'!B$11+'Calcul éco'!B$12),0)</f>
        <v>0</v>
      </c>
      <c r="AT155" s="189" t="str">
        <f>AT91</f>
        <v>lot5</v>
      </c>
      <c r="AV155" s="173">
        <f t="shared" si="74"/>
        <v>0</v>
      </c>
      <c r="AW155" s="173">
        <f t="shared" si="74"/>
        <v>0</v>
      </c>
      <c r="AX155" s="173">
        <f t="shared" si="74"/>
        <v>0</v>
      </c>
      <c r="AY155" s="173">
        <f t="shared" si="74"/>
        <v>0</v>
      </c>
      <c r="AZ155" s="173">
        <f t="shared" si="74"/>
        <v>0</v>
      </c>
      <c r="BA155" s="173">
        <f t="shared" si="74"/>
        <v>0</v>
      </c>
      <c r="BB155" s="173">
        <f t="shared" si="74"/>
        <v>0</v>
      </c>
      <c r="BC155" s="173">
        <f t="shared" si="74"/>
        <v>0</v>
      </c>
      <c r="BD155" s="173">
        <f t="shared" si="74"/>
        <v>0</v>
      </c>
      <c r="BE155" s="173">
        <f t="shared" si="74"/>
        <v>0</v>
      </c>
      <c r="BF155" s="173">
        <f t="shared" si="74"/>
        <v>0</v>
      </c>
      <c r="BG155" s="173">
        <f t="shared" si="74"/>
        <v>0</v>
      </c>
      <c r="BH155" s="173">
        <f t="shared" si="74"/>
        <v>0</v>
      </c>
      <c r="BI155" s="173">
        <f t="shared" si="74"/>
        <v>0</v>
      </c>
      <c r="BJ155" s="173">
        <f t="shared" si="74"/>
        <v>0</v>
      </c>
      <c r="BK155" s="173">
        <f t="shared" si="74"/>
        <v>0</v>
      </c>
      <c r="BL155" s="173">
        <f t="shared" si="74"/>
        <v>0</v>
      </c>
      <c r="BM155" s="173">
        <f t="shared" si="74"/>
        <v>0</v>
      </c>
      <c r="BN155" s="173">
        <f t="shared" si="74"/>
        <v>0</v>
      </c>
      <c r="BO155" s="173">
        <f t="shared" si="74"/>
        <v>0</v>
      </c>
      <c r="BP155" s="173">
        <f t="shared" si="74"/>
        <v>0</v>
      </c>
      <c r="BQ155" s="173">
        <f t="shared" si="74"/>
        <v>0</v>
      </c>
      <c r="BR155" s="173">
        <f t="shared" si="74"/>
        <v>0</v>
      </c>
      <c r="BS155" s="173">
        <f t="shared" si="74"/>
        <v>0</v>
      </c>
      <c r="BZ155" s="189" t="str">
        <f>BZ91</f>
        <v>lot5</v>
      </c>
      <c r="CB155" s="173">
        <f t="shared" si="76"/>
        <v>0</v>
      </c>
      <c r="CC155" s="173">
        <f t="shared" si="76"/>
        <v>0</v>
      </c>
      <c r="CD155" s="173">
        <f t="shared" si="76"/>
        <v>0</v>
      </c>
      <c r="CE155" s="173">
        <f t="shared" si="76"/>
        <v>0</v>
      </c>
      <c r="CF155" s="173">
        <f t="shared" si="76"/>
        <v>0</v>
      </c>
      <c r="CG155" s="173">
        <f t="shared" si="76"/>
        <v>0</v>
      </c>
      <c r="CH155" s="173">
        <f t="shared" si="76"/>
        <v>0</v>
      </c>
      <c r="CI155" s="173">
        <f t="shared" si="76"/>
        <v>0</v>
      </c>
      <c r="CJ155" s="173">
        <f t="shared" si="76"/>
        <v>0</v>
      </c>
      <c r="CK155" s="173">
        <f t="shared" si="76"/>
        <v>0</v>
      </c>
      <c r="CL155" s="173">
        <f t="shared" si="76"/>
        <v>0</v>
      </c>
      <c r="CM155" s="173">
        <f t="shared" si="76"/>
        <v>0</v>
      </c>
      <c r="CN155" s="173">
        <f t="shared" si="76"/>
        <v>0</v>
      </c>
      <c r="CO155" s="173">
        <f t="shared" si="76"/>
        <v>0</v>
      </c>
      <c r="CP155" s="173">
        <f t="shared" si="76"/>
        <v>0</v>
      </c>
      <c r="CQ155" s="173">
        <f t="shared" si="76"/>
        <v>0</v>
      </c>
      <c r="CR155" s="173">
        <f t="shared" si="76"/>
        <v>0</v>
      </c>
      <c r="CS155" s="173">
        <f t="shared" si="76"/>
        <v>0</v>
      </c>
      <c r="CT155" s="173">
        <f t="shared" si="76"/>
        <v>0</v>
      </c>
      <c r="CU155" s="173">
        <f t="shared" si="76"/>
        <v>0</v>
      </c>
      <c r="CV155" s="173">
        <f t="shared" si="76"/>
        <v>0</v>
      </c>
      <c r="CW155" s="173">
        <f t="shared" si="76"/>
        <v>0</v>
      </c>
      <c r="CX155" s="173">
        <f t="shared" si="76"/>
        <v>0</v>
      </c>
      <c r="CY155" s="173">
        <f t="shared" si="76"/>
        <v>0</v>
      </c>
      <c r="DC155" s="189" t="str">
        <f>DC91</f>
        <v>lot5</v>
      </c>
      <c r="DE155" s="173">
        <f t="shared" si="78"/>
        <v>0</v>
      </c>
      <c r="DF155" s="173">
        <f t="shared" si="78"/>
        <v>0</v>
      </c>
      <c r="DG155" s="173">
        <f t="shared" si="78"/>
        <v>0</v>
      </c>
      <c r="DH155" s="173">
        <f t="shared" si="78"/>
        <v>0</v>
      </c>
      <c r="DI155" s="173">
        <f t="shared" si="78"/>
        <v>0</v>
      </c>
      <c r="DJ155" s="173">
        <f t="shared" si="78"/>
        <v>0</v>
      </c>
      <c r="DK155" s="173">
        <f t="shared" si="78"/>
        <v>0</v>
      </c>
      <c r="DL155" s="173">
        <f t="shared" si="78"/>
        <v>0</v>
      </c>
      <c r="DM155" s="173">
        <f t="shared" si="78"/>
        <v>0</v>
      </c>
      <c r="DN155" s="173">
        <f t="shared" si="78"/>
        <v>0</v>
      </c>
      <c r="DO155" s="173">
        <f t="shared" si="78"/>
        <v>0</v>
      </c>
      <c r="DP155" s="173">
        <f t="shared" si="78"/>
        <v>0</v>
      </c>
      <c r="DQ155" s="173">
        <f t="shared" si="78"/>
        <v>0</v>
      </c>
      <c r="DR155" s="173">
        <f t="shared" si="78"/>
        <v>0</v>
      </c>
      <c r="DS155" s="173">
        <f t="shared" si="78"/>
        <v>0</v>
      </c>
      <c r="DT155" s="173">
        <f t="shared" si="78"/>
        <v>0</v>
      </c>
      <c r="DU155" s="173">
        <f t="shared" si="78"/>
        <v>0</v>
      </c>
      <c r="DV155" s="173">
        <f t="shared" si="78"/>
        <v>0</v>
      </c>
      <c r="DW155" s="173">
        <f t="shared" si="78"/>
        <v>0</v>
      </c>
      <c r="DX155" s="173">
        <f t="shared" si="78"/>
        <v>0</v>
      </c>
      <c r="DY155" s="173">
        <f t="shared" si="78"/>
        <v>0</v>
      </c>
      <c r="DZ155" s="173">
        <f t="shared" si="78"/>
        <v>0</v>
      </c>
      <c r="EA155" s="173">
        <f t="shared" si="78"/>
        <v>0</v>
      </c>
      <c r="EB155" s="173">
        <f t="shared" si="78"/>
        <v>0</v>
      </c>
    </row>
    <row r="156" spans="1:132" x14ac:dyDescent="0.25">
      <c r="B156" s="14" t="s">
        <v>1263</v>
      </c>
      <c r="C156" s="173">
        <f>'Calcul éco'!D21</f>
        <v>0</v>
      </c>
      <c r="D156" s="263">
        <f t="shared" si="50"/>
        <v>0</v>
      </c>
      <c r="F156" s="14" t="s">
        <v>1264</v>
      </c>
      <c r="G156">
        <f>IF(Troupeau!C$3="BV",('Calcul éco'!C$11+'Calcul éco'!C$12),0)</f>
        <v>0</v>
      </c>
      <c r="AT156" s="189" t="str">
        <f>AT92</f>
        <v>lot6</v>
      </c>
      <c r="AV156" s="173">
        <f t="shared" si="74"/>
        <v>0</v>
      </c>
      <c r="AW156" s="173">
        <f t="shared" si="74"/>
        <v>0</v>
      </c>
      <c r="AX156" s="173">
        <f t="shared" si="74"/>
        <v>0</v>
      </c>
      <c r="AY156" s="173">
        <f t="shared" si="74"/>
        <v>0</v>
      </c>
      <c r="AZ156" s="173">
        <f t="shared" si="74"/>
        <v>0</v>
      </c>
      <c r="BA156" s="173">
        <f t="shared" si="74"/>
        <v>0</v>
      </c>
      <c r="BB156" s="173">
        <f t="shared" si="74"/>
        <v>0</v>
      </c>
      <c r="BC156" s="173">
        <f t="shared" si="74"/>
        <v>0</v>
      </c>
      <c r="BD156" s="173">
        <f t="shared" si="74"/>
        <v>0</v>
      </c>
      <c r="BE156" s="173">
        <f t="shared" si="74"/>
        <v>0</v>
      </c>
      <c r="BF156" s="173">
        <f t="shared" si="74"/>
        <v>0</v>
      </c>
      <c r="BG156" s="173">
        <f t="shared" si="74"/>
        <v>0</v>
      </c>
      <c r="BH156" s="173">
        <f t="shared" si="74"/>
        <v>0</v>
      </c>
      <c r="BI156" s="173">
        <f t="shared" si="74"/>
        <v>0</v>
      </c>
      <c r="BJ156" s="173">
        <f t="shared" si="74"/>
        <v>0</v>
      </c>
      <c r="BK156" s="173">
        <f t="shared" si="74"/>
        <v>0</v>
      </c>
      <c r="BL156" s="173">
        <f t="shared" si="74"/>
        <v>0</v>
      </c>
      <c r="BM156" s="173">
        <f t="shared" si="74"/>
        <v>0</v>
      </c>
      <c r="BN156" s="173">
        <f t="shared" si="74"/>
        <v>0</v>
      </c>
      <c r="BO156" s="173">
        <f t="shared" si="74"/>
        <v>0</v>
      </c>
      <c r="BP156" s="173">
        <f t="shared" si="74"/>
        <v>0</v>
      </c>
      <c r="BQ156" s="173">
        <f t="shared" si="74"/>
        <v>0</v>
      </c>
      <c r="BR156" s="173">
        <f t="shared" si="74"/>
        <v>0</v>
      </c>
      <c r="BS156" s="173">
        <f t="shared" si="74"/>
        <v>0</v>
      </c>
      <c r="BZ156" s="189" t="str">
        <f>BZ92</f>
        <v>lot6</v>
      </c>
      <c r="CB156" s="173">
        <f t="shared" si="76"/>
        <v>0</v>
      </c>
      <c r="CC156" s="173">
        <f t="shared" si="76"/>
        <v>0</v>
      </c>
      <c r="CD156" s="173">
        <f t="shared" si="76"/>
        <v>0</v>
      </c>
      <c r="CE156" s="173">
        <f t="shared" si="76"/>
        <v>0</v>
      </c>
      <c r="CF156" s="173">
        <f t="shared" si="76"/>
        <v>0</v>
      </c>
      <c r="CG156" s="173">
        <f t="shared" si="76"/>
        <v>0</v>
      </c>
      <c r="CH156" s="173">
        <f t="shared" si="76"/>
        <v>0</v>
      </c>
      <c r="CI156" s="173">
        <f t="shared" si="76"/>
        <v>0</v>
      </c>
      <c r="CJ156" s="173">
        <f t="shared" si="76"/>
        <v>0</v>
      </c>
      <c r="CK156" s="173">
        <f t="shared" si="76"/>
        <v>0</v>
      </c>
      <c r="CL156" s="173">
        <f t="shared" si="76"/>
        <v>0</v>
      </c>
      <c r="CM156" s="173">
        <f t="shared" si="76"/>
        <v>0</v>
      </c>
      <c r="CN156" s="173">
        <f t="shared" si="76"/>
        <v>0</v>
      </c>
      <c r="CO156" s="173">
        <f t="shared" si="76"/>
        <v>0</v>
      </c>
      <c r="CP156" s="173">
        <f t="shared" si="76"/>
        <v>0</v>
      </c>
      <c r="CQ156" s="173">
        <f t="shared" si="76"/>
        <v>0</v>
      </c>
      <c r="CR156" s="173">
        <f t="shared" si="76"/>
        <v>0</v>
      </c>
      <c r="CS156" s="173">
        <f t="shared" si="76"/>
        <v>0</v>
      </c>
      <c r="CT156" s="173">
        <f t="shared" si="76"/>
        <v>0</v>
      </c>
      <c r="CU156" s="173">
        <f t="shared" si="76"/>
        <v>0</v>
      </c>
      <c r="CV156" s="173">
        <f t="shared" si="76"/>
        <v>0</v>
      </c>
      <c r="CW156" s="173">
        <f t="shared" si="76"/>
        <v>0</v>
      </c>
      <c r="CX156" s="173">
        <f t="shared" si="76"/>
        <v>0</v>
      </c>
      <c r="CY156" s="173">
        <f t="shared" si="76"/>
        <v>0</v>
      </c>
      <c r="DC156" s="189" t="str">
        <f>DC92</f>
        <v>lot6</v>
      </c>
      <c r="DE156" s="173">
        <f t="shared" si="78"/>
        <v>0</v>
      </c>
      <c r="DF156" s="173">
        <f t="shared" si="78"/>
        <v>0</v>
      </c>
      <c r="DG156" s="173">
        <f t="shared" si="78"/>
        <v>0</v>
      </c>
      <c r="DH156" s="173">
        <f t="shared" si="78"/>
        <v>0</v>
      </c>
      <c r="DI156" s="173">
        <f t="shared" si="78"/>
        <v>0</v>
      </c>
      <c r="DJ156" s="173">
        <f t="shared" si="78"/>
        <v>0</v>
      </c>
      <c r="DK156" s="173">
        <f t="shared" si="78"/>
        <v>0</v>
      </c>
      <c r="DL156" s="173">
        <f t="shared" si="78"/>
        <v>0</v>
      </c>
      <c r="DM156" s="173">
        <f t="shared" si="78"/>
        <v>0</v>
      </c>
      <c r="DN156" s="173">
        <f t="shared" si="78"/>
        <v>0</v>
      </c>
      <c r="DO156" s="173">
        <f t="shared" si="78"/>
        <v>0</v>
      </c>
      <c r="DP156" s="173">
        <f t="shared" si="78"/>
        <v>0</v>
      </c>
      <c r="DQ156" s="173">
        <f t="shared" si="78"/>
        <v>0</v>
      </c>
      <c r="DR156" s="173">
        <f t="shared" si="78"/>
        <v>0</v>
      </c>
      <c r="DS156" s="173">
        <f t="shared" si="78"/>
        <v>0</v>
      </c>
      <c r="DT156" s="173">
        <f t="shared" si="78"/>
        <v>0</v>
      </c>
      <c r="DU156" s="173">
        <f t="shared" si="78"/>
        <v>0</v>
      </c>
      <c r="DV156" s="173">
        <f t="shared" si="78"/>
        <v>0</v>
      </c>
      <c r="DW156" s="173">
        <f t="shared" si="78"/>
        <v>0</v>
      </c>
      <c r="DX156" s="173">
        <f t="shared" si="78"/>
        <v>0</v>
      </c>
      <c r="DY156" s="173">
        <f t="shared" si="78"/>
        <v>0</v>
      </c>
      <c r="DZ156" s="173">
        <f t="shared" si="78"/>
        <v>0</v>
      </c>
      <c r="EA156" s="173">
        <f t="shared" si="78"/>
        <v>0</v>
      </c>
      <c r="EB156" s="173">
        <f t="shared" si="78"/>
        <v>0</v>
      </c>
    </row>
    <row r="157" spans="1:132" x14ac:dyDescent="0.25">
      <c r="B157" s="14" t="s">
        <v>1265</v>
      </c>
      <c r="C157" s="173">
        <f>C151+C154</f>
        <v>0</v>
      </c>
      <c r="D157" s="263">
        <f t="shared" si="50"/>
        <v>0</v>
      </c>
      <c r="F157" s="14"/>
      <c r="AT157" s="189" t="str">
        <f>AT94</f>
        <v>lot8</v>
      </c>
      <c r="AV157" s="173">
        <f t="shared" ref="AV157:BS159" si="79">IF(AV105&gt;1,AV71,0)</f>
        <v>0</v>
      </c>
      <c r="AW157" s="173">
        <f t="shared" si="79"/>
        <v>0</v>
      </c>
      <c r="AX157" s="173">
        <f t="shared" si="79"/>
        <v>0</v>
      </c>
      <c r="AY157" s="173">
        <f t="shared" si="79"/>
        <v>0</v>
      </c>
      <c r="AZ157" s="173">
        <f t="shared" si="79"/>
        <v>0</v>
      </c>
      <c r="BA157" s="173">
        <f t="shared" si="79"/>
        <v>0</v>
      </c>
      <c r="BB157" s="173">
        <f t="shared" si="79"/>
        <v>0</v>
      </c>
      <c r="BC157" s="173">
        <f t="shared" si="79"/>
        <v>0</v>
      </c>
      <c r="BD157" s="173">
        <f t="shared" si="79"/>
        <v>0</v>
      </c>
      <c r="BE157" s="173">
        <f t="shared" si="79"/>
        <v>0</v>
      </c>
      <c r="BF157" s="173">
        <f t="shared" si="79"/>
        <v>0</v>
      </c>
      <c r="BG157" s="173">
        <f t="shared" si="79"/>
        <v>0</v>
      </c>
      <c r="BH157" s="173">
        <f t="shared" si="79"/>
        <v>0</v>
      </c>
      <c r="BI157" s="173">
        <f t="shared" si="79"/>
        <v>0</v>
      </c>
      <c r="BJ157" s="173">
        <f t="shared" si="79"/>
        <v>0</v>
      </c>
      <c r="BK157" s="173">
        <f t="shared" si="79"/>
        <v>0</v>
      </c>
      <c r="BL157" s="173">
        <f t="shared" si="79"/>
        <v>0</v>
      </c>
      <c r="BM157" s="173">
        <f t="shared" si="79"/>
        <v>0</v>
      </c>
      <c r="BN157" s="173">
        <f t="shared" si="79"/>
        <v>0</v>
      </c>
      <c r="BO157" s="173">
        <f t="shared" si="79"/>
        <v>0</v>
      </c>
      <c r="BP157" s="173">
        <f t="shared" si="79"/>
        <v>0</v>
      </c>
      <c r="BQ157" s="173">
        <f t="shared" si="79"/>
        <v>0</v>
      </c>
      <c r="BR157" s="173">
        <f t="shared" si="79"/>
        <v>0</v>
      </c>
      <c r="BS157" s="173">
        <f t="shared" si="79"/>
        <v>0</v>
      </c>
      <c r="BZ157" s="189" t="str">
        <f>BZ94</f>
        <v>lot8</v>
      </c>
      <c r="CB157" s="173">
        <f t="shared" ref="CB157:CY159" si="80">IF(CB105&gt;1,CB71,0)</f>
        <v>0</v>
      </c>
      <c r="CC157" s="173">
        <f t="shared" si="80"/>
        <v>0</v>
      </c>
      <c r="CD157" s="173">
        <f t="shared" si="80"/>
        <v>0</v>
      </c>
      <c r="CE157" s="173">
        <f t="shared" si="80"/>
        <v>0</v>
      </c>
      <c r="CF157" s="173">
        <f t="shared" si="80"/>
        <v>0</v>
      </c>
      <c r="CG157" s="173">
        <f t="shared" si="80"/>
        <v>0</v>
      </c>
      <c r="CH157" s="173">
        <f t="shared" si="80"/>
        <v>0</v>
      </c>
      <c r="CI157" s="173">
        <f t="shared" si="80"/>
        <v>0</v>
      </c>
      <c r="CJ157" s="173">
        <f t="shared" si="80"/>
        <v>0</v>
      </c>
      <c r="CK157" s="173">
        <f t="shared" si="80"/>
        <v>0</v>
      </c>
      <c r="CL157" s="173">
        <f t="shared" si="80"/>
        <v>0</v>
      </c>
      <c r="CM157" s="173">
        <f t="shared" si="80"/>
        <v>0</v>
      </c>
      <c r="CN157" s="173">
        <f t="shared" si="80"/>
        <v>0</v>
      </c>
      <c r="CO157" s="173">
        <f t="shared" si="80"/>
        <v>0</v>
      </c>
      <c r="CP157" s="173">
        <f t="shared" si="80"/>
        <v>0</v>
      </c>
      <c r="CQ157" s="173">
        <f t="shared" si="80"/>
        <v>0</v>
      </c>
      <c r="CR157" s="173">
        <f t="shared" si="80"/>
        <v>0</v>
      </c>
      <c r="CS157" s="173">
        <f t="shared" si="80"/>
        <v>0</v>
      </c>
      <c r="CT157" s="173">
        <f t="shared" si="80"/>
        <v>0</v>
      </c>
      <c r="CU157" s="173">
        <f t="shared" si="80"/>
        <v>0</v>
      </c>
      <c r="CV157" s="173">
        <f t="shared" si="80"/>
        <v>0</v>
      </c>
      <c r="CW157" s="173">
        <f t="shared" si="80"/>
        <v>0</v>
      </c>
      <c r="CX157" s="173">
        <f t="shared" si="80"/>
        <v>0</v>
      </c>
      <c r="CY157" s="173">
        <f t="shared" si="80"/>
        <v>0</v>
      </c>
      <c r="DC157" s="189" t="str">
        <f>DC94</f>
        <v>lot8</v>
      </c>
      <c r="DE157" s="173">
        <f t="shared" ref="DE157:EB159" si="81">IF(DE105&gt;1,DE71,0)</f>
        <v>0</v>
      </c>
      <c r="DF157" s="173">
        <f t="shared" si="81"/>
        <v>0</v>
      </c>
      <c r="DG157" s="173">
        <f t="shared" si="81"/>
        <v>0</v>
      </c>
      <c r="DH157" s="173">
        <f t="shared" si="81"/>
        <v>0</v>
      </c>
      <c r="DI157" s="173">
        <f t="shared" si="81"/>
        <v>0</v>
      </c>
      <c r="DJ157" s="173">
        <f t="shared" si="81"/>
        <v>0</v>
      </c>
      <c r="DK157" s="173">
        <f t="shared" si="81"/>
        <v>0</v>
      </c>
      <c r="DL157" s="173">
        <f t="shared" si="81"/>
        <v>0</v>
      </c>
      <c r="DM157" s="173">
        <f t="shared" si="81"/>
        <v>0</v>
      </c>
      <c r="DN157" s="173">
        <f t="shared" si="81"/>
        <v>0</v>
      </c>
      <c r="DO157" s="173">
        <f t="shared" si="81"/>
        <v>0</v>
      </c>
      <c r="DP157" s="173">
        <f t="shared" si="81"/>
        <v>0</v>
      </c>
      <c r="DQ157" s="173">
        <f t="shared" si="81"/>
        <v>0</v>
      </c>
      <c r="DR157" s="173">
        <f t="shared" si="81"/>
        <v>0</v>
      </c>
      <c r="DS157" s="173">
        <f t="shared" si="81"/>
        <v>0</v>
      </c>
      <c r="DT157" s="173">
        <f t="shared" si="81"/>
        <v>0</v>
      </c>
      <c r="DU157" s="173">
        <f t="shared" si="81"/>
        <v>0</v>
      </c>
      <c r="DV157" s="173">
        <f t="shared" si="81"/>
        <v>0</v>
      </c>
      <c r="DW157" s="173">
        <f t="shared" si="81"/>
        <v>0</v>
      </c>
      <c r="DX157" s="173">
        <f t="shared" si="81"/>
        <v>0</v>
      </c>
      <c r="DY157" s="173">
        <f t="shared" si="81"/>
        <v>0</v>
      </c>
      <c r="DZ157" s="173">
        <f t="shared" si="81"/>
        <v>0</v>
      </c>
      <c r="EA157" s="173">
        <f t="shared" si="81"/>
        <v>0</v>
      </c>
      <c r="EB157" s="173">
        <f t="shared" si="81"/>
        <v>0</v>
      </c>
    </row>
    <row r="158" spans="1:132" x14ac:dyDescent="0.25">
      <c r="B158" s="14" t="s">
        <v>1266</v>
      </c>
      <c r="C158" s="173">
        <f t="shared" ref="C158:C159" si="82">C152+C155</f>
        <v>0</v>
      </c>
      <c r="D158" s="263">
        <f t="shared" si="50"/>
        <v>0</v>
      </c>
      <c r="AT158" s="189" t="str">
        <f>AT95</f>
        <v>lot9</v>
      </c>
      <c r="AV158" s="173">
        <f t="shared" si="79"/>
        <v>0</v>
      </c>
      <c r="AW158" s="173">
        <f t="shared" si="79"/>
        <v>0</v>
      </c>
      <c r="AX158" s="173">
        <f t="shared" si="79"/>
        <v>0</v>
      </c>
      <c r="AY158" s="173">
        <f t="shared" si="79"/>
        <v>0</v>
      </c>
      <c r="AZ158" s="173">
        <f t="shared" si="79"/>
        <v>0</v>
      </c>
      <c r="BA158" s="173">
        <f t="shared" si="79"/>
        <v>0</v>
      </c>
      <c r="BB158" s="173">
        <f t="shared" si="79"/>
        <v>0</v>
      </c>
      <c r="BC158" s="173">
        <f t="shared" si="79"/>
        <v>0</v>
      </c>
      <c r="BD158" s="173">
        <f t="shared" si="79"/>
        <v>0</v>
      </c>
      <c r="BE158" s="173">
        <f t="shared" si="79"/>
        <v>0</v>
      </c>
      <c r="BF158" s="173">
        <f t="shared" si="79"/>
        <v>0</v>
      </c>
      <c r="BG158" s="173">
        <f t="shared" si="79"/>
        <v>0</v>
      </c>
      <c r="BH158" s="173">
        <f t="shared" si="79"/>
        <v>0</v>
      </c>
      <c r="BI158" s="173">
        <f t="shared" si="79"/>
        <v>0</v>
      </c>
      <c r="BJ158" s="173">
        <f t="shared" si="79"/>
        <v>0</v>
      </c>
      <c r="BK158" s="173">
        <f t="shared" si="79"/>
        <v>0</v>
      </c>
      <c r="BL158" s="173">
        <f t="shared" si="79"/>
        <v>0</v>
      </c>
      <c r="BM158" s="173">
        <f t="shared" si="79"/>
        <v>0</v>
      </c>
      <c r="BN158" s="173">
        <f t="shared" si="79"/>
        <v>0</v>
      </c>
      <c r="BO158" s="173">
        <f t="shared" si="79"/>
        <v>0</v>
      </c>
      <c r="BP158" s="173">
        <f t="shared" si="79"/>
        <v>0</v>
      </c>
      <c r="BQ158" s="173">
        <f t="shared" si="79"/>
        <v>0</v>
      </c>
      <c r="BR158" s="173">
        <f t="shared" si="79"/>
        <v>0</v>
      </c>
      <c r="BS158" s="173">
        <f t="shared" si="79"/>
        <v>0</v>
      </c>
      <c r="BZ158" s="189" t="str">
        <f>BZ95</f>
        <v>lot9</v>
      </c>
      <c r="CB158" s="173">
        <f t="shared" si="80"/>
        <v>0</v>
      </c>
      <c r="CC158" s="173">
        <f t="shared" si="80"/>
        <v>0</v>
      </c>
      <c r="CD158" s="173">
        <f t="shared" si="80"/>
        <v>0</v>
      </c>
      <c r="CE158" s="173">
        <f t="shared" si="80"/>
        <v>0</v>
      </c>
      <c r="CF158" s="173">
        <f t="shared" si="80"/>
        <v>0</v>
      </c>
      <c r="CG158" s="173">
        <f t="shared" si="80"/>
        <v>0</v>
      </c>
      <c r="CH158" s="173">
        <f t="shared" si="80"/>
        <v>0</v>
      </c>
      <c r="CI158" s="173">
        <f t="shared" si="80"/>
        <v>0</v>
      </c>
      <c r="CJ158" s="173">
        <f t="shared" si="80"/>
        <v>0</v>
      </c>
      <c r="CK158" s="173">
        <f t="shared" si="80"/>
        <v>0</v>
      </c>
      <c r="CL158" s="173">
        <f t="shared" si="80"/>
        <v>0</v>
      </c>
      <c r="CM158" s="173">
        <f t="shared" si="80"/>
        <v>0</v>
      </c>
      <c r="CN158" s="173">
        <f t="shared" si="80"/>
        <v>0</v>
      </c>
      <c r="CO158" s="173">
        <f t="shared" si="80"/>
        <v>0</v>
      </c>
      <c r="CP158" s="173">
        <f t="shared" si="80"/>
        <v>0</v>
      </c>
      <c r="CQ158" s="173">
        <f t="shared" si="80"/>
        <v>0</v>
      </c>
      <c r="CR158" s="173">
        <f t="shared" si="80"/>
        <v>0</v>
      </c>
      <c r="CS158" s="173">
        <f t="shared" si="80"/>
        <v>0</v>
      </c>
      <c r="CT158" s="173">
        <f t="shared" si="80"/>
        <v>0</v>
      </c>
      <c r="CU158" s="173">
        <f t="shared" si="80"/>
        <v>0</v>
      </c>
      <c r="CV158" s="173">
        <f t="shared" si="80"/>
        <v>0</v>
      </c>
      <c r="CW158" s="173">
        <f t="shared" si="80"/>
        <v>0</v>
      </c>
      <c r="CX158" s="173">
        <f t="shared" si="80"/>
        <v>0</v>
      </c>
      <c r="CY158" s="173">
        <f t="shared" si="80"/>
        <v>0</v>
      </c>
      <c r="DC158" s="189" t="str">
        <f>DC95</f>
        <v>lot9</v>
      </c>
      <c r="DE158" s="173">
        <f t="shared" si="81"/>
        <v>0</v>
      </c>
      <c r="DF158" s="173">
        <f t="shared" si="81"/>
        <v>0</v>
      </c>
      <c r="DG158" s="173">
        <f t="shared" si="81"/>
        <v>0</v>
      </c>
      <c r="DH158" s="173">
        <f t="shared" si="81"/>
        <v>0</v>
      </c>
      <c r="DI158" s="173">
        <f t="shared" si="81"/>
        <v>0</v>
      </c>
      <c r="DJ158" s="173">
        <f t="shared" si="81"/>
        <v>0</v>
      </c>
      <c r="DK158" s="173">
        <f t="shared" si="81"/>
        <v>0</v>
      </c>
      <c r="DL158" s="173">
        <f t="shared" si="81"/>
        <v>0</v>
      </c>
      <c r="DM158" s="173">
        <f t="shared" si="81"/>
        <v>0</v>
      </c>
      <c r="DN158" s="173">
        <f t="shared" si="81"/>
        <v>0</v>
      </c>
      <c r="DO158" s="173">
        <f t="shared" si="81"/>
        <v>0</v>
      </c>
      <c r="DP158" s="173">
        <f t="shared" si="81"/>
        <v>0</v>
      </c>
      <c r="DQ158" s="173">
        <f t="shared" si="81"/>
        <v>0</v>
      </c>
      <c r="DR158" s="173">
        <f t="shared" si="81"/>
        <v>0</v>
      </c>
      <c r="DS158" s="173">
        <f t="shared" si="81"/>
        <v>0</v>
      </c>
      <c r="DT158" s="173">
        <f t="shared" si="81"/>
        <v>0</v>
      </c>
      <c r="DU158" s="173">
        <f t="shared" si="81"/>
        <v>0</v>
      </c>
      <c r="DV158" s="173">
        <f t="shared" si="81"/>
        <v>0</v>
      </c>
      <c r="DW158" s="173">
        <f t="shared" si="81"/>
        <v>0</v>
      </c>
      <c r="DX158" s="173">
        <f t="shared" si="81"/>
        <v>0</v>
      </c>
      <c r="DY158" s="173">
        <f t="shared" si="81"/>
        <v>0</v>
      </c>
      <c r="DZ158" s="173">
        <f t="shared" si="81"/>
        <v>0</v>
      </c>
      <c r="EA158" s="173">
        <f t="shared" si="81"/>
        <v>0</v>
      </c>
      <c r="EB158" s="173">
        <f t="shared" si="81"/>
        <v>0</v>
      </c>
    </row>
    <row r="159" spans="1:132" x14ac:dyDescent="0.25">
      <c r="B159" s="14" t="s">
        <v>1267</v>
      </c>
      <c r="C159" s="173">
        <f t="shared" si="82"/>
        <v>0</v>
      </c>
      <c r="D159" s="263">
        <f t="shared" si="50"/>
        <v>0</v>
      </c>
      <c r="AT159" s="189" t="str">
        <f>AT96</f>
        <v>lot10</v>
      </c>
      <c r="AV159" s="173">
        <f t="shared" si="79"/>
        <v>0</v>
      </c>
      <c r="AW159" s="173">
        <f t="shared" si="79"/>
        <v>0</v>
      </c>
      <c r="AX159" s="173">
        <f t="shared" si="79"/>
        <v>0</v>
      </c>
      <c r="AY159" s="173">
        <f t="shared" si="79"/>
        <v>0</v>
      </c>
      <c r="AZ159" s="173">
        <f t="shared" si="79"/>
        <v>0</v>
      </c>
      <c r="BA159" s="173">
        <f t="shared" si="79"/>
        <v>0</v>
      </c>
      <c r="BB159" s="173">
        <f t="shared" si="79"/>
        <v>0</v>
      </c>
      <c r="BC159" s="173">
        <f t="shared" si="79"/>
        <v>0</v>
      </c>
      <c r="BD159" s="173">
        <f t="shared" si="79"/>
        <v>0</v>
      </c>
      <c r="BE159" s="173">
        <f t="shared" si="79"/>
        <v>0</v>
      </c>
      <c r="BF159" s="173">
        <f t="shared" si="79"/>
        <v>0</v>
      </c>
      <c r="BG159" s="173">
        <f t="shared" si="79"/>
        <v>0</v>
      </c>
      <c r="BH159" s="173">
        <f t="shared" si="79"/>
        <v>0</v>
      </c>
      <c r="BI159" s="173">
        <f t="shared" si="79"/>
        <v>0</v>
      </c>
      <c r="BJ159" s="173">
        <f t="shared" si="79"/>
        <v>0</v>
      </c>
      <c r="BK159" s="173">
        <f t="shared" si="79"/>
        <v>0</v>
      </c>
      <c r="BL159" s="173">
        <f t="shared" si="79"/>
        <v>0</v>
      </c>
      <c r="BM159" s="173">
        <f t="shared" si="79"/>
        <v>0</v>
      </c>
      <c r="BN159" s="173">
        <f t="shared" si="79"/>
        <v>0</v>
      </c>
      <c r="BO159" s="173">
        <f t="shared" si="79"/>
        <v>0</v>
      </c>
      <c r="BP159" s="173">
        <f t="shared" si="79"/>
        <v>0</v>
      </c>
      <c r="BQ159" s="173">
        <f t="shared" si="79"/>
        <v>0</v>
      </c>
      <c r="BR159" s="173">
        <f t="shared" si="79"/>
        <v>0</v>
      </c>
      <c r="BS159" s="173">
        <f t="shared" si="79"/>
        <v>0</v>
      </c>
      <c r="BZ159" s="189" t="str">
        <f>BZ96</f>
        <v>lot10</v>
      </c>
      <c r="CB159" s="173">
        <f t="shared" si="80"/>
        <v>0</v>
      </c>
      <c r="CC159" s="173">
        <f t="shared" si="80"/>
        <v>0</v>
      </c>
      <c r="CD159" s="173">
        <f t="shared" si="80"/>
        <v>0</v>
      </c>
      <c r="CE159" s="173">
        <f t="shared" si="80"/>
        <v>0</v>
      </c>
      <c r="CF159" s="173">
        <f t="shared" si="80"/>
        <v>0</v>
      </c>
      <c r="CG159" s="173">
        <f t="shared" si="80"/>
        <v>0</v>
      </c>
      <c r="CH159" s="173">
        <f t="shared" si="80"/>
        <v>0</v>
      </c>
      <c r="CI159" s="173">
        <f t="shared" si="80"/>
        <v>0</v>
      </c>
      <c r="CJ159" s="173">
        <f t="shared" si="80"/>
        <v>0</v>
      </c>
      <c r="CK159" s="173">
        <f t="shared" si="80"/>
        <v>0</v>
      </c>
      <c r="CL159" s="173">
        <f t="shared" si="80"/>
        <v>0</v>
      </c>
      <c r="CM159" s="173">
        <f t="shared" si="80"/>
        <v>0</v>
      </c>
      <c r="CN159" s="173">
        <f t="shared" si="80"/>
        <v>0</v>
      </c>
      <c r="CO159" s="173">
        <f t="shared" si="80"/>
        <v>0</v>
      </c>
      <c r="CP159" s="173">
        <f t="shared" si="80"/>
        <v>0</v>
      </c>
      <c r="CQ159" s="173">
        <f t="shared" si="80"/>
        <v>0</v>
      </c>
      <c r="CR159" s="173">
        <f t="shared" si="80"/>
        <v>0</v>
      </c>
      <c r="CS159" s="173">
        <f t="shared" si="80"/>
        <v>0</v>
      </c>
      <c r="CT159" s="173">
        <f t="shared" si="80"/>
        <v>0</v>
      </c>
      <c r="CU159" s="173">
        <f t="shared" si="80"/>
        <v>0</v>
      </c>
      <c r="CV159" s="173">
        <f t="shared" si="80"/>
        <v>0</v>
      </c>
      <c r="CW159" s="173">
        <f t="shared" si="80"/>
        <v>0</v>
      </c>
      <c r="CX159" s="173">
        <f t="shared" si="80"/>
        <v>0</v>
      </c>
      <c r="CY159" s="173">
        <f t="shared" si="80"/>
        <v>0</v>
      </c>
      <c r="DC159" s="189" t="str">
        <f>DC96</f>
        <v>lot10</v>
      </c>
      <c r="DE159" s="173">
        <f t="shared" si="81"/>
        <v>0</v>
      </c>
      <c r="DF159" s="173">
        <f t="shared" si="81"/>
        <v>0</v>
      </c>
      <c r="DG159" s="173">
        <f t="shared" si="81"/>
        <v>0</v>
      </c>
      <c r="DH159" s="173">
        <f t="shared" si="81"/>
        <v>0</v>
      </c>
      <c r="DI159" s="173">
        <f t="shared" si="81"/>
        <v>0</v>
      </c>
      <c r="DJ159" s="173">
        <f t="shared" si="81"/>
        <v>0</v>
      </c>
      <c r="DK159" s="173">
        <f t="shared" si="81"/>
        <v>0</v>
      </c>
      <c r="DL159" s="173">
        <f t="shared" si="81"/>
        <v>0</v>
      </c>
      <c r="DM159" s="173">
        <f t="shared" si="81"/>
        <v>0</v>
      </c>
      <c r="DN159" s="173">
        <f t="shared" si="81"/>
        <v>0</v>
      </c>
      <c r="DO159" s="173">
        <f t="shared" si="81"/>
        <v>0</v>
      </c>
      <c r="DP159" s="173">
        <f t="shared" si="81"/>
        <v>0</v>
      </c>
      <c r="DQ159" s="173">
        <f t="shared" si="81"/>
        <v>0</v>
      </c>
      <c r="DR159" s="173">
        <f t="shared" si="81"/>
        <v>0</v>
      </c>
      <c r="DS159" s="173">
        <f t="shared" si="81"/>
        <v>0</v>
      </c>
      <c r="DT159" s="173">
        <f t="shared" si="81"/>
        <v>0</v>
      </c>
      <c r="DU159" s="173">
        <f t="shared" si="81"/>
        <v>0</v>
      </c>
      <c r="DV159" s="173">
        <f t="shared" si="81"/>
        <v>0</v>
      </c>
      <c r="DW159" s="173">
        <f t="shared" si="81"/>
        <v>0</v>
      </c>
      <c r="DX159" s="173">
        <f t="shared" si="81"/>
        <v>0</v>
      </c>
      <c r="DY159" s="173">
        <f t="shared" si="81"/>
        <v>0</v>
      </c>
      <c r="DZ159" s="173">
        <f t="shared" si="81"/>
        <v>0</v>
      </c>
      <c r="EA159" s="173">
        <f t="shared" si="81"/>
        <v>0</v>
      </c>
      <c r="EB159" s="173">
        <f t="shared" si="81"/>
        <v>0</v>
      </c>
    </row>
    <row r="160" spans="1:132" x14ac:dyDescent="0.25">
      <c r="B160" s="14" t="s">
        <v>1268</v>
      </c>
      <c r="C160" s="173">
        <f>'Calcul éco'!C30</f>
        <v>0</v>
      </c>
      <c r="D160" s="263">
        <f t="shared" si="50"/>
        <v>0</v>
      </c>
      <c r="AT160" s="204" t="s">
        <v>13</v>
      </c>
      <c r="AV160" s="62">
        <f>SUM(AV151:AV159)</f>
        <v>351.51339043695106</v>
      </c>
      <c r="AW160" s="62">
        <f t="shared" ref="AW160:BS160" si="83">SUM(AW151:AW159)</f>
        <v>348.97538761791174</v>
      </c>
      <c r="AX160" s="62">
        <f t="shared" si="83"/>
        <v>346.43738479887236</v>
      </c>
      <c r="AY160" s="62">
        <f t="shared" si="83"/>
        <v>345.1683833893527</v>
      </c>
      <c r="AZ160" s="62">
        <f t="shared" si="83"/>
        <v>343.89938197983298</v>
      </c>
      <c r="BA160" s="62">
        <f t="shared" si="83"/>
        <v>342.63038057031332</v>
      </c>
      <c r="BB160" s="62">
        <f t="shared" si="83"/>
        <v>341.36137916079366</v>
      </c>
      <c r="BC160" s="62">
        <f t="shared" si="83"/>
        <v>340.09237775127394</v>
      </c>
      <c r="BD160" s="62">
        <f t="shared" si="83"/>
        <v>337.55437493223462</v>
      </c>
      <c r="BE160" s="62">
        <f t="shared" si="83"/>
        <v>310.90534533232136</v>
      </c>
      <c r="BF160" s="62">
        <f t="shared" si="83"/>
        <v>310.90534533232136</v>
      </c>
      <c r="BG160" s="62">
        <f t="shared" si="83"/>
        <v>65.988073295023312</v>
      </c>
      <c r="BH160" s="62">
        <f t="shared" si="83"/>
        <v>65.988073295023312</v>
      </c>
      <c r="BI160" s="62">
        <f t="shared" si="83"/>
        <v>65.988073295023312</v>
      </c>
      <c r="BJ160" s="62">
        <f t="shared" si="83"/>
        <v>65.988073295023312</v>
      </c>
      <c r="BK160" s="62">
        <f t="shared" si="83"/>
        <v>65.988073295023312</v>
      </c>
      <c r="BL160" s="62">
        <f t="shared" si="83"/>
        <v>65.988073295023312</v>
      </c>
      <c r="BM160" s="62">
        <f t="shared" si="83"/>
        <v>65.988073295023312</v>
      </c>
      <c r="BN160" s="62">
        <f t="shared" si="83"/>
        <v>310.90534533232136</v>
      </c>
      <c r="BO160" s="62">
        <f t="shared" si="83"/>
        <v>299.48433264664425</v>
      </c>
      <c r="BP160" s="62">
        <f t="shared" si="83"/>
        <v>299.48433264664425</v>
      </c>
      <c r="BQ160" s="62">
        <f t="shared" si="83"/>
        <v>351.51339043695106</v>
      </c>
      <c r="BR160" s="62">
        <f t="shared" si="83"/>
        <v>351.51339043695106</v>
      </c>
      <c r="BS160" s="62">
        <f t="shared" si="83"/>
        <v>351.51339043695106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1269</v>
      </c>
      <c r="B161" s="14" t="s">
        <v>1270</v>
      </c>
      <c r="C161" s="262">
        <f>IF(Troupeau!$B$3="OL",CdTrp1!$AA$159,0)</f>
        <v>97.279967475965137</v>
      </c>
      <c r="D161" s="263">
        <f t="shared" si="50"/>
        <v>93.398472514330621</v>
      </c>
      <c r="AT161" s="189" t="s">
        <v>844</v>
      </c>
      <c r="AV161" s="173">
        <f>IF($AT$62="OL",AV160/50,AV160/10)</f>
        <v>7.0302678087390209</v>
      </c>
      <c r="AW161" s="173">
        <f t="shared" ref="AW161:BS161" si="86">IF($AT$62="OL",AW160/50,AW160/10)</f>
        <v>6.9795077523582343</v>
      </c>
      <c r="AX161" s="173">
        <f t="shared" si="86"/>
        <v>6.9287476959774468</v>
      </c>
      <c r="AY161" s="173">
        <f t="shared" si="86"/>
        <v>6.9033676677870544</v>
      </c>
      <c r="AZ161" s="173">
        <f t="shared" si="86"/>
        <v>6.8779876395966593</v>
      </c>
      <c r="BA161" s="173">
        <f t="shared" si="86"/>
        <v>6.8526076114062668</v>
      </c>
      <c r="BB161" s="173">
        <f t="shared" si="86"/>
        <v>6.8272275832158735</v>
      </c>
      <c r="BC161" s="173">
        <f t="shared" si="86"/>
        <v>6.8018475550254784</v>
      </c>
      <c r="BD161" s="173">
        <f t="shared" si="86"/>
        <v>6.7510874986446927</v>
      </c>
      <c r="BE161" s="173">
        <f t="shared" si="86"/>
        <v>6.218106906646427</v>
      </c>
      <c r="BF161" s="173">
        <f t="shared" si="86"/>
        <v>6.218106906646427</v>
      </c>
      <c r="BG161" s="173">
        <f t="shared" si="86"/>
        <v>1.3197614659004662</v>
      </c>
      <c r="BH161" s="173">
        <f t="shared" si="86"/>
        <v>1.3197614659004662</v>
      </c>
      <c r="BI161" s="173">
        <f t="shared" si="86"/>
        <v>1.3197614659004662</v>
      </c>
      <c r="BJ161" s="173">
        <f t="shared" si="86"/>
        <v>1.3197614659004662</v>
      </c>
      <c r="BK161" s="173">
        <f t="shared" si="86"/>
        <v>1.3197614659004662</v>
      </c>
      <c r="BL161" s="173">
        <f t="shared" si="86"/>
        <v>1.3197614659004662</v>
      </c>
      <c r="BM161" s="173">
        <f t="shared" si="86"/>
        <v>1.3197614659004662</v>
      </c>
      <c r="BN161" s="173">
        <f t="shared" si="86"/>
        <v>6.218106906646427</v>
      </c>
      <c r="BO161" s="173">
        <f t="shared" si="86"/>
        <v>5.9896866529328854</v>
      </c>
      <c r="BP161" s="173">
        <f t="shared" si="86"/>
        <v>5.9896866529328854</v>
      </c>
      <c r="BQ161" s="173">
        <f t="shared" si="86"/>
        <v>7.0302678087390209</v>
      </c>
      <c r="BR161" s="173">
        <f t="shared" si="86"/>
        <v>7.0302678087390209</v>
      </c>
      <c r="BS161" s="173">
        <f t="shared" si="86"/>
        <v>7.0302678087390209</v>
      </c>
      <c r="BZ161" s="32" t="s">
        <v>844</v>
      </c>
      <c r="CB161" s="173">
        <f>IF($AT$62="OL",CB160/50,CB160/10)</f>
        <v>0</v>
      </c>
      <c r="CC161" s="173">
        <f t="shared" ref="CC161:CY161" si="87">IF($AT$62="OL",CC160/50,CC160/10)</f>
        <v>0</v>
      </c>
      <c r="CD161" s="173">
        <f t="shared" si="87"/>
        <v>0</v>
      </c>
      <c r="CE161" s="173">
        <f t="shared" si="87"/>
        <v>0</v>
      </c>
      <c r="CF161" s="173">
        <f t="shared" si="87"/>
        <v>0</v>
      </c>
      <c r="CG161" s="173">
        <f t="shared" si="87"/>
        <v>0</v>
      </c>
      <c r="CH161" s="173">
        <f t="shared" si="87"/>
        <v>0</v>
      </c>
      <c r="CI161" s="173">
        <f t="shared" si="87"/>
        <v>0</v>
      </c>
      <c r="CJ161" s="173">
        <f t="shared" si="87"/>
        <v>0</v>
      </c>
      <c r="CK161" s="173">
        <f t="shared" si="87"/>
        <v>0</v>
      </c>
      <c r="CL161" s="173">
        <f t="shared" si="87"/>
        <v>0</v>
      </c>
      <c r="CM161" s="173">
        <f t="shared" si="87"/>
        <v>0</v>
      </c>
      <c r="CN161" s="173">
        <f t="shared" si="87"/>
        <v>0</v>
      </c>
      <c r="CO161" s="173">
        <f t="shared" si="87"/>
        <v>0</v>
      </c>
      <c r="CP161" s="173">
        <f t="shared" si="87"/>
        <v>0</v>
      </c>
      <c r="CQ161" s="173">
        <f t="shared" si="87"/>
        <v>0</v>
      </c>
      <c r="CR161" s="173">
        <f t="shared" si="87"/>
        <v>0</v>
      </c>
      <c r="CS161" s="173">
        <f t="shared" si="87"/>
        <v>0</v>
      </c>
      <c r="CT161" s="173">
        <f t="shared" si="87"/>
        <v>0</v>
      </c>
      <c r="CU161" s="173">
        <f t="shared" si="87"/>
        <v>0</v>
      </c>
      <c r="CV161" s="173">
        <f t="shared" si="87"/>
        <v>0</v>
      </c>
      <c r="CW161" s="173">
        <f t="shared" si="87"/>
        <v>0</v>
      </c>
      <c r="CX161" s="173">
        <f t="shared" si="87"/>
        <v>0</v>
      </c>
      <c r="CY161" s="173">
        <f t="shared" si="87"/>
        <v>0</v>
      </c>
      <c r="DC161" s="32" t="s">
        <v>844</v>
      </c>
      <c r="DE161" s="173">
        <f>IF($AT$62="OL",DE160/50,DE160/10)</f>
        <v>0</v>
      </c>
      <c r="DF161" s="173">
        <f t="shared" ref="DF161:EB161" si="88">IF($AT$62="OL",DF160/50,DF160/10)</f>
        <v>0</v>
      </c>
      <c r="DG161" s="173">
        <f t="shared" si="88"/>
        <v>0</v>
      </c>
      <c r="DH161" s="173">
        <f t="shared" si="88"/>
        <v>0</v>
      </c>
      <c r="DI161" s="173">
        <f t="shared" si="88"/>
        <v>0</v>
      </c>
      <c r="DJ161" s="173">
        <f t="shared" si="88"/>
        <v>0</v>
      </c>
      <c r="DK161" s="173">
        <f t="shared" si="88"/>
        <v>0</v>
      </c>
      <c r="DL161" s="173">
        <f t="shared" si="88"/>
        <v>0</v>
      </c>
      <c r="DM161" s="173">
        <f t="shared" si="88"/>
        <v>0</v>
      </c>
      <c r="DN161" s="173">
        <f t="shared" si="88"/>
        <v>0</v>
      </c>
      <c r="DO161" s="173">
        <f t="shared" si="88"/>
        <v>0</v>
      </c>
      <c r="DP161" s="173">
        <f t="shared" si="88"/>
        <v>0</v>
      </c>
      <c r="DQ161" s="173">
        <f t="shared" si="88"/>
        <v>0</v>
      </c>
      <c r="DR161" s="173">
        <f t="shared" si="88"/>
        <v>0</v>
      </c>
      <c r="DS161" s="173">
        <f t="shared" si="88"/>
        <v>0</v>
      </c>
      <c r="DT161" s="173">
        <f t="shared" si="88"/>
        <v>0</v>
      </c>
      <c r="DU161" s="173">
        <f t="shared" si="88"/>
        <v>0</v>
      </c>
      <c r="DV161" s="173">
        <f t="shared" si="88"/>
        <v>0</v>
      </c>
      <c r="DW161" s="173">
        <f t="shared" si="88"/>
        <v>0</v>
      </c>
      <c r="DX161" s="173">
        <f t="shared" si="88"/>
        <v>0</v>
      </c>
      <c r="DY161" s="173">
        <f t="shared" si="88"/>
        <v>0</v>
      </c>
      <c r="DZ161" s="173">
        <f t="shared" si="88"/>
        <v>0</v>
      </c>
      <c r="EA161" s="173">
        <f t="shared" si="88"/>
        <v>0</v>
      </c>
      <c r="EB161" s="173">
        <f t="shared" si="88"/>
        <v>0</v>
      </c>
    </row>
    <row r="162" spans="1:132" x14ac:dyDescent="0.25">
      <c r="A162" t="s">
        <v>1271</v>
      </c>
      <c r="B162" s="14" t="s">
        <v>1272</v>
      </c>
      <c r="C162" s="262">
        <f>IF(Troupeau!$B$3="OL",CdTrp1!$AA$147,0)</f>
        <v>118.16137958722092</v>
      </c>
      <c r="D162" s="263">
        <f t="shared" si="50"/>
        <v>113.4467110750126</v>
      </c>
      <c r="AT162" s="189" t="s">
        <v>846</v>
      </c>
      <c r="AV162" s="173">
        <f>IF(AV161&gt;1,AV161-1,0)</f>
        <v>6.0302678087390209</v>
      </c>
      <c r="AW162" s="173">
        <f t="shared" ref="AW162:BS162" si="89">IF(AW161&gt;1,AW161-1,0)</f>
        <v>5.9795077523582343</v>
      </c>
      <c r="AX162" s="173">
        <f t="shared" si="89"/>
        <v>5.9287476959774468</v>
      </c>
      <c r="AY162" s="173">
        <f t="shared" si="89"/>
        <v>5.9033676677870544</v>
      </c>
      <c r="AZ162" s="173">
        <f t="shared" si="89"/>
        <v>5.8779876395966593</v>
      </c>
      <c r="BA162" s="173">
        <f t="shared" si="89"/>
        <v>5.8526076114062668</v>
      </c>
      <c r="BB162" s="173">
        <f t="shared" si="89"/>
        <v>5.8272275832158735</v>
      </c>
      <c r="BC162" s="173">
        <f t="shared" si="89"/>
        <v>5.8018475550254784</v>
      </c>
      <c r="BD162" s="173">
        <f t="shared" si="89"/>
        <v>5.7510874986446927</v>
      </c>
      <c r="BE162" s="173">
        <f t="shared" si="89"/>
        <v>5.218106906646427</v>
      </c>
      <c r="BF162" s="173">
        <f t="shared" si="89"/>
        <v>5.218106906646427</v>
      </c>
      <c r="BG162" s="173">
        <f t="shared" si="89"/>
        <v>0.31976146590046617</v>
      </c>
      <c r="BH162" s="173">
        <f t="shared" si="89"/>
        <v>0.31976146590046617</v>
      </c>
      <c r="BI162" s="173">
        <f t="shared" si="89"/>
        <v>0.31976146590046617</v>
      </c>
      <c r="BJ162" s="173">
        <f t="shared" si="89"/>
        <v>0.31976146590046617</v>
      </c>
      <c r="BK162" s="173">
        <f t="shared" si="89"/>
        <v>0.31976146590046617</v>
      </c>
      <c r="BL162" s="173">
        <f t="shared" si="89"/>
        <v>0.31976146590046617</v>
      </c>
      <c r="BM162" s="173">
        <f t="shared" si="89"/>
        <v>0.31976146590046617</v>
      </c>
      <c r="BN162" s="173">
        <f t="shared" si="89"/>
        <v>5.218106906646427</v>
      </c>
      <c r="BO162" s="173">
        <f t="shared" si="89"/>
        <v>4.9896866529328854</v>
      </c>
      <c r="BP162" s="173">
        <f t="shared" si="89"/>
        <v>4.9896866529328854</v>
      </c>
      <c r="BQ162" s="173">
        <f t="shared" si="89"/>
        <v>6.0302678087390209</v>
      </c>
      <c r="BR162" s="173">
        <f t="shared" si="89"/>
        <v>6.0302678087390209</v>
      </c>
      <c r="BS162" s="173">
        <f t="shared" si="89"/>
        <v>6.0302678087390209</v>
      </c>
      <c r="BZ162" s="32" t="s">
        <v>846</v>
      </c>
      <c r="CB162" s="173">
        <f>IF(CB161&gt;1,CB161-1,0)</f>
        <v>0</v>
      </c>
      <c r="CC162" s="173">
        <f t="shared" ref="CC162:CY162" si="90">IF(CC161&gt;1,CC161-1,0)</f>
        <v>0</v>
      </c>
      <c r="CD162" s="173">
        <f t="shared" si="90"/>
        <v>0</v>
      </c>
      <c r="CE162" s="173">
        <f t="shared" si="90"/>
        <v>0</v>
      </c>
      <c r="CF162" s="173">
        <f t="shared" si="90"/>
        <v>0</v>
      </c>
      <c r="CG162" s="173">
        <f t="shared" si="90"/>
        <v>0</v>
      </c>
      <c r="CH162" s="173">
        <f t="shared" si="90"/>
        <v>0</v>
      </c>
      <c r="CI162" s="173">
        <f t="shared" si="90"/>
        <v>0</v>
      </c>
      <c r="CJ162" s="173">
        <f t="shared" si="90"/>
        <v>0</v>
      </c>
      <c r="CK162" s="173">
        <f t="shared" si="90"/>
        <v>0</v>
      </c>
      <c r="CL162" s="173">
        <f t="shared" si="90"/>
        <v>0</v>
      </c>
      <c r="CM162" s="173">
        <f t="shared" si="90"/>
        <v>0</v>
      </c>
      <c r="CN162" s="173">
        <f t="shared" si="90"/>
        <v>0</v>
      </c>
      <c r="CO162" s="173">
        <f t="shared" si="90"/>
        <v>0</v>
      </c>
      <c r="CP162" s="173">
        <f t="shared" si="90"/>
        <v>0</v>
      </c>
      <c r="CQ162" s="173">
        <f t="shared" si="90"/>
        <v>0</v>
      </c>
      <c r="CR162" s="173">
        <f t="shared" si="90"/>
        <v>0</v>
      </c>
      <c r="CS162" s="173">
        <f t="shared" si="90"/>
        <v>0</v>
      </c>
      <c r="CT162" s="173">
        <f t="shared" si="90"/>
        <v>0</v>
      </c>
      <c r="CU162" s="173">
        <f t="shared" si="90"/>
        <v>0</v>
      </c>
      <c r="CV162" s="173">
        <f t="shared" si="90"/>
        <v>0</v>
      </c>
      <c r="CW162" s="173">
        <f t="shared" si="90"/>
        <v>0</v>
      </c>
      <c r="CX162" s="173">
        <f t="shared" si="90"/>
        <v>0</v>
      </c>
      <c r="CY162" s="173">
        <f t="shared" si="90"/>
        <v>0</v>
      </c>
      <c r="DC162" s="32" t="s">
        <v>846</v>
      </c>
      <c r="DE162" s="173">
        <f>IF(DE161&gt;1,DE161-1,0)</f>
        <v>0</v>
      </c>
      <c r="DF162" s="173">
        <f t="shared" ref="DF162:EB162" si="91">IF(DF161&gt;1,DF161-1,0)</f>
        <v>0</v>
      </c>
      <c r="DG162" s="173">
        <f t="shared" si="91"/>
        <v>0</v>
      </c>
      <c r="DH162" s="173">
        <f t="shared" si="91"/>
        <v>0</v>
      </c>
      <c r="DI162" s="173">
        <f t="shared" si="91"/>
        <v>0</v>
      </c>
      <c r="DJ162" s="173">
        <f t="shared" si="91"/>
        <v>0</v>
      </c>
      <c r="DK162" s="173">
        <f t="shared" si="91"/>
        <v>0</v>
      </c>
      <c r="DL162" s="173">
        <f t="shared" si="91"/>
        <v>0</v>
      </c>
      <c r="DM162" s="173">
        <f t="shared" si="91"/>
        <v>0</v>
      </c>
      <c r="DN162" s="173">
        <f t="shared" si="91"/>
        <v>0</v>
      </c>
      <c r="DO162" s="173">
        <f t="shared" si="91"/>
        <v>0</v>
      </c>
      <c r="DP162" s="173">
        <f t="shared" si="91"/>
        <v>0</v>
      </c>
      <c r="DQ162" s="173">
        <f t="shared" si="91"/>
        <v>0</v>
      </c>
      <c r="DR162" s="173">
        <f t="shared" si="91"/>
        <v>0</v>
      </c>
      <c r="DS162" s="173">
        <f t="shared" si="91"/>
        <v>0</v>
      </c>
      <c r="DT162" s="173">
        <f t="shared" si="91"/>
        <v>0</v>
      </c>
      <c r="DU162" s="173">
        <f t="shared" si="91"/>
        <v>0</v>
      </c>
      <c r="DV162" s="173">
        <f t="shared" si="91"/>
        <v>0</v>
      </c>
      <c r="DW162" s="173">
        <f t="shared" si="91"/>
        <v>0</v>
      </c>
      <c r="DX162" s="173">
        <f t="shared" si="91"/>
        <v>0</v>
      </c>
      <c r="DY162" s="173">
        <f t="shared" si="91"/>
        <v>0</v>
      </c>
      <c r="DZ162" s="173">
        <f t="shared" si="91"/>
        <v>0</v>
      </c>
      <c r="EA162" s="173">
        <f t="shared" si="91"/>
        <v>0</v>
      </c>
      <c r="EB162" s="173">
        <f t="shared" si="91"/>
        <v>0</v>
      </c>
    </row>
    <row r="163" spans="1:132" x14ac:dyDescent="0.25">
      <c r="B163" s="14" t="s">
        <v>1273</v>
      </c>
      <c r="C163" s="262">
        <f>IF(Troupeau!$B$3="BL",CdTrp1!$AA$159,0)</f>
        <v>0</v>
      </c>
      <c r="D163" s="263">
        <f t="shared" si="50"/>
        <v>0</v>
      </c>
      <c r="AT163" s="40" t="s">
        <v>848</v>
      </c>
      <c r="AV163" s="62">
        <f>AV147+AV148*AV162</f>
        <v>52.552968665293285</v>
      </c>
      <c r="AW163" s="62">
        <f t="shared" ref="AW163:BS163" si="92">AW147+AW148*AW162</f>
        <v>52.464138566626914</v>
      </c>
      <c r="AX163" s="62">
        <f t="shared" si="92"/>
        <v>52.375308467960529</v>
      </c>
      <c r="AY163" s="62">
        <f t="shared" si="92"/>
        <v>52.330893418627348</v>
      </c>
      <c r="AZ163" s="62">
        <f t="shared" si="92"/>
        <v>52.286478369294151</v>
      </c>
      <c r="BA163" s="62">
        <f t="shared" si="92"/>
        <v>31.242063319960966</v>
      </c>
      <c r="BB163" s="62">
        <f t="shared" si="92"/>
        <v>31.197648270627781</v>
      </c>
      <c r="BC163" s="62">
        <f t="shared" si="92"/>
        <v>31.153233221294588</v>
      </c>
      <c r="BD163" s="62">
        <f t="shared" si="92"/>
        <v>31.064403122628214</v>
      </c>
      <c r="BE163" s="62">
        <f t="shared" si="92"/>
        <v>30.131687086631246</v>
      </c>
      <c r="BF163" s="62">
        <f t="shared" si="92"/>
        <v>30.131687086631246</v>
      </c>
      <c r="BG163" s="62">
        <f t="shared" si="92"/>
        <v>21.559582565325815</v>
      </c>
      <c r="BH163" s="62">
        <f t="shared" si="92"/>
        <v>21.559582565325815</v>
      </c>
      <c r="BI163" s="62">
        <f t="shared" si="92"/>
        <v>21.559582565325815</v>
      </c>
      <c r="BJ163" s="62">
        <f t="shared" si="92"/>
        <v>21.559582565325815</v>
      </c>
      <c r="BK163" s="62">
        <f t="shared" si="92"/>
        <v>21.559582565325815</v>
      </c>
      <c r="BL163" s="62">
        <f t="shared" si="92"/>
        <v>21.559582565325815</v>
      </c>
      <c r="BM163" s="62">
        <f t="shared" si="92"/>
        <v>21.559582565325815</v>
      </c>
      <c r="BN163" s="62">
        <f t="shared" si="92"/>
        <v>30.131687086631246</v>
      </c>
      <c r="BO163" s="62">
        <f t="shared" si="92"/>
        <v>29.731951642632549</v>
      </c>
      <c r="BP163" s="62">
        <f t="shared" si="92"/>
        <v>50.731951642632552</v>
      </c>
      <c r="BQ163" s="62">
        <f t="shared" si="92"/>
        <v>52.552968665293285</v>
      </c>
      <c r="BR163" s="62">
        <f t="shared" si="92"/>
        <v>52.552968665293285</v>
      </c>
      <c r="BS163" s="62">
        <f t="shared" si="92"/>
        <v>52.552968665293285</v>
      </c>
      <c r="BZ163" s="40" t="s">
        <v>848</v>
      </c>
      <c r="CB163" s="62">
        <f>CB147+CB148*CB162</f>
        <v>42</v>
      </c>
      <c r="CC163" s="62">
        <f t="shared" ref="CC163:CY163" si="93">CC147+CC148*CC162</f>
        <v>42</v>
      </c>
      <c r="CD163" s="62">
        <f t="shared" si="93"/>
        <v>42</v>
      </c>
      <c r="CE163" s="62">
        <f t="shared" si="93"/>
        <v>42</v>
      </c>
      <c r="CF163" s="62">
        <f t="shared" si="93"/>
        <v>42</v>
      </c>
      <c r="CG163" s="62">
        <f t="shared" si="93"/>
        <v>42</v>
      </c>
      <c r="CH163" s="62">
        <f t="shared" si="93"/>
        <v>21</v>
      </c>
      <c r="CI163" s="62">
        <f t="shared" si="93"/>
        <v>21</v>
      </c>
      <c r="CJ163" s="62">
        <f t="shared" si="93"/>
        <v>21</v>
      </c>
      <c r="CK163" s="62">
        <f t="shared" si="93"/>
        <v>21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21</v>
      </c>
      <c r="CU163" s="62">
        <f t="shared" si="93"/>
        <v>21</v>
      </c>
      <c r="CV163" s="62">
        <f t="shared" si="93"/>
        <v>21</v>
      </c>
      <c r="CW163" s="62">
        <f t="shared" si="93"/>
        <v>21</v>
      </c>
      <c r="CX163" s="62">
        <f t="shared" si="93"/>
        <v>42</v>
      </c>
      <c r="CY163" s="62">
        <f t="shared" si="93"/>
        <v>42</v>
      </c>
      <c r="DC163" s="40" t="s">
        <v>848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1274</v>
      </c>
      <c r="C164" s="262">
        <f>IF(Troupeau!$B$3="BL",ROUND(CdTrp1!$AA$147,0),0)</f>
        <v>0</v>
      </c>
      <c r="D164" s="263">
        <f t="shared" si="50"/>
        <v>0</v>
      </c>
      <c r="AS164" s="2"/>
      <c r="AV164" s="273"/>
      <c r="AW164" s="273"/>
      <c r="AX164" s="273"/>
      <c r="AY164" s="273"/>
      <c r="AZ164" s="273"/>
      <c r="BA164" s="273"/>
      <c r="BB164" s="273"/>
      <c r="BC164" s="273"/>
      <c r="BD164" s="273"/>
      <c r="BE164" s="273"/>
      <c r="BF164" s="273"/>
      <c r="BG164" s="273"/>
      <c r="BH164" s="273"/>
      <c r="BI164" s="273"/>
      <c r="BJ164" s="273"/>
      <c r="BK164" s="273"/>
      <c r="BL164" s="273"/>
      <c r="BM164" s="273"/>
      <c r="BN164" s="273"/>
      <c r="BO164" s="273"/>
      <c r="BP164" s="273"/>
      <c r="BQ164" s="273"/>
      <c r="BR164" s="273"/>
      <c r="BS164" s="273"/>
      <c r="CB164" s="273"/>
      <c r="CC164" s="273"/>
      <c r="CD164" s="273"/>
      <c r="CE164" s="273"/>
      <c r="CF164" s="273"/>
      <c r="CG164" s="273"/>
      <c r="CH164" s="273"/>
      <c r="CI164" s="273"/>
      <c r="CJ164" s="273"/>
      <c r="CK164" s="273"/>
      <c r="CL164" s="273"/>
      <c r="CM164" s="273"/>
      <c r="CN164" s="273"/>
      <c r="CO164" s="273"/>
      <c r="CP164" s="273"/>
      <c r="CQ164" s="273"/>
      <c r="CR164" s="273"/>
      <c r="CS164" s="273"/>
      <c r="CT164" s="273"/>
      <c r="CU164" s="273"/>
      <c r="CV164" s="273"/>
      <c r="CW164" s="273"/>
      <c r="CX164" s="273"/>
      <c r="CY164" s="273"/>
      <c r="DE164" s="273"/>
      <c r="DF164" s="273"/>
      <c r="DG164" s="273"/>
      <c r="DH164" s="273"/>
      <c r="DI164" s="273"/>
      <c r="DJ164" s="273"/>
      <c r="DK164" s="273"/>
      <c r="DL164" s="273"/>
      <c r="DM164" s="273"/>
      <c r="DN164" s="273"/>
      <c r="DO164" s="273"/>
      <c r="DP164" s="273"/>
      <c r="DQ164" s="273"/>
      <c r="DR164" s="273"/>
      <c r="DS164" s="273"/>
      <c r="DT164" s="273"/>
      <c r="DU164" s="273"/>
      <c r="DV164" s="273"/>
      <c r="DW164" s="273"/>
      <c r="DX164" s="273"/>
      <c r="DY164" s="273"/>
      <c r="DZ164" s="273"/>
      <c r="EA164" s="273"/>
      <c r="EB164" s="273"/>
    </row>
    <row r="165" spans="1:132" x14ac:dyDescent="0.25">
      <c r="B165" s="14" t="s">
        <v>1275</v>
      </c>
      <c r="C165" s="262">
        <f>IF(Troupeau!$B$3="BV",CdTrp1!$AA$159,0)+IF(Troupeau!$C$3="BV",CdTrp2!$AA$159,0)</f>
        <v>57.507144960000012</v>
      </c>
      <c r="D165" s="263">
        <f t="shared" si="50"/>
        <v>55.212595535162109</v>
      </c>
      <c r="AT165" s="40" t="s">
        <v>851</v>
      </c>
      <c r="AV165" s="273"/>
      <c r="AW165" s="273"/>
      <c r="AX165" s="273"/>
      <c r="AY165" s="273"/>
      <c r="AZ165" s="273"/>
      <c r="BA165" s="273"/>
      <c r="BB165" s="273"/>
      <c r="BC165" s="273"/>
      <c r="BD165" s="273"/>
      <c r="BE165" s="273"/>
      <c r="BF165" s="273"/>
      <c r="BG165" s="273"/>
      <c r="BH165" s="273"/>
      <c r="BI165" s="273"/>
      <c r="BJ165" s="273"/>
      <c r="BK165" s="273"/>
      <c r="BL165" s="273"/>
      <c r="BM165" s="273"/>
      <c r="BN165" s="273"/>
      <c r="BO165" s="273"/>
      <c r="BP165" s="273"/>
      <c r="BQ165" s="273"/>
      <c r="BR165" s="273"/>
      <c r="BS165" s="273"/>
      <c r="CB165" s="273"/>
      <c r="CC165" s="273"/>
      <c r="CD165" s="273"/>
      <c r="CE165" s="273"/>
      <c r="CF165" s="273"/>
      <c r="CG165" s="273"/>
      <c r="CH165" s="273"/>
      <c r="CI165" s="273"/>
      <c r="CJ165" s="273"/>
      <c r="CK165" s="273"/>
      <c r="CL165" s="273"/>
      <c r="CM165" s="273"/>
      <c r="CN165" s="273"/>
      <c r="CO165" s="273"/>
      <c r="CP165" s="273"/>
      <c r="CQ165" s="273"/>
      <c r="CR165" s="273"/>
      <c r="CS165" s="273"/>
      <c r="CT165" s="273"/>
      <c r="CU165" s="273"/>
      <c r="CV165" s="273"/>
      <c r="CW165" s="273"/>
      <c r="CX165" s="273"/>
      <c r="CY165" s="273"/>
      <c r="DE165" s="273"/>
      <c r="DF165" s="273"/>
      <c r="DG165" s="273"/>
      <c r="DH165" s="273"/>
      <c r="DI165" s="273"/>
      <c r="DJ165" s="273"/>
      <c r="DK165" s="273"/>
      <c r="DL165" s="273"/>
      <c r="DM165" s="273"/>
      <c r="DN165" s="273"/>
      <c r="DO165" s="273"/>
      <c r="DP165" s="273"/>
      <c r="DQ165" s="273"/>
      <c r="DR165" s="273"/>
      <c r="DS165" s="273"/>
      <c r="DT165" s="273"/>
      <c r="DU165" s="273"/>
      <c r="DV165" s="273"/>
      <c r="DW165" s="273"/>
      <c r="DX165" s="273"/>
      <c r="DY165" s="273"/>
      <c r="DZ165" s="273"/>
      <c r="EA165" s="273"/>
      <c r="EB165" s="273"/>
    </row>
    <row r="166" spans="1:132" x14ac:dyDescent="0.25">
      <c r="B166" s="14" t="s">
        <v>1276</v>
      </c>
      <c r="C166" s="262">
        <f>IF(Troupeau!$B$3="BV",CdTrp1!$AA$147,0)+IF(Troupeau!$C$3="BV",CdTrp2!$AA$147,0)</f>
        <v>38.706725063999997</v>
      </c>
      <c r="D166" s="263">
        <f t="shared" si="50"/>
        <v>37.162317081396502</v>
      </c>
      <c r="AT166" s="147" t="s">
        <v>853</v>
      </c>
      <c r="AU166" s="17">
        <f>VLOOKUP(AU120,[1]Trav!$B$12:$C$31,2)</f>
        <v>2</v>
      </c>
      <c r="AV166" s="273"/>
      <c r="AW166" s="273"/>
      <c r="AX166" s="273"/>
      <c r="AY166" s="273"/>
      <c r="AZ166" s="273"/>
      <c r="BA166" s="273"/>
      <c r="BB166" s="273"/>
      <c r="BC166" s="273"/>
      <c r="BD166" s="273"/>
      <c r="BE166" s="273"/>
      <c r="BF166" s="273"/>
      <c r="BG166" s="273"/>
      <c r="BH166" s="273"/>
      <c r="BI166" s="273"/>
      <c r="BJ166" s="273"/>
      <c r="BK166" s="273"/>
      <c r="BL166" s="273"/>
      <c r="BM166" s="273"/>
      <c r="BN166" s="273"/>
      <c r="BO166" s="273"/>
      <c r="BP166" s="273"/>
      <c r="BQ166" s="273"/>
      <c r="BR166" s="273"/>
      <c r="BS166" s="273"/>
      <c r="BZ166" s="147" t="s">
        <v>853</v>
      </c>
      <c r="CA166" s="17">
        <f>VLOOKUP(CA120,[1]Trav!$B$12:$C$31,2)</f>
        <v>3</v>
      </c>
      <c r="CB166" s="273"/>
      <c r="CC166" s="273"/>
      <c r="CD166" s="273"/>
      <c r="CE166" s="273"/>
      <c r="CF166" s="273"/>
      <c r="CG166" s="273"/>
      <c r="CH166" s="273"/>
      <c r="CI166" s="273"/>
      <c r="CJ166" s="273"/>
      <c r="CK166" s="273"/>
      <c r="CL166" s="273"/>
      <c r="CM166" s="273"/>
      <c r="CN166" s="273"/>
      <c r="CO166" s="273"/>
      <c r="CP166" s="273"/>
      <c r="CQ166" s="273"/>
      <c r="CR166" s="273"/>
      <c r="CS166" s="273"/>
      <c r="CT166" s="273"/>
      <c r="CU166" s="273"/>
      <c r="CV166" s="273"/>
      <c r="CW166" s="273"/>
      <c r="CX166" s="273"/>
      <c r="CY166" s="273"/>
      <c r="DC166" s="147" t="s">
        <v>853</v>
      </c>
      <c r="DD166" s="17" t="e">
        <f>VLOOKUP(DD120,[1]Trav!$B$12:$C$31,2)</f>
        <v>#N/A</v>
      </c>
      <c r="DE166" s="273"/>
      <c r="DF166" s="273"/>
      <c r="DG166" s="273"/>
      <c r="DH166" s="273"/>
      <c r="DI166" s="273"/>
      <c r="DJ166" s="273"/>
      <c r="DK166" s="273"/>
      <c r="DL166" s="273"/>
      <c r="DM166" s="273"/>
      <c r="DN166" s="273"/>
      <c r="DO166" s="273"/>
      <c r="DP166" s="273"/>
      <c r="DQ166" s="273"/>
      <c r="DR166" s="273"/>
      <c r="DS166" s="273"/>
      <c r="DT166" s="273"/>
      <c r="DU166" s="273"/>
      <c r="DV166" s="273"/>
      <c r="DW166" s="273"/>
      <c r="DX166" s="273"/>
      <c r="DY166" s="273"/>
      <c r="DZ166" s="273"/>
      <c r="EA166" s="273"/>
      <c r="EB166" s="273"/>
    </row>
    <row r="167" spans="1:132" x14ac:dyDescent="0.25">
      <c r="B167" s="14" t="s">
        <v>1277</v>
      </c>
      <c r="C167" s="262">
        <f>IF(Troupeau!$D$3="EQ",CdTrp3!$AA$159,0)+IF(Troupeau!$C$3="EQ",CdTrp2!$AA$159,0)</f>
        <v>0</v>
      </c>
      <c r="D167" s="263">
        <f t="shared" si="50"/>
        <v>0</v>
      </c>
      <c r="AT167" s="189" t="str">
        <f t="shared" ref="AT167:AT176" si="95">AT121</f>
        <v>brebis</v>
      </c>
      <c r="AV167" s="190">
        <f>IF(AV121&gt;0,HLOOKUP(AV121,[1]Trav!$C$11:$O$31,$AU$166),0)</f>
        <v>0</v>
      </c>
      <c r="AW167" s="190">
        <f>IF(AW121&gt;0,HLOOKUP(AW121,[1]Trav!$C$11:$O$31,$AU$166),0)</f>
        <v>0</v>
      </c>
      <c r="AX167" s="190">
        <f>IF(AX121&gt;0,HLOOKUP(AX121,[1]Trav!$C$11:$O$31,$AU$166),0)</f>
        <v>0</v>
      </c>
      <c r="AY167" s="190">
        <f>IF(AY121&gt;0,HLOOKUP(AY121,[1]Trav!$C$11:$O$31,$AU$166),0)</f>
        <v>14</v>
      </c>
      <c r="AZ167" s="190">
        <f>IF(AZ121&gt;0,HLOOKUP(AZ121,[1]Trav!$C$11:$O$31,$AU$166),0)</f>
        <v>14</v>
      </c>
      <c r="BA167" s="190">
        <f>IF(BA121&gt;0,HLOOKUP(BA121,[1]Trav!$C$11:$O$31,$AU$166),0)</f>
        <v>14</v>
      </c>
      <c r="BB167" s="190">
        <f>IF(BB121&gt;0,HLOOKUP(BB121,[1]Trav!$C$11:$O$31,$AU$166),0)</f>
        <v>14</v>
      </c>
      <c r="BC167" s="190">
        <f>IF(BC121&gt;0,HLOOKUP(BC121,[1]Trav!$C$11:$O$31,$AU$166),0)</f>
        <v>14</v>
      </c>
      <c r="BD167" s="190">
        <f>IF(BD121&gt;0,HLOOKUP(BD121,[1]Trav!$C$11:$O$31,$AU$166),0)</f>
        <v>14</v>
      </c>
      <c r="BE167" s="190">
        <f>IF(BE121&gt;0,HLOOKUP(BE121,[1]Trav!$C$11:$O$31,$AU$166),0)</f>
        <v>14</v>
      </c>
      <c r="BF167" s="190">
        <f>IF(BF121&gt;0,HLOOKUP(BF121,[1]Trav!$C$11:$O$31,$AU$166),0)</f>
        <v>14</v>
      </c>
      <c r="BG167" s="190">
        <f>IF(BG121&gt;0,HLOOKUP(BG121,[1]Trav!$C$11:$O$31,$AU$166),0)</f>
        <v>0</v>
      </c>
      <c r="BH167" s="190">
        <f>IF(BH121&gt;0,HLOOKUP(BH121,[1]Trav!$C$11:$O$31,$AU$166),0)</f>
        <v>0</v>
      </c>
      <c r="BI167" s="190">
        <f>IF(BI121&gt;0,HLOOKUP(BI121,[1]Trav!$C$11:$O$31,$AU$166),0)</f>
        <v>0</v>
      </c>
      <c r="BJ167" s="190">
        <f>IF(BJ121&gt;0,HLOOKUP(BJ121,[1]Trav!$C$11:$O$31,$AU$166),0)</f>
        <v>0</v>
      </c>
      <c r="BK167" s="190">
        <f>IF(BK121&gt;0,HLOOKUP(BK121,[1]Trav!$C$11:$O$31,$AU$166),0)</f>
        <v>0</v>
      </c>
      <c r="BL167" s="190">
        <f>IF(BL121&gt;0,HLOOKUP(BL121,[1]Trav!$C$11:$O$31,$AU$166),0)</f>
        <v>0</v>
      </c>
      <c r="BM167" s="190">
        <f>IF(BM121&gt;0,HLOOKUP(BM121,[1]Trav!$C$11:$O$31,$AU$166),0)</f>
        <v>0</v>
      </c>
      <c r="BN167" s="190">
        <f>IF(BN121&gt;0,HLOOKUP(BN121,[1]Trav!$C$11:$O$31,$AU$166),0)</f>
        <v>14</v>
      </c>
      <c r="BO167" s="190">
        <f>IF(BO121&gt;0,HLOOKUP(BO121,[1]Trav!$C$11:$O$31,$AU$166),0)</f>
        <v>14</v>
      </c>
      <c r="BP167" s="190">
        <f>IF(BP121&gt;0,HLOOKUP(BP121,[1]Trav!$C$11:$O$31,$AU$166),0)</f>
        <v>0</v>
      </c>
      <c r="BQ167" s="190">
        <f>IF(BQ121&gt;0,HLOOKUP(BQ121,[1]Trav!$C$11:$O$31,$AU$166),0)</f>
        <v>0</v>
      </c>
      <c r="BR167" s="190">
        <f>IF(BR121&gt;0,HLOOKUP(BR121,[1]Trav!$C$11:$O$31,$AU$166),0)</f>
        <v>0</v>
      </c>
      <c r="BS167" s="190">
        <f>IF(BS121&gt;0,HLOOKUP(BS121,[1]Trav!$C$11:$O$31,$AU$166),0)</f>
        <v>0</v>
      </c>
      <c r="BZ167" s="189" t="str">
        <f t="shared" ref="BZ167:BZ176" si="96">BZ121</f>
        <v xml:space="preserve">vaches </v>
      </c>
      <c r="CB167" s="190">
        <f>IF(CB121&gt;0,HLOOKUP(CB121,[1]Trav!$C$11:$O$31,$AU$166),0)</f>
        <v>21</v>
      </c>
      <c r="CC167" s="190">
        <f>IF(CC121&gt;0,HLOOKUP(CC121,[1]Trav!$C$11:$O$31,$AU$166),0)</f>
        <v>21</v>
      </c>
      <c r="CD167" s="190">
        <f>IF(CD121&gt;0,HLOOKUP(CD121,[1]Trav!$C$11:$O$31,$AU$166),0)</f>
        <v>21</v>
      </c>
      <c r="CE167" s="190">
        <f>IF(CE121&gt;0,HLOOKUP(CE121,[1]Trav!$C$11:$O$31,$AU$166),0)</f>
        <v>21</v>
      </c>
      <c r="CF167" s="190">
        <f>IF(CF121&gt;0,HLOOKUP(CF121,[1]Trav!$C$11:$O$31,$AU$166),0)</f>
        <v>21</v>
      </c>
      <c r="CG167" s="190">
        <f>IF(CG121&gt;0,HLOOKUP(CG121,[1]Trav!$C$11:$O$31,$AU$166),0)</f>
        <v>21</v>
      </c>
      <c r="CH167" s="190">
        <f>IF(CH121&gt;0,HLOOKUP(CH121,[1]Trav!$C$11:$O$31,$AU$166),0)</f>
        <v>14</v>
      </c>
      <c r="CI167" s="190">
        <f>IF(CI121&gt;0,HLOOKUP(CI121,[1]Trav!$C$11:$O$31,$AU$166),0)</f>
        <v>14</v>
      </c>
      <c r="CJ167" s="190">
        <f>IF(CJ121&gt;0,HLOOKUP(CJ121,[1]Trav!$C$11:$O$31,$AU$166),0)</f>
        <v>21</v>
      </c>
      <c r="CK167" s="190">
        <f>IF(CK121&gt;0,HLOOKUP(CK121,[1]Trav!$C$11:$O$31,$AU$166),0)</f>
        <v>21</v>
      </c>
      <c r="CL167" s="190">
        <f>IF(CL121&gt;0,HLOOKUP(CL121,[1]Trav!$C$11:$O$31,$AU$166),0)</f>
        <v>28</v>
      </c>
      <c r="CM167" s="190">
        <f>IF(CM121&gt;0,HLOOKUP(CM121,[1]Trav!$C$11:$O$31,$AU$166),0)</f>
        <v>28</v>
      </c>
      <c r="CN167" s="190">
        <f>IF(CN121&gt;0,HLOOKUP(CN121,[1]Trav!$C$11:$O$31,$AU$166),0)</f>
        <v>28</v>
      </c>
      <c r="CO167" s="190">
        <f>IF(CO121&gt;0,HLOOKUP(CO121,[1]Trav!$C$11:$O$31,$AU$166),0)</f>
        <v>21</v>
      </c>
      <c r="CP167" s="190">
        <f>IF(CP121&gt;0,HLOOKUP(CP121,[1]Trav!$C$11:$O$31,$AU$166),0)</f>
        <v>21</v>
      </c>
      <c r="CQ167" s="190">
        <f>IF(CQ121&gt;0,HLOOKUP(CQ121,[1]Trav!$C$11:$O$31,$AU$166),0)</f>
        <v>21</v>
      </c>
      <c r="CR167" s="190">
        <f>IF(CR121&gt;0,HLOOKUP(CR121,[1]Trav!$C$11:$O$31,$AU$166),0)</f>
        <v>28</v>
      </c>
      <c r="CS167" s="190">
        <f>IF(CS121&gt;0,HLOOKUP(CS121,[1]Trav!$C$11:$O$31,$AU$166),0)</f>
        <v>28</v>
      </c>
      <c r="CT167" s="190">
        <f>IF(CT121&gt;0,HLOOKUP(CT121,[1]Trav!$C$11:$O$31,$AU$166),0)</f>
        <v>21</v>
      </c>
      <c r="CU167" s="190">
        <f>IF(CU121&gt;0,HLOOKUP(CU121,[1]Trav!$C$11:$O$31,$AU$166),0)</f>
        <v>21</v>
      </c>
      <c r="CV167" s="190">
        <f>IF(CV121&gt;0,HLOOKUP(CV121,[1]Trav!$C$11:$O$31,$AU$166),0)</f>
        <v>21</v>
      </c>
      <c r="CW167" s="190">
        <f>IF(CW121&gt;0,HLOOKUP(CW121,[1]Trav!$C$11:$O$31,$AU$166),0)</f>
        <v>21</v>
      </c>
      <c r="CX167" s="190">
        <f>IF(CX121&gt;0,HLOOKUP(CX121,[1]Trav!$C$11:$O$31,$AU$166),0)</f>
        <v>21</v>
      </c>
      <c r="CY167" s="190">
        <f>IF(CY121&gt;0,HLOOKUP(CY121,[1]Trav!$C$11:$O$31,$AU$166),0)</f>
        <v>21</v>
      </c>
      <c r="DC167" s="189" t="str">
        <f t="shared" ref="DC167:DC176" si="97">DC121</f>
        <v>lot1</v>
      </c>
      <c r="DE167" s="190">
        <f>IF(DE121&gt;0,HLOOKUP(DE121,[1]Trav!$C$11:$O$31,$AU$166),0)</f>
        <v>0</v>
      </c>
      <c r="DF167" s="190">
        <f>IF(DF121&gt;0,HLOOKUP(DF121,[1]Trav!$C$11:$O$31,$AU$166),0)</f>
        <v>0</v>
      </c>
      <c r="DG167" s="190">
        <f>IF(DG121&gt;0,HLOOKUP(DG121,[1]Trav!$C$11:$O$31,$AU$166),0)</f>
        <v>0</v>
      </c>
      <c r="DH167" s="190">
        <f>IF(DH121&gt;0,HLOOKUP(DH121,[1]Trav!$C$11:$O$31,$AU$166),0)</f>
        <v>0</v>
      </c>
      <c r="DI167" s="190">
        <f>IF(DI121&gt;0,HLOOKUP(DI121,[1]Trav!$C$11:$O$31,$AU$166),0)</f>
        <v>0</v>
      </c>
      <c r="DJ167" s="190">
        <f>IF(DJ121&gt;0,HLOOKUP(DJ121,[1]Trav!$C$11:$O$31,$AU$166),0)</f>
        <v>0</v>
      </c>
      <c r="DK167" s="190">
        <f>IF(DK121&gt;0,HLOOKUP(DK121,[1]Trav!$C$11:$O$31,$AU$166),0)</f>
        <v>0</v>
      </c>
      <c r="DL167" s="190">
        <f>IF(DL121&gt;0,HLOOKUP(DL121,[1]Trav!$C$11:$O$31,$AU$166),0)</f>
        <v>0</v>
      </c>
      <c r="DM167" s="190">
        <f>IF(DM121&gt;0,HLOOKUP(DM121,[1]Trav!$C$11:$O$31,$AU$166),0)</f>
        <v>0</v>
      </c>
      <c r="DN167" s="190">
        <f>IF(DN121&gt;0,HLOOKUP(DN121,[1]Trav!$C$11:$O$31,$AU$166),0)</f>
        <v>0</v>
      </c>
      <c r="DO167" s="190">
        <f>IF(DO121&gt;0,HLOOKUP(DO121,[1]Trav!$C$11:$O$31,$AU$166),0)</f>
        <v>0</v>
      </c>
      <c r="DP167" s="190">
        <f>IF(DP121&gt;0,HLOOKUP(DP121,[1]Trav!$C$11:$O$31,$AU$166),0)</f>
        <v>0</v>
      </c>
      <c r="DQ167" s="190">
        <f>IF(DQ121&gt;0,HLOOKUP(DQ121,[1]Trav!$C$11:$O$31,$AU$166),0)</f>
        <v>0</v>
      </c>
      <c r="DR167" s="190">
        <f>IF(DR121&gt;0,HLOOKUP(DR121,[1]Trav!$C$11:$O$31,$AU$166),0)</f>
        <v>0</v>
      </c>
      <c r="DS167" s="190">
        <f>IF(DS121&gt;0,HLOOKUP(DS121,[1]Trav!$C$11:$O$31,$AU$166),0)</f>
        <v>0</v>
      </c>
      <c r="DT167" s="190">
        <f>IF(DT121&gt;0,HLOOKUP(DT121,[1]Trav!$C$11:$O$31,$AU$166),0)</f>
        <v>0</v>
      </c>
      <c r="DU167" s="190">
        <f>IF(DU121&gt;0,HLOOKUP(DU121,[1]Trav!$C$11:$O$31,$AU$166),0)</f>
        <v>0</v>
      </c>
      <c r="DV167" s="190">
        <f>IF(DV121&gt;0,HLOOKUP(DV121,[1]Trav!$C$11:$O$31,$AU$166),0)</f>
        <v>0</v>
      </c>
      <c r="DW167" s="190">
        <f>IF(DW121&gt;0,HLOOKUP(DW121,[1]Trav!$C$11:$O$31,$AU$166),0)</f>
        <v>0</v>
      </c>
      <c r="DX167" s="190">
        <f>IF(DX121&gt;0,HLOOKUP(DX121,[1]Trav!$C$11:$O$31,$AU$166),0)</f>
        <v>0</v>
      </c>
      <c r="DY167" s="190">
        <f>IF(DY121&gt;0,HLOOKUP(DY121,[1]Trav!$C$11:$O$31,$AU$166),0)</f>
        <v>0</v>
      </c>
      <c r="DZ167" s="190">
        <f>IF(DZ121&gt;0,HLOOKUP(DZ121,[1]Trav!$C$11:$O$31,$AU$166),0)</f>
        <v>0</v>
      </c>
      <c r="EA167" s="190">
        <f>IF(EA121&gt;0,HLOOKUP(EA121,[1]Trav!$C$11:$O$31,$AU$166),0)</f>
        <v>0</v>
      </c>
      <c r="EB167" s="190">
        <f>IF(EB121&gt;0,HLOOKUP(EB121,[1]Trav!$C$11:$O$31,$AU$166),0)</f>
        <v>0</v>
      </c>
    </row>
    <row r="168" spans="1:132" x14ac:dyDescent="0.25">
      <c r="B168" s="14" t="s">
        <v>1278</v>
      </c>
      <c r="C168" s="262">
        <f>IF(Troupeau!$D$3="EQ",CdTrp3!$AA$147,0)+IF(Troupeau!$C$3="EQ",CdTrp2!$AA$147,0)</f>
        <v>0</v>
      </c>
      <c r="D168" s="263">
        <f t="shared" si="50"/>
        <v>0</v>
      </c>
      <c r="AT168" s="189" t="str">
        <f t="shared" si="95"/>
        <v>vides</v>
      </c>
      <c r="AV168" s="190">
        <f>IF(AV122&gt;0,HLOOKUP(AV122,[1]Trav!$C$11:$O$31,$AU$166),0)</f>
        <v>21</v>
      </c>
      <c r="AW168" s="190">
        <f>IF(AW122&gt;0,HLOOKUP(AW122,[1]Trav!$C$11:$O$31,$AU$166),0)</f>
        <v>21</v>
      </c>
      <c r="AX168" s="190">
        <f>IF(AX122&gt;0,HLOOKUP(AX122,[1]Trav!$C$11:$O$31,$AU$166),0)</f>
        <v>21</v>
      </c>
      <c r="AY168" s="190">
        <f>IF(AY122&gt;0,HLOOKUP(AY122,[1]Trav!$C$11:$O$31,$AU$166),0)</f>
        <v>21</v>
      </c>
      <c r="AZ168" s="190">
        <f>IF(AZ122&gt;0,HLOOKUP(AZ122,[1]Trav!$C$11:$O$31,$AU$166),0)</f>
        <v>21</v>
      </c>
      <c r="BA168" s="190">
        <f>IF(BA122&gt;0,HLOOKUP(BA122,[1]Trav!$C$11:$O$31,$AU$166),0)</f>
        <v>21</v>
      </c>
      <c r="BB168" s="190">
        <f>IF(BB122&gt;0,HLOOKUP(BB122,[1]Trav!$C$11:$O$31,$AU$166),0)</f>
        <v>21</v>
      </c>
      <c r="BC168" s="190">
        <f>IF(BC122&gt;0,HLOOKUP(BC122,[1]Trav!$C$11:$O$31,$AU$166),0)</f>
        <v>21</v>
      </c>
      <c r="BD168" s="190">
        <f>IF(BD122&gt;0,HLOOKUP(BD122,[1]Trav!$C$11:$O$31,$AU$166),0)</f>
        <v>21</v>
      </c>
      <c r="BE168" s="190">
        <f>IF(BE122&gt;0,HLOOKUP(BE122,[1]Trav!$C$11:$O$31,$AU$166),0)</f>
        <v>0</v>
      </c>
      <c r="BF168" s="190">
        <f>IF(BF122&gt;0,HLOOKUP(BF122,[1]Trav!$C$11:$O$31,$AU$166),0)</f>
        <v>0</v>
      </c>
      <c r="BG168" s="190">
        <f>IF(BG122&gt;0,HLOOKUP(BG122,[1]Trav!$C$11:$O$31,$AU$166),0)</f>
        <v>0</v>
      </c>
      <c r="BH168" s="190">
        <f>IF(BH122&gt;0,HLOOKUP(BH122,[1]Trav!$C$11:$O$31,$AU$166),0)</f>
        <v>0</v>
      </c>
      <c r="BI168" s="190">
        <f>IF(BI122&gt;0,HLOOKUP(BI122,[1]Trav!$C$11:$O$31,$AU$166),0)</f>
        <v>0</v>
      </c>
      <c r="BJ168" s="190">
        <f>IF(BJ122&gt;0,HLOOKUP(BJ122,[1]Trav!$C$11:$O$31,$AU$166),0)</f>
        <v>0</v>
      </c>
      <c r="BK168" s="190">
        <f>IF(BK122&gt;0,HLOOKUP(BK122,[1]Trav!$C$11:$O$31,$AU$166),0)</f>
        <v>0</v>
      </c>
      <c r="BL168" s="190">
        <f>IF(BL122&gt;0,HLOOKUP(BL122,[1]Trav!$C$11:$O$31,$AU$166),0)</f>
        <v>0</v>
      </c>
      <c r="BM168" s="190">
        <f>IF(BM122&gt;0,HLOOKUP(BM122,[1]Trav!$C$11:$O$31,$AU$166),0)</f>
        <v>0</v>
      </c>
      <c r="BN168" s="190">
        <f>IF(BN122&gt;0,HLOOKUP(BN122,[1]Trav!$C$11:$O$31,$AU$166),0)</f>
        <v>0</v>
      </c>
      <c r="BO168" s="190">
        <f>IF(BO122&gt;0,HLOOKUP(BO122,[1]Trav!$C$11:$O$31,$AU$166),0)</f>
        <v>21</v>
      </c>
      <c r="BP168" s="190">
        <f>IF(BP122&gt;0,HLOOKUP(BP122,[1]Trav!$C$11:$O$31,$AU$166),0)</f>
        <v>21</v>
      </c>
      <c r="BQ168" s="190">
        <f>IF(BQ122&gt;0,HLOOKUP(BQ122,[1]Trav!$C$11:$O$31,$AU$166),0)</f>
        <v>21</v>
      </c>
      <c r="BR168" s="190">
        <f>IF(BR122&gt;0,HLOOKUP(BR122,[1]Trav!$C$11:$O$31,$AU$166),0)</f>
        <v>21</v>
      </c>
      <c r="BS168" s="190">
        <f>IF(BS122&gt;0,HLOOKUP(BS122,[1]Trav!$C$11:$O$31,$AU$166),0)</f>
        <v>21</v>
      </c>
      <c r="BZ168" s="189" t="str">
        <f t="shared" si="96"/>
        <v>genisses -1an</v>
      </c>
      <c r="CB168" s="190">
        <f>IF(CB122&gt;0,HLOOKUP(CB122,[1]Trav!$C$11:$O$31,$AU$166),0)</f>
        <v>0</v>
      </c>
      <c r="CC168" s="190">
        <f>IF(CC122&gt;0,HLOOKUP(CC122,[1]Trav!$C$11:$O$31,$AU$166),0)</f>
        <v>0</v>
      </c>
      <c r="CD168" s="190">
        <f>IF(CD122&gt;0,HLOOKUP(CD122,[1]Trav!$C$11:$O$31,$AU$166),0)</f>
        <v>0</v>
      </c>
      <c r="CE168" s="190">
        <f>IF(CE122&gt;0,HLOOKUP(CE122,[1]Trav!$C$11:$O$31,$AU$166),0)</f>
        <v>0</v>
      </c>
      <c r="CF168" s="190">
        <f>IF(CF122&gt;0,HLOOKUP(CF122,[1]Trav!$C$11:$O$31,$AU$166),0)</f>
        <v>0</v>
      </c>
      <c r="CG168" s="190">
        <f>IF(CG122&gt;0,HLOOKUP(CG122,[1]Trav!$C$11:$O$31,$AU$166),0)</f>
        <v>21</v>
      </c>
      <c r="CH168" s="190">
        <f>IF(CH122&gt;0,HLOOKUP(CH122,[1]Trav!$C$11:$O$31,$AU$166),0)</f>
        <v>21</v>
      </c>
      <c r="CI168" s="190">
        <f>IF(CI122&gt;0,HLOOKUP(CI122,[1]Trav!$C$11:$O$31,$AU$166),0)</f>
        <v>21</v>
      </c>
      <c r="CJ168" s="190">
        <f>IF(CJ122&gt;0,HLOOKUP(CJ122,[1]Trav!$C$11:$O$31,$AU$166),0)</f>
        <v>21</v>
      </c>
      <c r="CK168" s="190">
        <f>IF(CK122&gt;0,HLOOKUP(CK122,[1]Trav!$C$11:$O$31,$AU$166),0)</f>
        <v>21</v>
      </c>
      <c r="CL168" s="190">
        <f>IF(CL122&gt;0,HLOOKUP(CL122,[1]Trav!$C$11:$O$31,$AU$166),0)</f>
        <v>21</v>
      </c>
      <c r="CM168" s="190">
        <f>IF(CM122&gt;0,HLOOKUP(CM122,[1]Trav!$C$11:$O$31,$AU$166),0)</f>
        <v>21</v>
      </c>
      <c r="CN168" s="190">
        <f>IF(CN122&gt;0,HLOOKUP(CN122,[1]Trav!$C$11:$O$31,$AU$166),0)</f>
        <v>21</v>
      </c>
      <c r="CO168" s="190">
        <f>IF(CO122&gt;0,HLOOKUP(CO122,[1]Trav!$C$11:$O$31,$AU$166),0)</f>
        <v>21</v>
      </c>
      <c r="CP168" s="190">
        <f>IF(CP122&gt;0,HLOOKUP(CP122,[1]Trav!$C$11:$O$31,$AU$166),0)</f>
        <v>21</v>
      </c>
      <c r="CQ168" s="190">
        <f>IF(CQ122&gt;0,HLOOKUP(CQ122,[1]Trav!$C$11:$O$31,$AU$166),0)</f>
        <v>21</v>
      </c>
      <c r="CR168" s="190">
        <f>IF(CR122&gt;0,HLOOKUP(CR122,[1]Trav!$C$11:$O$31,$AU$166),0)</f>
        <v>21</v>
      </c>
      <c r="CS168" s="190">
        <f>IF(CS122&gt;0,HLOOKUP(CS122,[1]Trav!$C$11:$O$31,$AU$166),0)</f>
        <v>21</v>
      </c>
      <c r="CT168" s="190">
        <f>IF(CT122&gt;0,HLOOKUP(CT122,[1]Trav!$C$11:$O$31,$AU$166),0)</f>
        <v>21</v>
      </c>
      <c r="CU168" s="190">
        <f>IF(CU122&gt;0,HLOOKUP(CU122,[1]Trav!$C$11:$O$31,$AU$166),0)</f>
        <v>21</v>
      </c>
      <c r="CV168" s="190">
        <f>IF(CV122&gt;0,HLOOKUP(CV122,[1]Trav!$C$11:$O$31,$AU$166),0)</f>
        <v>14</v>
      </c>
      <c r="CW168" s="190">
        <f>IF(CW122&gt;0,HLOOKUP(CW122,[1]Trav!$C$11:$O$31,$AU$166),0)</f>
        <v>14</v>
      </c>
      <c r="CX168" s="190">
        <f>IF(CX122&gt;0,HLOOKUP(CX122,[1]Trav!$C$11:$O$31,$AU$166),0)</f>
        <v>0</v>
      </c>
      <c r="CY168" s="190">
        <f>IF(CY122&gt;0,HLOOKUP(CY122,[1]Trav!$C$11:$O$31,$AU$166),0)</f>
        <v>0</v>
      </c>
      <c r="DC168" s="189" t="str">
        <f t="shared" si="97"/>
        <v>lot2</v>
      </c>
      <c r="DE168" s="190">
        <f>IF(DE122&gt;0,HLOOKUP(DE122,[1]Trav!$C$11:$O$31,$AU$166),0)</f>
        <v>0</v>
      </c>
      <c r="DF168" s="190">
        <f>IF(DF122&gt;0,HLOOKUP(DF122,[1]Trav!$C$11:$O$31,$AU$166),0)</f>
        <v>0</v>
      </c>
      <c r="DG168" s="190">
        <f>IF(DG122&gt;0,HLOOKUP(DG122,[1]Trav!$C$11:$O$31,$AU$166),0)</f>
        <v>0</v>
      </c>
      <c r="DH168" s="190">
        <f>IF(DH122&gt;0,HLOOKUP(DH122,[1]Trav!$C$11:$O$31,$AU$166),0)</f>
        <v>0</v>
      </c>
      <c r="DI168" s="190">
        <f>IF(DI122&gt;0,HLOOKUP(DI122,[1]Trav!$C$11:$O$31,$AU$166),0)</f>
        <v>0</v>
      </c>
      <c r="DJ168" s="190">
        <f>IF(DJ122&gt;0,HLOOKUP(DJ122,[1]Trav!$C$11:$O$31,$AU$166),0)</f>
        <v>0</v>
      </c>
      <c r="DK168" s="190">
        <f>IF(DK122&gt;0,HLOOKUP(DK122,[1]Trav!$C$11:$O$31,$AU$166),0)</f>
        <v>0</v>
      </c>
      <c r="DL168" s="190">
        <f>IF(DL122&gt;0,HLOOKUP(DL122,[1]Trav!$C$11:$O$31,$AU$166),0)</f>
        <v>0</v>
      </c>
      <c r="DM168" s="190">
        <f>IF(DM122&gt;0,HLOOKUP(DM122,[1]Trav!$C$11:$O$31,$AU$166),0)</f>
        <v>0</v>
      </c>
      <c r="DN168" s="190">
        <f>IF(DN122&gt;0,HLOOKUP(DN122,[1]Trav!$C$11:$O$31,$AU$166),0)</f>
        <v>0</v>
      </c>
      <c r="DO168" s="190">
        <f>IF(DO122&gt;0,HLOOKUP(DO122,[1]Trav!$C$11:$O$31,$AU$166),0)</f>
        <v>0</v>
      </c>
      <c r="DP168" s="190">
        <f>IF(DP122&gt;0,HLOOKUP(DP122,[1]Trav!$C$11:$O$31,$AU$166),0)</f>
        <v>0</v>
      </c>
      <c r="DQ168" s="190">
        <f>IF(DQ122&gt;0,HLOOKUP(DQ122,[1]Trav!$C$11:$O$31,$AU$166),0)</f>
        <v>0</v>
      </c>
      <c r="DR168" s="190">
        <f>IF(DR122&gt;0,HLOOKUP(DR122,[1]Trav!$C$11:$O$31,$AU$166),0)</f>
        <v>0</v>
      </c>
      <c r="DS168" s="190">
        <f>IF(DS122&gt;0,HLOOKUP(DS122,[1]Trav!$C$11:$O$31,$AU$166),0)</f>
        <v>0</v>
      </c>
      <c r="DT168" s="190">
        <f>IF(DT122&gt;0,HLOOKUP(DT122,[1]Trav!$C$11:$O$31,$AU$166),0)</f>
        <v>0</v>
      </c>
      <c r="DU168" s="190">
        <f>IF(DU122&gt;0,HLOOKUP(DU122,[1]Trav!$C$11:$O$31,$AU$166),0)</f>
        <v>0</v>
      </c>
      <c r="DV168" s="190">
        <f>IF(DV122&gt;0,HLOOKUP(DV122,[1]Trav!$C$11:$O$31,$AU$166),0)</f>
        <v>0</v>
      </c>
      <c r="DW168" s="190">
        <f>IF(DW122&gt;0,HLOOKUP(DW122,[1]Trav!$C$11:$O$31,$AU$166),0)</f>
        <v>0</v>
      </c>
      <c r="DX168" s="190">
        <f>IF(DX122&gt;0,HLOOKUP(DX122,[1]Trav!$C$11:$O$31,$AU$166),0)</f>
        <v>0</v>
      </c>
      <c r="DY168" s="190">
        <f>IF(DY122&gt;0,HLOOKUP(DY122,[1]Trav!$C$11:$O$31,$AU$166),0)</f>
        <v>0</v>
      </c>
      <c r="DZ168" s="190">
        <f>IF(DZ122&gt;0,HLOOKUP(DZ122,[1]Trav!$C$11:$O$31,$AU$166),0)</f>
        <v>0</v>
      </c>
      <c r="EA168" s="190">
        <f>IF(EA122&gt;0,HLOOKUP(EA122,[1]Trav!$C$11:$O$31,$AU$166),0)</f>
        <v>0</v>
      </c>
      <c r="EB168" s="190">
        <f>IF(EB122&gt;0,HLOOKUP(EB122,[1]Trav!$C$11:$O$31,$AU$166),0)</f>
        <v>0</v>
      </c>
    </row>
    <row r="169" spans="1:132" x14ac:dyDescent="0.25">
      <c r="B169" s="14" t="s">
        <v>1279</v>
      </c>
      <c r="C169" s="173">
        <f>SUM(Alim_Surf!D24:H24)</f>
        <v>155.11500000000001</v>
      </c>
      <c r="D169" s="263">
        <f t="shared" si="50"/>
        <v>148.92587281795514</v>
      </c>
      <c r="AT169" s="189" t="str">
        <f t="shared" si="95"/>
        <v>agnelles</v>
      </c>
      <c r="AV169" s="190">
        <f>IF(AV123&gt;0,HLOOKUP(AV123,[1]Trav!$C$11:$O$31,$AU$166),0)</f>
        <v>0</v>
      </c>
      <c r="AW169" s="190">
        <f>IF(AW123&gt;0,HLOOKUP(AW123,[1]Trav!$C$11:$O$31,$AU$166),0)</f>
        <v>0</v>
      </c>
      <c r="AX169" s="190">
        <f>IF(AX123&gt;0,HLOOKUP(AX123,[1]Trav!$C$11:$O$31,$AU$166),0)</f>
        <v>0</v>
      </c>
      <c r="AY169" s="190">
        <f>IF(AY123&gt;0,HLOOKUP(AY123,[1]Trav!$C$11:$O$31,$AU$166),0)</f>
        <v>0</v>
      </c>
      <c r="AZ169" s="190">
        <f>IF(AZ123&gt;0,HLOOKUP(AZ123,[1]Trav!$C$11:$O$31,$AU$166),0)</f>
        <v>0</v>
      </c>
      <c r="BA169" s="190">
        <f>IF(BA123&gt;0,HLOOKUP(BA123,[1]Trav!$C$11:$O$31,$AU$166),0)</f>
        <v>14</v>
      </c>
      <c r="BB169" s="190">
        <f>IF(BB123&gt;0,HLOOKUP(BB123,[1]Trav!$C$11:$O$31,$AU$166),0)</f>
        <v>14</v>
      </c>
      <c r="BC169" s="190">
        <f>IF(BC123&gt;0,HLOOKUP(BC123,[1]Trav!$C$11:$O$31,$AU$166),0)</f>
        <v>14</v>
      </c>
      <c r="BD169" s="190">
        <f>IF(BD123&gt;0,HLOOKUP(BD123,[1]Trav!$C$11:$O$31,$AU$166),0)</f>
        <v>14</v>
      </c>
      <c r="BE169" s="190">
        <f>IF(BE123&gt;0,HLOOKUP(BE123,[1]Trav!$C$11:$O$31,$AU$166),0)</f>
        <v>14</v>
      </c>
      <c r="BF169" s="190">
        <f>IF(BF123&gt;0,HLOOKUP(BF123,[1]Trav!$C$11:$O$31,$AU$166),0)</f>
        <v>14</v>
      </c>
      <c r="BG169" s="190">
        <f>IF(BG123&gt;0,HLOOKUP(BG123,[1]Trav!$C$11:$O$31,$AU$166),0)</f>
        <v>14</v>
      </c>
      <c r="BH169" s="190">
        <f>IF(BH123&gt;0,HLOOKUP(BH123,[1]Trav!$C$11:$O$31,$AU$166),0)</f>
        <v>14</v>
      </c>
      <c r="BI169" s="190">
        <f>IF(BI123&gt;0,HLOOKUP(BI123,[1]Trav!$C$11:$O$31,$AU$166),0)</f>
        <v>14</v>
      </c>
      <c r="BJ169" s="190">
        <f>IF(BJ123&gt;0,HLOOKUP(BJ123,[1]Trav!$C$11:$O$31,$AU$166),0)</f>
        <v>14</v>
      </c>
      <c r="BK169" s="190">
        <f>IF(BK123&gt;0,HLOOKUP(BK123,[1]Trav!$C$11:$O$31,$AU$166),0)</f>
        <v>14</v>
      </c>
      <c r="BL169" s="190">
        <f>IF(BL123&gt;0,HLOOKUP(BL123,[1]Trav!$C$11:$O$31,$AU$166),0)</f>
        <v>14</v>
      </c>
      <c r="BM169" s="190">
        <f>IF(BM123&gt;0,HLOOKUP(BM123,[1]Trav!$C$11:$O$31,$AU$166),0)</f>
        <v>14</v>
      </c>
      <c r="BN169" s="190">
        <f>IF(BN123&gt;0,HLOOKUP(BN123,[1]Trav!$C$11:$O$31,$AU$166),0)</f>
        <v>14</v>
      </c>
      <c r="BO169" s="190">
        <f>IF(BO123&gt;0,HLOOKUP(BO123,[1]Trav!$C$11:$O$31,$AU$166),0)</f>
        <v>0</v>
      </c>
      <c r="BP169" s="190">
        <f>IF(BP123&gt;0,HLOOKUP(BP123,[1]Trav!$C$11:$O$31,$AU$166),0)</f>
        <v>0</v>
      </c>
      <c r="BQ169" s="190">
        <f>IF(BQ123&gt;0,HLOOKUP(BQ123,[1]Trav!$C$11:$O$31,$AU$166),0)</f>
        <v>0</v>
      </c>
      <c r="BR169" s="190">
        <f>IF(BR123&gt;0,HLOOKUP(BR123,[1]Trav!$C$11:$O$31,$AU$166),0)</f>
        <v>0</v>
      </c>
      <c r="BS169" s="190">
        <f>IF(BS123&gt;0,HLOOKUP(BS123,[1]Trav!$C$11:$O$31,$AU$166),0)</f>
        <v>0</v>
      </c>
      <c r="BZ169" s="189" t="str">
        <f t="shared" si="96"/>
        <v>genisses +1an</v>
      </c>
      <c r="CB169" s="190">
        <f>IF(CB123&gt;0,HLOOKUP(CB123,[1]Trav!$C$11:$O$31,$AU$166),0)</f>
        <v>0</v>
      </c>
      <c r="CC169" s="190">
        <f>IF(CC123&gt;0,HLOOKUP(CC123,[1]Trav!$C$11:$O$31,$AU$166),0)</f>
        <v>0</v>
      </c>
      <c r="CD169" s="190">
        <f>IF(CD123&gt;0,HLOOKUP(CD123,[1]Trav!$C$11:$O$31,$AU$166),0)</f>
        <v>7</v>
      </c>
      <c r="CE169" s="190">
        <f>IF(CE123&gt;0,HLOOKUP(CE123,[1]Trav!$C$11:$O$31,$AU$166),0)</f>
        <v>7</v>
      </c>
      <c r="CF169" s="190">
        <f>IF(CF123&gt;0,HLOOKUP(CF123,[1]Trav!$C$11:$O$31,$AU$166),0)</f>
        <v>7</v>
      </c>
      <c r="CG169" s="190">
        <f>IF(CG123&gt;0,HLOOKUP(CG123,[1]Trav!$C$11:$O$31,$AU$166),0)</f>
        <v>7</v>
      </c>
      <c r="CH169" s="190">
        <f>IF(CH123&gt;0,HLOOKUP(CH123,[1]Trav!$C$11:$O$31,$AU$166),0)</f>
        <v>7</v>
      </c>
      <c r="CI169" s="190">
        <f>IF(CI123&gt;0,HLOOKUP(CI123,[1]Trav!$C$11:$O$31,$AU$166),0)</f>
        <v>7</v>
      </c>
      <c r="CJ169" s="190">
        <f>IF(CJ123&gt;0,HLOOKUP(CJ123,[1]Trav!$C$11:$O$31,$AU$166),0)</f>
        <v>7</v>
      </c>
      <c r="CK169" s="190">
        <f>IF(CK123&gt;0,HLOOKUP(CK123,[1]Trav!$C$11:$O$31,$AU$166),0)</f>
        <v>7</v>
      </c>
      <c r="CL169" s="190">
        <f>IF(CL123&gt;0,HLOOKUP(CL123,[1]Trav!$C$11:$O$31,$AU$166),0)</f>
        <v>7</v>
      </c>
      <c r="CM169" s="190">
        <f>IF(CM123&gt;0,HLOOKUP(CM123,[1]Trav!$C$11:$O$31,$AU$166),0)</f>
        <v>7</v>
      </c>
      <c r="CN169" s="190">
        <f>IF(CN123&gt;0,HLOOKUP(CN123,[1]Trav!$C$11:$O$31,$AU$166),0)</f>
        <v>7</v>
      </c>
      <c r="CO169" s="190">
        <f>IF(CO123&gt;0,HLOOKUP(CO123,[1]Trav!$C$11:$O$31,$AU$166),0)</f>
        <v>7</v>
      </c>
      <c r="CP169" s="190">
        <f>IF(CP123&gt;0,HLOOKUP(CP123,[1]Trav!$C$11:$O$31,$AU$166),0)</f>
        <v>7</v>
      </c>
      <c r="CQ169" s="190">
        <f>IF(CQ123&gt;0,HLOOKUP(CQ123,[1]Trav!$C$11:$O$31,$AU$166),0)</f>
        <v>7</v>
      </c>
      <c r="CR169" s="190">
        <f>IF(CR123&gt;0,HLOOKUP(CR123,[1]Trav!$C$11:$O$31,$AU$166),0)</f>
        <v>7</v>
      </c>
      <c r="CS169" s="190">
        <f>IF(CS123&gt;0,HLOOKUP(CS123,[1]Trav!$C$11:$O$31,$AU$166),0)</f>
        <v>7</v>
      </c>
      <c r="CT169" s="190">
        <f>IF(CT123&gt;0,HLOOKUP(CT123,[1]Trav!$C$11:$O$31,$AU$166),0)</f>
        <v>7</v>
      </c>
      <c r="CU169" s="190">
        <f>IF(CU123&gt;0,HLOOKUP(CU123,[1]Trav!$C$11:$O$31,$AU$166),0)</f>
        <v>5.25</v>
      </c>
      <c r="CV169" s="190">
        <f>IF(CV123&gt;0,HLOOKUP(CV123,[1]Trav!$C$11:$O$31,$AU$166),0)</f>
        <v>5.25</v>
      </c>
      <c r="CW169" s="190">
        <f>IF(CW123&gt;0,HLOOKUP(CW123,[1]Trav!$C$11:$O$31,$AU$166),0)</f>
        <v>5.25</v>
      </c>
      <c r="CX169" s="190">
        <f>IF(CX123&gt;0,HLOOKUP(CX123,[1]Trav!$C$11:$O$31,$AU$166),0)</f>
        <v>0</v>
      </c>
      <c r="CY169" s="190">
        <f>IF(CY123&gt;0,HLOOKUP(CY123,[1]Trav!$C$11:$O$31,$AU$166),0)</f>
        <v>0</v>
      </c>
      <c r="DC169" s="189" t="str">
        <f t="shared" si="97"/>
        <v>lot3</v>
      </c>
      <c r="DE169" s="190">
        <f>IF(DE123&gt;0,HLOOKUP(DE123,[1]Trav!$C$11:$O$31,$AU$166),0)</f>
        <v>0</v>
      </c>
      <c r="DF169" s="190">
        <f>IF(DF123&gt;0,HLOOKUP(DF123,[1]Trav!$C$11:$O$31,$AU$166),0)</f>
        <v>0</v>
      </c>
      <c r="DG169" s="190">
        <f>IF(DG123&gt;0,HLOOKUP(DG123,[1]Trav!$C$11:$O$31,$AU$166),0)</f>
        <v>0</v>
      </c>
      <c r="DH169" s="190">
        <f>IF(DH123&gt;0,HLOOKUP(DH123,[1]Trav!$C$11:$O$31,$AU$166),0)</f>
        <v>0</v>
      </c>
      <c r="DI169" s="190">
        <f>IF(DI123&gt;0,HLOOKUP(DI123,[1]Trav!$C$11:$O$31,$AU$166),0)</f>
        <v>0</v>
      </c>
      <c r="DJ169" s="190">
        <f>IF(DJ123&gt;0,HLOOKUP(DJ123,[1]Trav!$C$11:$O$31,$AU$166),0)</f>
        <v>0</v>
      </c>
      <c r="DK169" s="190">
        <f>IF(DK123&gt;0,HLOOKUP(DK123,[1]Trav!$C$11:$O$31,$AU$166),0)</f>
        <v>0</v>
      </c>
      <c r="DL169" s="190">
        <f>IF(DL123&gt;0,HLOOKUP(DL123,[1]Trav!$C$11:$O$31,$AU$166),0)</f>
        <v>0</v>
      </c>
      <c r="DM169" s="190">
        <f>IF(DM123&gt;0,HLOOKUP(DM123,[1]Trav!$C$11:$O$31,$AU$166),0)</f>
        <v>0</v>
      </c>
      <c r="DN169" s="190">
        <f>IF(DN123&gt;0,HLOOKUP(DN123,[1]Trav!$C$11:$O$31,$AU$166),0)</f>
        <v>0</v>
      </c>
      <c r="DO169" s="190">
        <f>IF(DO123&gt;0,HLOOKUP(DO123,[1]Trav!$C$11:$O$31,$AU$166),0)</f>
        <v>0</v>
      </c>
      <c r="DP169" s="190">
        <f>IF(DP123&gt;0,HLOOKUP(DP123,[1]Trav!$C$11:$O$31,$AU$166),0)</f>
        <v>0</v>
      </c>
      <c r="DQ169" s="190">
        <f>IF(DQ123&gt;0,HLOOKUP(DQ123,[1]Trav!$C$11:$O$31,$AU$166),0)</f>
        <v>0</v>
      </c>
      <c r="DR169" s="190">
        <f>IF(DR123&gt;0,HLOOKUP(DR123,[1]Trav!$C$11:$O$31,$AU$166),0)</f>
        <v>0</v>
      </c>
      <c r="DS169" s="190">
        <f>IF(DS123&gt;0,HLOOKUP(DS123,[1]Trav!$C$11:$O$31,$AU$166),0)</f>
        <v>0</v>
      </c>
      <c r="DT169" s="190">
        <f>IF(DT123&gt;0,HLOOKUP(DT123,[1]Trav!$C$11:$O$31,$AU$166),0)</f>
        <v>0</v>
      </c>
      <c r="DU169" s="190">
        <f>IF(DU123&gt;0,HLOOKUP(DU123,[1]Trav!$C$11:$O$31,$AU$166),0)</f>
        <v>0</v>
      </c>
      <c r="DV169" s="190">
        <f>IF(DV123&gt;0,HLOOKUP(DV123,[1]Trav!$C$11:$O$31,$AU$166),0)</f>
        <v>0</v>
      </c>
      <c r="DW169" s="190">
        <f>IF(DW123&gt;0,HLOOKUP(DW123,[1]Trav!$C$11:$O$31,$AU$166),0)</f>
        <v>0</v>
      </c>
      <c r="DX169" s="190">
        <f>IF(DX123&gt;0,HLOOKUP(DX123,[1]Trav!$C$11:$O$31,$AU$166),0)</f>
        <v>0</v>
      </c>
      <c r="DY169" s="190">
        <f>IF(DY123&gt;0,HLOOKUP(DY123,[1]Trav!$C$11:$O$31,$AU$166),0)</f>
        <v>0</v>
      </c>
      <c r="DZ169" s="190">
        <f>IF(DZ123&gt;0,HLOOKUP(DZ123,[1]Trav!$C$11:$O$31,$AU$166),0)</f>
        <v>0</v>
      </c>
      <c r="EA169" s="190">
        <f>IF(EA123&gt;0,HLOOKUP(EA123,[1]Trav!$C$11:$O$31,$AU$166),0)</f>
        <v>0</v>
      </c>
      <c r="EB169" s="190">
        <f>IF(EB123&gt;0,HLOOKUP(EB123,[1]Trav!$C$11:$O$31,$AU$166),0)</f>
        <v>0</v>
      </c>
    </row>
    <row r="170" spans="1:132" x14ac:dyDescent="0.25">
      <c r="B170" s="14" t="s">
        <v>1280</v>
      </c>
      <c r="C170" s="173">
        <f>SUM(Alim_Surf!D25:H25)</f>
        <v>116.3062904394435</v>
      </c>
      <c r="D170" s="263">
        <f t="shared" si="50"/>
        <v>111.66564044684725</v>
      </c>
      <c r="AT170" s="189" t="str">
        <f t="shared" si="95"/>
        <v>beliers</v>
      </c>
      <c r="AV170" s="190">
        <f>IF(AV124&gt;0,HLOOKUP(AV124,[1]Trav!$C$11:$O$31,$AU$166),0)</f>
        <v>21</v>
      </c>
      <c r="AW170" s="190">
        <f>IF(AW124&gt;0,HLOOKUP(AW124,[1]Trav!$C$11:$O$31,$AU$166),0)</f>
        <v>21</v>
      </c>
      <c r="AX170" s="190">
        <f>IF(AX124&gt;0,HLOOKUP(AX124,[1]Trav!$C$11:$O$31,$AU$166),0)</f>
        <v>21</v>
      </c>
      <c r="AY170" s="190">
        <f>IF(AY124&gt;0,HLOOKUP(AY124,[1]Trav!$C$11:$O$31,$AU$166),0)</f>
        <v>21</v>
      </c>
      <c r="AZ170" s="190">
        <f>IF(AZ124&gt;0,HLOOKUP(AZ124,[1]Trav!$C$11:$O$31,$AU$166),0)</f>
        <v>21</v>
      </c>
      <c r="BA170" s="190">
        <f>IF(BA124&gt;0,HLOOKUP(BA124,[1]Trav!$C$11:$O$31,$AU$166),0)</f>
        <v>21</v>
      </c>
      <c r="BB170" s="190">
        <f>IF(BB124&gt;0,HLOOKUP(BB124,[1]Trav!$C$11:$O$31,$AU$166),0)</f>
        <v>21</v>
      </c>
      <c r="BC170" s="190">
        <f>IF(BC124&gt;0,HLOOKUP(BC124,[1]Trav!$C$11:$O$31,$AU$166),0)</f>
        <v>21</v>
      </c>
      <c r="BD170" s="190">
        <f>IF(BD124&gt;0,HLOOKUP(BD124,[1]Trav!$C$11:$O$31,$AU$166),0)</f>
        <v>14</v>
      </c>
      <c r="BE170" s="190">
        <f>IF(BE124&gt;0,HLOOKUP(BE124,[1]Trav!$C$11:$O$31,$AU$166),0)</f>
        <v>0</v>
      </c>
      <c r="BF170" s="190">
        <f>IF(BF124&gt;0,HLOOKUP(BF124,[1]Trav!$C$11:$O$31,$AU$166),0)</f>
        <v>0</v>
      </c>
      <c r="BG170" s="190">
        <f>IF(BG124&gt;0,HLOOKUP(BG124,[1]Trav!$C$11:$O$31,$AU$166),0)</f>
        <v>0</v>
      </c>
      <c r="BH170" s="190">
        <f>IF(BH124&gt;0,HLOOKUP(BH124,[1]Trav!$C$11:$O$31,$AU$166),0)</f>
        <v>0</v>
      </c>
      <c r="BI170" s="190">
        <f>IF(BI124&gt;0,HLOOKUP(BI124,[1]Trav!$C$11:$O$31,$AU$166),0)</f>
        <v>0</v>
      </c>
      <c r="BJ170" s="190">
        <f>IF(BJ124&gt;0,HLOOKUP(BJ124,[1]Trav!$C$11:$O$31,$AU$166),0)</f>
        <v>0</v>
      </c>
      <c r="BK170" s="190">
        <f>IF(BK124&gt;0,HLOOKUP(BK124,[1]Trav!$C$11:$O$31,$AU$166),0)</f>
        <v>0</v>
      </c>
      <c r="BL170" s="190">
        <f>IF(BL124&gt;0,HLOOKUP(BL124,[1]Trav!$C$11:$O$31,$AU$166),0)</f>
        <v>0</v>
      </c>
      <c r="BM170" s="190">
        <f>IF(BM124&gt;0,HLOOKUP(BM124,[1]Trav!$C$11:$O$31,$AU$166),0)</f>
        <v>0</v>
      </c>
      <c r="BN170" s="190">
        <f>IF(BN124&gt;0,HLOOKUP(BN124,[1]Trav!$C$11:$O$31,$AU$166),0)</f>
        <v>0</v>
      </c>
      <c r="BO170" s="190">
        <f>IF(BO124&gt;0,HLOOKUP(BO124,[1]Trav!$C$11:$O$31,$AU$166),0)</f>
        <v>21</v>
      </c>
      <c r="BP170" s="190">
        <f>IF(BP124&gt;0,HLOOKUP(BP124,[1]Trav!$C$11:$O$31,$AU$166),0)</f>
        <v>21</v>
      </c>
      <c r="BQ170" s="190">
        <f>IF(BQ124&gt;0,HLOOKUP(BQ124,[1]Trav!$C$11:$O$31,$AU$166),0)</f>
        <v>21</v>
      </c>
      <c r="BR170" s="190">
        <f>IF(BR124&gt;0,HLOOKUP(BR124,[1]Trav!$C$11:$O$31,$AU$166),0)</f>
        <v>21</v>
      </c>
      <c r="BS170" s="190">
        <f>IF(BS124&gt;0,HLOOKUP(BS124,[1]Trav!$C$11:$O$31,$AU$166),0)</f>
        <v>21</v>
      </c>
      <c r="BZ170" s="189" t="str">
        <f t="shared" si="96"/>
        <v>lot4</v>
      </c>
      <c r="CB170" s="190">
        <f>IF(CB124&gt;0,HLOOKUP(CB124,[1]Trav!$C$11:$O$31,$AU$166),0)</f>
        <v>0</v>
      </c>
      <c r="CC170" s="190">
        <f>IF(CC124&gt;0,HLOOKUP(CC124,[1]Trav!$C$11:$O$31,$AU$166),0)</f>
        <v>0</v>
      </c>
      <c r="CD170" s="190">
        <f>IF(CD124&gt;0,HLOOKUP(CD124,[1]Trav!$C$11:$O$31,$AU$166),0)</f>
        <v>0</v>
      </c>
      <c r="CE170" s="190">
        <f>IF(CE124&gt;0,HLOOKUP(CE124,[1]Trav!$C$11:$O$31,$AU$166),0)</f>
        <v>0</v>
      </c>
      <c r="CF170" s="190">
        <f>IF(CF124&gt;0,HLOOKUP(CF124,[1]Trav!$C$11:$O$31,$AU$166),0)</f>
        <v>0</v>
      </c>
      <c r="CG170" s="190">
        <f>IF(CG124&gt;0,HLOOKUP(CG124,[1]Trav!$C$11:$O$31,$AU$166),0)</f>
        <v>0</v>
      </c>
      <c r="CH170" s="190">
        <f>IF(CH124&gt;0,HLOOKUP(CH124,[1]Trav!$C$11:$O$31,$AU$166),0)</f>
        <v>0</v>
      </c>
      <c r="CI170" s="190">
        <f>IF(CI124&gt;0,HLOOKUP(CI124,[1]Trav!$C$11:$O$31,$AU$166),0)</f>
        <v>0</v>
      </c>
      <c r="CJ170" s="190">
        <f>IF(CJ124&gt;0,HLOOKUP(CJ124,[1]Trav!$C$11:$O$31,$AU$166),0)</f>
        <v>0</v>
      </c>
      <c r="CK170" s="190">
        <f>IF(CK124&gt;0,HLOOKUP(CK124,[1]Trav!$C$11:$O$31,$AU$166),0)</f>
        <v>0</v>
      </c>
      <c r="CL170" s="190">
        <f>IF(CL124&gt;0,HLOOKUP(CL124,[1]Trav!$C$11:$O$31,$AU$166),0)</f>
        <v>0</v>
      </c>
      <c r="CM170" s="190">
        <f>IF(CM124&gt;0,HLOOKUP(CM124,[1]Trav!$C$11:$O$31,$AU$166),0)</f>
        <v>0</v>
      </c>
      <c r="CN170" s="190">
        <f>IF(CN124&gt;0,HLOOKUP(CN124,[1]Trav!$C$11:$O$31,$AU$166),0)</f>
        <v>0</v>
      </c>
      <c r="CO170" s="190">
        <f>IF(CO124&gt;0,HLOOKUP(CO124,[1]Trav!$C$11:$O$31,$AU$166),0)</f>
        <v>0</v>
      </c>
      <c r="CP170" s="190">
        <f>IF(CP124&gt;0,HLOOKUP(CP124,[1]Trav!$C$11:$O$31,$AU$166),0)</f>
        <v>0</v>
      </c>
      <c r="CQ170" s="190">
        <f>IF(CQ124&gt;0,HLOOKUP(CQ124,[1]Trav!$C$11:$O$31,$AU$166),0)</f>
        <v>0</v>
      </c>
      <c r="CR170" s="190">
        <f>IF(CR124&gt;0,HLOOKUP(CR124,[1]Trav!$C$11:$O$31,$AU$166),0)</f>
        <v>0</v>
      </c>
      <c r="CS170" s="190">
        <f>IF(CS124&gt;0,HLOOKUP(CS124,[1]Trav!$C$11:$O$31,$AU$166),0)</f>
        <v>0</v>
      </c>
      <c r="CT170" s="190">
        <f>IF(CT124&gt;0,HLOOKUP(CT124,[1]Trav!$C$11:$O$31,$AU$166),0)</f>
        <v>0</v>
      </c>
      <c r="CU170" s="190">
        <f>IF(CU124&gt;0,HLOOKUP(CU124,[1]Trav!$C$11:$O$31,$AU$166),0)</f>
        <v>0</v>
      </c>
      <c r="CV170" s="190">
        <f>IF(CV124&gt;0,HLOOKUP(CV124,[1]Trav!$C$11:$O$31,$AU$166),0)</f>
        <v>0</v>
      </c>
      <c r="CW170" s="190">
        <f>IF(CW124&gt;0,HLOOKUP(CW124,[1]Trav!$C$11:$O$31,$AU$166),0)</f>
        <v>0</v>
      </c>
      <c r="CX170" s="190">
        <f>IF(CX124&gt;0,HLOOKUP(CX124,[1]Trav!$C$11:$O$31,$AU$166),0)</f>
        <v>0</v>
      </c>
      <c r="CY170" s="190">
        <f>IF(CY124&gt;0,HLOOKUP(CY124,[1]Trav!$C$11:$O$31,$AU$166),0)</f>
        <v>0</v>
      </c>
      <c r="DC170" s="189" t="str">
        <f t="shared" si="97"/>
        <v>lot4</v>
      </c>
      <c r="DE170" s="190">
        <f>IF(DE124&gt;0,HLOOKUP(DE124,[1]Trav!$C$11:$O$31,$AU$166),0)</f>
        <v>0</v>
      </c>
      <c r="DF170" s="190">
        <f>IF(DF124&gt;0,HLOOKUP(DF124,[1]Trav!$C$11:$O$31,$AU$166),0)</f>
        <v>0</v>
      </c>
      <c r="DG170" s="190">
        <f>IF(DG124&gt;0,HLOOKUP(DG124,[1]Trav!$C$11:$O$31,$AU$166),0)</f>
        <v>0</v>
      </c>
      <c r="DH170" s="190">
        <f>IF(DH124&gt;0,HLOOKUP(DH124,[1]Trav!$C$11:$O$31,$AU$166),0)</f>
        <v>0</v>
      </c>
      <c r="DI170" s="190">
        <f>IF(DI124&gt;0,HLOOKUP(DI124,[1]Trav!$C$11:$O$31,$AU$166),0)</f>
        <v>0</v>
      </c>
      <c r="DJ170" s="190">
        <f>IF(DJ124&gt;0,HLOOKUP(DJ124,[1]Trav!$C$11:$O$31,$AU$166),0)</f>
        <v>0</v>
      </c>
      <c r="DK170" s="190">
        <f>IF(DK124&gt;0,HLOOKUP(DK124,[1]Trav!$C$11:$O$31,$AU$166),0)</f>
        <v>0</v>
      </c>
      <c r="DL170" s="190">
        <f>IF(DL124&gt;0,HLOOKUP(DL124,[1]Trav!$C$11:$O$31,$AU$166),0)</f>
        <v>0</v>
      </c>
      <c r="DM170" s="190">
        <f>IF(DM124&gt;0,HLOOKUP(DM124,[1]Trav!$C$11:$O$31,$AU$166),0)</f>
        <v>0</v>
      </c>
      <c r="DN170" s="190">
        <f>IF(DN124&gt;0,HLOOKUP(DN124,[1]Trav!$C$11:$O$31,$AU$166),0)</f>
        <v>0</v>
      </c>
      <c r="DO170" s="190">
        <f>IF(DO124&gt;0,HLOOKUP(DO124,[1]Trav!$C$11:$O$31,$AU$166),0)</f>
        <v>0</v>
      </c>
      <c r="DP170" s="190">
        <f>IF(DP124&gt;0,HLOOKUP(DP124,[1]Trav!$C$11:$O$31,$AU$166),0)</f>
        <v>0</v>
      </c>
      <c r="DQ170" s="190">
        <f>IF(DQ124&gt;0,HLOOKUP(DQ124,[1]Trav!$C$11:$O$31,$AU$166),0)</f>
        <v>0</v>
      </c>
      <c r="DR170" s="190">
        <f>IF(DR124&gt;0,HLOOKUP(DR124,[1]Trav!$C$11:$O$31,$AU$166),0)</f>
        <v>0</v>
      </c>
      <c r="DS170" s="190">
        <f>IF(DS124&gt;0,HLOOKUP(DS124,[1]Trav!$C$11:$O$31,$AU$166),0)</f>
        <v>0</v>
      </c>
      <c r="DT170" s="190">
        <f>IF(DT124&gt;0,HLOOKUP(DT124,[1]Trav!$C$11:$O$31,$AU$166),0)</f>
        <v>0</v>
      </c>
      <c r="DU170" s="190">
        <f>IF(DU124&gt;0,HLOOKUP(DU124,[1]Trav!$C$11:$O$31,$AU$166),0)</f>
        <v>0</v>
      </c>
      <c r="DV170" s="190">
        <f>IF(DV124&gt;0,HLOOKUP(DV124,[1]Trav!$C$11:$O$31,$AU$166),0)</f>
        <v>0</v>
      </c>
      <c r="DW170" s="190">
        <f>IF(DW124&gt;0,HLOOKUP(DW124,[1]Trav!$C$11:$O$31,$AU$166),0)</f>
        <v>0</v>
      </c>
      <c r="DX170" s="190">
        <f>IF(DX124&gt;0,HLOOKUP(DX124,[1]Trav!$C$11:$O$31,$AU$166),0)</f>
        <v>0</v>
      </c>
      <c r="DY170" s="190">
        <f>IF(DY124&gt;0,HLOOKUP(DY124,[1]Trav!$C$11:$O$31,$AU$166),0)</f>
        <v>0</v>
      </c>
      <c r="DZ170" s="190">
        <f>IF(DZ124&gt;0,HLOOKUP(DZ124,[1]Trav!$C$11:$O$31,$AU$166),0)</f>
        <v>0</v>
      </c>
      <c r="EA170" s="190">
        <f>IF(EA124&gt;0,HLOOKUP(EA124,[1]Trav!$C$11:$O$31,$AU$166),0)</f>
        <v>0</v>
      </c>
      <c r="EB170" s="190">
        <f>IF(EB124&gt;0,HLOOKUP(EB124,[1]Trav!$C$11:$O$31,$AU$166),0)</f>
        <v>0</v>
      </c>
    </row>
    <row r="171" spans="1:132" x14ac:dyDescent="0.25">
      <c r="B171" s="14" t="s">
        <v>1281</v>
      </c>
      <c r="C171" s="173">
        <f>Alim_Surf!K24</f>
        <v>99.540999999999997</v>
      </c>
      <c r="D171" s="263">
        <f t="shared" si="50"/>
        <v>95.569289276807979</v>
      </c>
      <c r="AT171" s="189" t="str">
        <f t="shared" si="95"/>
        <v>lot5</v>
      </c>
      <c r="AV171" s="190">
        <f>IF(AV125&gt;0,HLOOKUP(AV125,[1]Trav!$C$11:$O$31,$AU$166),0)</f>
        <v>0</v>
      </c>
      <c r="AW171" s="190">
        <f>IF(AW125&gt;0,HLOOKUP(AW125,[1]Trav!$C$11:$O$31,$AU$166),0)</f>
        <v>0</v>
      </c>
      <c r="AX171" s="190">
        <f>IF(AX125&gt;0,HLOOKUP(AX125,[1]Trav!$C$11:$O$31,$AU$166),0)</f>
        <v>0</v>
      </c>
      <c r="AY171" s="190">
        <f>IF(AY125&gt;0,HLOOKUP(AY125,[1]Trav!$C$11:$O$31,$AU$166),0)</f>
        <v>0</v>
      </c>
      <c r="AZ171" s="190">
        <f>IF(AZ125&gt;0,HLOOKUP(AZ125,[1]Trav!$C$11:$O$31,$AU$166),0)</f>
        <v>0</v>
      </c>
      <c r="BA171" s="190">
        <f>IF(BA125&gt;0,HLOOKUP(BA125,[1]Trav!$C$11:$O$31,$AU$166),0)</f>
        <v>0</v>
      </c>
      <c r="BB171" s="190">
        <f>IF(BB125&gt;0,HLOOKUP(BB125,[1]Trav!$C$11:$O$31,$AU$166),0)</f>
        <v>0</v>
      </c>
      <c r="BC171" s="190">
        <f>IF(BC125&gt;0,HLOOKUP(BC125,[1]Trav!$C$11:$O$31,$AU$166),0)</f>
        <v>0</v>
      </c>
      <c r="BD171" s="190">
        <f>IF(BD125&gt;0,HLOOKUP(BD125,[1]Trav!$C$11:$O$31,$AU$166),0)</f>
        <v>0</v>
      </c>
      <c r="BE171" s="190">
        <f>IF(BE125&gt;0,HLOOKUP(BE125,[1]Trav!$C$11:$O$31,$AU$166),0)</f>
        <v>0</v>
      </c>
      <c r="BF171" s="190">
        <f>IF(BF125&gt;0,HLOOKUP(BF125,[1]Trav!$C$11:$O$31,$AU$166),0)</f>
        <v>0</v>
      </c>
      <c r="BG171" s="190">
        <f>IF(BG125&gt;0,HLOOKUP(BG125,[1]Trav!$C$11:$O$31,$AU$166),0)</f>
        <v>0</v>
      </c>
      <c r="BH171" s="190">
        <f>IF(BH125&gt;0,HLOOKUP(BH125,[1]Trav!$C$11:$O$31,$AU$166),0)</f>
        <v>0</v>
      </c>
      <c r="BI171" s="190">
        <f>IF(BI125&gt;0,HLOOKUP(BI125,[1]Trav!$C$11:$O$31,$AU$166),0)</f>
        <v>0</v>
      </c>
      <c r="BJ171" s="190">
        <f>IF(BJ125&gt;0,HLOOKUP(BJ125,[1]Trav!$C$11:$O$31,$AU$166),0)</f>
        <v>0</v>
      </c>
      <c r="BK171" s="190">
        <f>IF(BK125&gt;0,HLOOKUP(BK125,[1]Trav!$C$11:$O$31,$AU$166),0)</f>
        <v>0</v>
      </c>
      <c r="BL171" s="190">
        <f>IF(BL125&gt;0,HLOOKUP(BL125,[1]Trav!$C$11:$O$31,$AU$166),0)</f>
        <v>0</v>
      </c>
      <c r="BM171" s="190">
        <f>IF(BM125&gt;0,HLOOKUP(BM125,[1]Trav!$C$11:$O$31,$AU$166),0)</f>
        <v>0</v>
      </c>
      <c r="BN171" s="190">
        <f>IF(BN125&gt;0,HLOOKUP(BN125,[1]Trav!$C$11:$O$31,$AU$166),0)</f>
        <v>0</v>
      </c>
      <c r="BO171" s="190">
        <f>IF(BO125&gt;0,HLOOKUP(BO125,[1]Trav!$C$11:$O$31,$AU$166),0)</f>
        <v>0</v>
      </c>
      <c r="BP171" s="190">
        <f>IF(BP125&gt;0,HLOOKUP(BP125,[1]Trav!$C$11:$O$31,$AU$166),0)</f>
        <v>0</v>
      </c>
      <c r="BQ171" s="190">
        <f>IF(BQ125&gt;0,HLOOKUP(BQ125,[1]Trav!$C$11:$O$31,$AU$166),0)</f>
        <v>0</v>
      </c>
      <c r="BR171" s="190">
        <f>IF(BR125&gt;0,HLOOKUP(BR125,[1]Trav!$C$11:$O$31,$AU$166),0)</f>
        <v>0</v>
      </c>
      <c r="BS171" s="190">
        <f>IF(BS125&gt;0,HLOOKUP(BS125,[1]Trav!$C$11:$O$31,$AU$166),0)</f>
        <v>0</v>
      </c>
      <c r="BZ171" s="189" t="str">
        <f t="shared" si="96"/>
        <v>lot5</v>
      </c>
      <c r="CB171" s="190">
        <f>IF(CB125&gt;0,HLOOKUP(CB125,[1]Trav!$C$11:$O$31,$AU$166),0)</f>
        <v>0</v>
      </c>
      <c r="CC171" s="190">
        <f>IF(CC125&gt;0,HLOOKUP(CC125,[1]Trav!$C$11:$O$31,$AU$166),0)</f>
        <v>0</v>
      </c>
      <c r="CD171" s="190">
        <f>IF(CD125&gt;0,HLOOKUP(CD125,[1]Trav!$C$11:$O$31,$AU$166),0)</f>
        <v>0</v>
      </c>
      <c r="CE171" s="190">
        <f>IF(CE125&gt;0,HLOOKUP(CE125,[1]Trav!$C$11:$O$31,$AU$166),0)</f>
        <v>0</v>
      </c>
      <c r="CF171" s="190">
        <f>IF(CF125&gt;0,HLOOKUP(CF125,[1]Trav!$C$11:$O$31,$AU$166),0)</f>
        <v>0</v>
      </c>
      <c r="CG171" s="190">
        <f>IF(CG125&gt;0,HLOOKUP(CG125,[1]Trav!$C$11:$O$31,$AU$166),0)</f>
        <v>0</v>
      </c>
      <c r="CH171" s="190">
        <f>IF(CH125&gt;0,HLOOKUP(CH125,[1]Trav!$C$11:$O$31,$AU$166),0)</f>
        <v>0</v>
      </c>
      <c r="CI171" s="190">
        <f>IF(CI125&gt;0,HLOOKUP(CI125,[1]Trav!$C$11:$O$31,$AU$166),0)</f>
        <v>0</v>
      </c>
      <c r="CJ171" s="190">
        <f>IF(CJ125&gt;0,HLOOKUP(CJ125,[1]Trav!$C$11:$O$31,$AU$166),0)</f>
        <v>0</v>
      </c>
      <c r="CK171" s="190">
        <f>IF(CK125&gt;0,HLOOKUP(CK125,[1]Trav!$C$11:$O$31,$AU$166),0)</f>
        <v>0</v>
      </c>
      <c r="CL171" s="190">
        <f>IF(CL125&gt;0,HLOOKUP(CL125,[1]Trav!$C$11:$O$31,$AU$166),0)</f>
        <v>0</v>
      </c>
      <c r="CM171" s="190">
        <f>IF(CM125&gt;0,HLOOKUP(CM125,[1]Trav!$C$11:$O$31,$AU$166),0)</f>
        <v>0</v>
      </c>
      <c r="CN171" s="190">
        <f>IF(CN125&gt;0,HLOOKUP(CN125,[1]Trav!$C$11:$O$31,$AU$166),0)</f>
        <v>0</v>
      </c>
      <c r="CO171" s="190">
        <f>IF(CO125&gt;0,HLOOKUP(CO125,[1]Trav!$C$11:$O$31,$AU$166),0)</f>
        <v>0</v>
      </c>
      <c r="CP171" s="190">
        <f>IF(CP125&gt;0,HLOOKUP(CP125,[1]Trav!$C$11:$O$31,$AU$166),0)</f>
        <v>0</v>
      </c>
      <c r="CQ171" s="190">
        <f>IF(CQ125&gt;0,HLOOKUP(CQ125,[1]Trav!$C$11:$O$31,$AU$166),0)</f>
        <v>0</v>
      </c>
      <c r="CR171" s="190">
        <f>IF(CR125&gt;0,HLOOKUP(CR125,[1]Trav!$C$11:$O$31,$AU$166),0)</f>
        <v>0</v>
      </c>
      <c r="CS171" s="190">
        <f>IF(CS125&gt;0,HLOOKUP(CS125,[1]Trav!$C$11:$O$31,$AU$166),0)</f>
        <v>0</v>
      </c>
      <c r="CT171" s="190">
        <f>IF(CT125&gt;0,HLOOKUP(CT125,[1]Trav!$C$11:$O$31,$AU$166),0)</f>
        <v>0</v>
      </c>
      <c r="CU171" s="190">
        <f>IF(CU125&gt;0,HLOOKUP(CU125,[1]Trav!$C$11:$O$31,$AU$166),0)</f>
        <v>0</v>
      </c>
      <c r="CV171" s="190">
        <f>IF(CV125&gt;0,HLOOKUP(CV125,[1]Trav!$C$11:$O$31,$AU$166),0)</f>
        <v>0</v>
      </c>
      <c r="CW171" s="190">
        <f>IF(CW125&gt;0,HLOOKUP(CW125,[1]Trav!$C$11:$O$31,$AU$166),0)</f>
        <v>0</v>
      </c>
      <c r="CX171" s="190">
        <f>IF(CX125&gt;0,HLOOKUP(CX125,[1]Trav!$C$11:$O$31,$AU$166),0)</f>
        <v>0</v>
      </c>
      <c r="CY171" s="190">
        <f>IF(CY125&gt;0,HLOOKUP(CY125,[1]Trav!$C$11:$O$31,$AU$166),0)</f>
        <v>0</v>
      </c>
      <c r="DC171" s="189" t="str">
        <f t="shared" si="97"/>
        <v>lot5</v>
      </c>
      <c r="DE171" s="190">
        <f>IF(DE125&gt;0,HLOOKUP(DE125,[1]Trav!$C$11:$O$31,$AU$166),0)</f>
        <v>0</v>
      </c>
      <c r="DF171" s="190">
        <f>IF(DF125&gt;0,HLOOKUP(DF125,[1]Trav!$C$11:$O$31,$AU$166),0)</f>
        <v>0</v>
      </c>
      <c r="DG171" s="190">
        <f>IF(DG125&gt;0,HLOOKUP(DG125,[1]Trav!$C$11:$O$31,$AU$166),0)</f>
        <v>0</v>
      </c>
      <c r="DH171" s="190">
        <f>IF(DH125&gt;0,HLOOKUP(DH125,[1]Trav!$C$11:$O$31,$AU$166),0)</f>
        <v>0</v>
      </c>
      <c r="DI171" s="190">
        <f>IF(DI125&gt;0,HLOOKUP(DI125,[1]Trav!$C$11:$O$31,$AU$166),0)</f>
        <v>0</v>
      </c>
      <c r="DJ171" s="190">
        <f>IF(DJ125&gt;0,HLOOKUP(DJ125,[1]Trav!$C$11:$O$31,$AU$166),0)</f>
        <v>0</v>
      </c>
      <c r="DK171" s="190">
        <f>IF(DK125&gt;0,HLOOKUP(DK125,[1]Trav!$C$11:$O$31,$AU$166),0)</f>
        <v>0</v>
      </c>
      <c r="DL171" s="190">
        <f>IF(DL125&gt;0,HLOOKUP(DL125,[1]Trav!$C$11:$O$31,$AU$166),0)</f>
        <v>0</v>
      </c>
      <c r="DM171" s="190">
        <f>IF(DM125&gt;0,HLOOKUP(DM125,[1]Trav!$C$11:$O$31,$AU$166),0)</f>
        <v>0</v>
      </c>
      <c r="DN171" s="190">
        <f>IF(DN125&gt;0,HLOOKUP(DN125,[1]Trav!$C$11:$O$31,$AU$166),0)</f>
        <v>0</v>
      </c>
      <c r="DO171" s="190">
        <f>IF(DO125&gt;0,HLOOKUP(DO125,[1]Trav!$C$11:$O$31,$AU$166),0)</f>
        <v>0</v>
      </c>
      <c r="DP171" s="190">
        <f>IF(DP125&gt;0,HLOOKUP(DP125,[1]Trav!$C$11:$O$31,$AU$166),0)</f>
        <v>0</v>
      </c>
      <c r="DQ171" s="190">
        <f>IF(DQ125&gt;0,HLOOKUP(DQ125,[1]Trav!$C$11:$O$31,$AU$166),0)</f>
        <v>0</v>
      </c>
      <c r="DR171" s="190">
        <f>IF(DR125&gt;0,HLOOKUP(DR125,[1]Trav!$C$11:$O$31,$AU$166),0)</f>
        <v>0</v>
      </c>
      <c r="DS171" s="190">
        <f>IF(DS125&gt;0,HLOOKUP(DS125,[1]Trav!$C$11:$O$31,$AU$166),0)</f>
        <v>0</v>
      </c>
      <c r="DT171" s="190">
        <f>IF(DT125&gt;0,HLOOKUP(DT125,[1]Trav!$C$11:$O$31,$AU$166),0)</f>
        <v>0</v>
      </c>
      <c r="DU171" s="190">
        <f>IF(DU125&gt;0,HLOOKUP(DU125,[1]Trav!$C$11:$O$31,$AU$166),0)</f>
        <v>0</v>
      </c>
      <c r="DV171" s="190">
        <f>IF(DV125&gt;0,HLOOKUP(DV125,[1]Trav!$C$11:$O$31,$AU$166),0)</f>
        <v>0</v>
      </c>
      <c r="DW171" s="190">
        <f>IF(DW125&gt;0,HLOOKUP(DW125,[1]Trav!$C$11:$O$31,$AU$166),0)</f>
        <v>0</v>
      </c>
      <c r="DX171" s="190">
        <f>IF(DX125&gt;0,HLOOKUP(DX125,[1]Trav!$C$11:$O$31,$AU$166),0)</f>
        <v>0</v>
      </c>
      <c r="DY171" s="190">
        <f>IF(DY125&gt;0,HLOOKUP(DY125,[1]Trav!$C$11:$O$31,$AU$166),0)</f>
        <v>0</v>
      </c>
      <c r="DZ171" s="190">
        <f>IF(DZ125&gt;0,HLOOKUP(DZ125,[1]Trav!$C$11:$O$31,$AU$166),0)</f>
        <v>0</v>
      </c>
      <c r="EA171" s="190">
        <f>IF(EA125&gt;0,HLOOKUP(EA125,[1]Trav!$C$11:$O$31,$AU$166),0)</f>
        <v>0</v>
      </c>
      <c r="EB171" s="190">
        <f>IF(EB125&gt;0,HLOOKUP(EB125,[1]Trav!$C$11:$O$31,$AU$166),0)</f>
        <v>0</v>
      </c>
    </row>
    <row r="172" spans="1:132" x14ac:dyDescent="0.25">
      <c r="B172" s="14" t="s">
        <v>1282</v>
      </c>
      <c r="C172" s="173">
        <f>Alim_Surf!K25</f>
        <v>144.9</v>
      </c>
      <c r="D172" s="263">
        <f t="shared" si="50"/>
        <v>139.11845386533668</v>
      </c>
      <c r="AT172" s="189" t="str">
        <f t="shared" si="95"/>
        <v>lot6</v>
      </c>
      <c r="AV172" s="190">
        <f>IF(AV126&gt;0,HLOOKUP(AV126,[1]Trav!$C$11:$O$31,$AU$166),0)</f>
        <v>0</v>
      </c>
      <c r="AW172" s="190">
        <f>IF(AW126&gt;0,HLOOKUP(AW126,[1]Trav!$C$11:$O$31,$AU$166),0)</f>
        <v>0</v>
      </c>
      <c r="AX172" s="190">
        <f>IF(AX126&gt;0,HLOOKUP(AX126,[1]Trav!$C$11:$O$31,$AU$166),0)</f>
        <v>0</v>
      </c>
      <c r="AY172" s="190">
        <f>IF(AY126&gt;0,HLOOKUP(AY126,[1]Trav!$C$11:$O$31,$AU$166),0)</f>
        <v>0</v>
      </c>
      <c r="AZ172" s="190">
        <f>IF(AZ126&gt;0,HLOOKUP(AZ126,[1]Trav!$C$11:$O$31,$AU$166),0)</f>
        <v>0</v>
      </c>
      <c r="BA172" s="190">
        <f>IF(BA126&gt;0,HLOOKUP(BA126,[1]Trav!$C$11:$O$31,$AU$166),0)</f>
        <v>0</v>
      </c>
      <c r="BB172" s="190">
        <f>IF(BB126&gt;0,HLOOKUP(BB126,[1]Trav!$C$11:$O$31,$AU$166),0)</f>
        <v>0</v>
      </c>
      <c r="BC172" s="190">
        <f>IF(BC126&gt;0,HLOOKUP(BC126,[1]Trav!$C$11:$O$31,$AU$166),0)</f>
        <v>0</v>
      </c>
      <c r="BD172" s="190">
        <f>IF(BD126&gt;0,HLOOKUP(BD126,[1]Trav!$C$11:$O$31,$AU$166),0)</f>
        <v>0</v>
      </c>
      <c r="BE172" s="190">
        <f>IF(BE126&gt;0,HLOOKUP(BE126,[1]Trav!$C$11:$O$31,$AU$166),0)</f>
        <v>0</v>
      </c>
      <c r="BF172" s="190">
        <f>IF(BF126&gt;0,HLOOKUP(BF126,[1]Trav!$C$11:$O$31,$AU$166),0)</f>
        <v>0</v>
      </c>
      <c r="BG172" s="190">
        <f>IF(BG126&gt;0,HLOOKUP(BG126,[1]Trav!$C$11:$O$31,$AU$166),0)</f>
        <v>0</v>
      </c>
      <c r="BH172" s="190">
        <f>IF(BH126&gt;0,HLOOKUP(BH126,[1]Trav!$C$11:$O$31,$AU$166),0)</f>
        <v>0</v>
      </c>
      <c r="BI172" s="190">
        <f>IF(BI126&gt;0,HLOOKUP(BI126,[1]Trav!$C$11:$O$31,$AU$166),0)</f>
        <v>0</v>
      </c>
      <c r="BJ172" s="190">
        <f>IF(BJ126&gt;0,HLOOKUP(BJ126,[1]Trav!$C$11:$O$31,$AU$166),0)</f>
        <v>0</v>
      </c>
      <c r="BK172" s="190">
        <f>IF(BK126&gt;0,HLOOKUP(BK126,[1]Trav!$C$11:$O$31,$AU$166),0)</f>
        <v>0</v>
      </c>
      <c r="BL172" s="190">
        <f>IF(BL126&gt;0,HLOOKUP(BL126,[1]Trav!$C$11:$O$31,$AU$166),0)</f>
        <v>0</v>
      </c>
      <c r="BM172" s="190">
        <f>IF(BM126&gt;0,HLOOKUP(BM126,[1]Trav!$C$11:$O$31,$AU$166),0)</f>
        <v>0</v>
      </c>
      <c r="BN172" s="190">
        <f>IF(BN126&gt;0,HLOOKUP(BN126,[1]Trav!$C$11:$O$31,$AU$166),0)</f>
        <v>0</v>
      </c>
      <c r="BO172" s="190">
        <f>IF(BO126&gt;0,HLOOKUP(BO126,[1]Trav!$C$11:$O$31,$AU$166),0)</f>
        <v>0</v>
      </c>
      <c r="BP172" s="190">
        <f>IF(BP126&gt;0,HLOOKUP(BP126,[1]Trav!$C$11:$O$31,$AU$166),0)</f>
        <v>0</v>
      </c>
      <c r="BQ172" s="190">
        <f>IF(BQ126&gt;0,HLOOKUP(BQ126,[1]Trav!$C$11:$O$31,$AU$166),0)</f>
        <v>0</v>
      </c>
      <c r="BR172" s="190">
        <f>IF(BR126&gt;0,HLOOKUP(BR126,[1]Trav!$C$11:$O$31,$AU$166),0)</f>
        <v>0</v>
      </c>
      <c r="BS172" s="190">
        <f>IF(BS126&gt;0,HLOOKUP(BS126,[1]Trav!$C$11:$O$31,$AU$166),0)</f>
        <v>0</v>
      </c>
      <c r="BZ172" s="189" t="str">
        <f t="shared" si="96"/>
        <v>lot6</v>
      </c>
      <c r="CB172" s="190">
        <f>IF(CB126&gt;0,HLOOKUP(CB126,[1]Trav!$C$11:$O$31,$AU$166),0)</f>
        <v>0</v>
      </c>
      <c r="CC172" s="190">
        <f>IF(CC126&gt;0,HLOOKUP(CC126,[1]Trav!$C$11:$O$31,$AU$166),0)</f>
        <v>0</v>
      </c>
      <c r="CD172" s="190">
        <f>IF(CD126&gt;0,HLOOKUP(CD126,[1]Trav!$C$11:$O$31,$AU$166),0)</f>
        <v>0</v>
      </c>
      <c r="CE172" s="190">
        <f>IF(CE126&gt;0,HLOOKUP(CE126,[1]Trav!$C$11:$O$31,$AU$166),0)</f>
        <v>0</v>
      </c>
      <c r="CF172" s="190">
        <f>IF(CF126&gt;0,HLOOKUP(CF126,[1]Trav!$C$11:$O$31,$AU$166),0)</f>
        <v>0</v>
      </c>
      <c r="CG172" s="190">
        <f>IF(CG126&gt;0,HLOOKUP(CG126,[1]Trav!$C$11:$O$31,$AU$166),0)</f>
        <v>0</v>
      </c>
      <c r="CH172" s="190">
        <f>IF(CH126&gt;0,HLOOKUP(CH126,[1]Trav!$C$11:$O$31,$AU$166),0)</f>
        <v>0</v>
      </c>
      <c r="CI172" s="190">
        <f>IF(CI126&gt;0,HLOOKUP(CI126,[1]Trav!$C$11:$O$31,$AU$166),0)</f>
        <v>0</v>
      </c>
      <c r="CJ172" s="190">
        <f>IF(CJ126&gt;0,HLOOKUP(CJ126,[1]Trav!$C$11:$O$31,$AU$166),0)</f>
        <v>0</v>
      </c>
      <c r="CK172" s="190">
        <f>IF(CK126&gt;0,HLOOKUP(CK126,[1]Trav!$C$11:$O$31,$AU$166),0)</f>
        <v>0</v>
      </c>
      <c r="CL172" s="190">
        <f>IF(CL126&gt;0,HLOOKUP(CL126,[1]Trav!$C$11:$O$31,$AU$166),0)</f>
        <v>0</v>
      </c>
      <c r="CM172" s="190">
        <f>IF(CM126&gt;0,HLOOKUP(CM126,[1]Trav!$C$11:$O$31,$AU$166),0)</f>
        <v>0</v>
      </c>
      <c r="CN172" s="190">
        <f>IF(CN126&gt;0,HLOOKUP(CN126,[1]Trav!$C$11:$O$31,$AU$166),0)</f>
        <v>0</v>
      </c>
      <c r="CO172" s="190">
        <f>IF(CO126&gt;0,HLOOKUP(CO126,[1]Trav!$C$11:$O$31,$AU$166),0)</f>
        <v>0</v>
      </c>
      <c r="CP172" s="190">
        <f>IF(CP126&gt;0,HLOOKUP(CP126,[1]Trav!$C$11:$O$31,$AU$166),0)</f>
        <v>0</v>
      </c>
      <c r="CQ172" s="190">
        <f>IF(CQ126&gt;0,HLOOKUP(CQ126,[1]Trav!$C$11:$O$31,$AU$166),0)</f>
        <v>0</v>
      </c>
      <c r="CR172" s="190">
        <f>IF(CR126&gt;0,HLOOKUP(CR126,[1]Trav!$C$11:$O$31,$AU$166),0)</f>
        <v>0</v>
      </c>
      <c r="CS172" s="190">
        <f>IF(CS126&gt;0,HLOOKUP(CS126,[1]Trav!$C$11:$O$31,$AU$166),0)</f>
        <v>0</v>
      </c>
      <c r="CT172" s="190">
        <f>IF(CT126&gt;0,HLOOKUP(CT126,[1]Trav!$C$11:$O$31,$AU$166),0)</f>
        <v>0</v>
      </c>
      <c r="CU172" s="190">
        <f>IF(CU126&gt;0,HLOOKUP(CU126,[1]Trav!$C$11:$O$31,$AU$166),0)</f>
        <v>0</v>
      </c>
      <c r="CV172" s="190">
        <f>IF(CV126&gt;0,HLOOKUP(CV126,[1]Trav!$C$11:$O$31,$AU$166),0)</f>
        <v>0</v>
      </c>
      <c r="CW172" s="190">
        <f>IF(CW126&gt;0,HLOOKUP(CW126,[1]Trav!$C$11:$O$31,$AU$166),0)</f>
        <v>0</v>
      </c>
      <c r="CX172" s="190">
        <f>IF(CX126&gt;0,HLOOKUP(CX126,[1]Trav!$C$11:$O$31,$AU$166),0)</f>
        <v>0</v>
      </c>
      <c r="CY172" s="190">
        <f>IF(CY126&gt;0,HLOOKUP(CY126,[1]Trav!$C$11:$O$31,$AU$166),0)</f>
        <v>0</v>
      </c>
      <c r="DC172" s="189" t="str">
        <f t="shared" si="97"/>
        <v>lot6</v>
      </c>
      <c r="DE172" s="190">
        <f>IF(DE126&gt;0,HLOOKUP(DE126,[1]Trav!$C$11:$O$31,$AU$166),0)</f>
        <v>0</v>
      </c>
      <c r="DF172" s="190">
        <f>IF(DF126&gt;0,HLOOKUP(DF126,[1]Trav!$C$11:$O$31,$AU$166),0)</f>
        <v>0</v>
      </c>
      <c r="DG172" s="190">
        <f>IF(DG126&gt;0,HLOOKUP(DG126,[1]Trav!$C$11:$O$31,$AU$166),0)</f>
        <v>0</v>
      </c>
      <c r="DH172" s="190">
        <f>IF(DH126&gt;0,HLOOKUP(DH126,[1]Trav!$C$11:$O$31,$AU$166),0)</f>
        <v>0</v>
      </c>
      <c r="DI172" s="190">
        <f>IF(DI126&gt;0,HLOOKUP(DI126,[1]Trav!$C$11:$O$31,$AU$166),0)</f>
        <v>0</v>
      </c>
      <c r="DJ172" s="190">
        <f>IF(DJ126&gt;0,HLOOKUP(DJ126,[1]Trav!$C$11:$O$31,$AU$166),0)</f>
        <v>0</v>
      </c>
      <c r="DK172" s="190">
        <f>IF(DK126&gt;0,HLOOKUP(DK126,[1]Trav!$C$11:$O$31,$AU$166),0)</f>
        <v>0</v>
      </c>
      <c r="DL172" s="190">
        <f>IF(DL126&gt;0,HLOOKUP(DL126,[1]Trav!$C$11:$O$31,$AU$166),0)</f>
        <v>0</v>
      </c>
      <c r="DM172" s="190">
        <f>IF(DM126&gt;0,HLOOKUP(DM126,[1]Trav!$C$11:$O$31,$AU$166),0)</f>
        <v>0</v>
      </c>
      <c r="DN172" s="190">
        <f>IF(DN126&gt;0,HLOOKUP(DN126,[1]Trav!$C$11:$O$31,$AU$166),0)</f>
        <v>0</v>
      </c>
      <c r="DO172" s="190">
        <f>IF(DO126&gt;0,HLOOKUP(DO126,[1]Trav!$C$11:$O$31,$AU$166),0)</f>
        <v>0</v>
      </c>
      <c r="DP172" s="190">
        <f>IF(DP126&gt;0,HLOOKUP(DP126,[1]Trav!$C$11:$O$31,$AU$166),0)</f>
        <v>0</v>
      </c>
      <c r="DQ172" s="190">
        <f>IF(DQ126&gt;0,HLOOKUP(DQ126,[1]Trav!$C$11:$O$31,$AU$166),0)</f>
        <v>0</v>
      </c>
      <c r="DR172" s="190">
        <f>IF(DR126&gt;0,HLOOKUP(DR126,[1]Trav!$C$11:$O$31,$AU$166),0)</f>
        <v>0</v>
      </c>
      <c r="DS172" s="190">
        <f>IF(DS126&gt;0,HLOOKUP(DS126,[1]Trav!$C$11:$O$31,$AU$166),0)</f>
        <v>0</v>
      </c>
      <c r="DT172" s="190">
        <f>IF(DT126&gt;0,HLOOKUP(DT126,[1]Trav!$C$11:$O$31,$AU$166),0)</f>
        <v>0</v>
      </c>
      <c r="DU172" s="190">
        <f>IF(DU126&gt;0,HLOOKUP(DU126,[1]Trav!$C$11:$O$31,$AU$166),0)</f>
        <v>0</v>
      </c>
      <c r="DV172" s="190">
        <f>IF(DV126&gt;0,HLOOKUP(DV126,[1]Trav!$C$11:$O$31,$AU$166),0)</f>
        <v>0</v>
      </c>
      <c r="DW172" s="190">
        <f>IF(DW126&gt;0,HLOOKUP(DW126,[1]Trav!$C$11:$O$31,$AU$166),0)</f>
        <v>0</v>
      </c>
      <c r="DX172" s="190">
        <f>IF(DX126&gt;0,HLOOKUP(DX126,[1]Trav!$C$11:$O$31,$AU$166),0)</f>
        <v>0</v>
      </c>
      <c r="DY172" s="190">
        <f>IF(DY126&gt;0,HLOOKUP(DY126,[1]Trav!$C$11:$O$31,$AU$166),0)</f>
        <v>0</v>
      </c>
      <c r="DZ172" s="190">
        <f>IF(DZ126&gt;0,HLOOKUP(DZ126,[1]Trav!$C$11:$O$31,$AU$166),0)</f>
        <v>0</v>
      </c>
      <c r="EA172" s="190">
        <f>IF(EA126&gt;0,HLOOKUP(EA126,[1]Trav!$C$11:$O$31,$AU$166),0)</f>
        <v>0</v>
      </c>
      <c r="EB172" s="190">
        <f>IF(EB126&gt;0,HLOOKUP(EB126,[1]Trav!$C$11:$O$31,$AU$166),0)</f>
        <v>0</v>
      </c>
    </row>
    <row r="173" spans="1:132" x14ac:dyDescent="0.25">
      <c r="B173" s="14" t="s">
        <v>1283</v>
      </c>
      <c r="C173" s="173">
        <f>C169-C170</f>
        <v>38.808709560556508</v>
      </c>
      <c r="D173" s="263">
        <f t="shared" si="50"/>
        <v>37.260232371107868</v>
      </c>
      <c r="AT173" s="189" t="str">
        <f t="shared" si="95"/>
        <v>lot7</v>
      </c>
      <c r="AV173" s="190">
        <f>IF(AV127&gt;0,HLOOKUP(AV127,[1]Trav!$C$11:$O$31,$AU$166),0)</f>
        <v>0</v>
      </c>
      <c r="AW173" s="190">
        <f>IF(AW127&gt;0,HLOOKUP(AW127,[1]Trav!$C$11:$O$31,$AU$166),0)</f>
        <v>0</v>
      </c>
      <c r="AX173" s="190">
        <f>IF(AX127&gt;0,HLOOKUP(AX127,[1]Trav!$C$11:$O$31,$AU$166),0)</f>
        <v>0</v>
      </c>
      <c r="AY173" s="190">
        <f>IF(AY127&gt;0,HLOOKUP(AY127,[1]Trav!$C$11:$O$31,$AU$166),0)</f>
        <v>0</v>
      </c>
      <c r="AZ173" s="190">
        <f>IF(AZ127&gt;0,HLOOKUP(AZ127,[1]Trav!$C$11:$O$31,$AU$166),0)</f>
        <v>0</v>
      </c>
      <c r="BA173" s="190">
        <f>IF(BA127&gt;0,HLOOKUP(BA127,[1]Trav!$C$11:$O$31,$AU$166),0)</f>
        <v>0</v>
      </c>
      <c r="BB173" s="190">
        <f>IF(BB127&gt;0,HLOOKUP(BB127,[1]Trav!$C$11:$O$31,$AU$166),0)</f>
        <v>0</v>
      </c>
      <c r="BC173" s="190">
        <f>IF(BC127&gt;0,HLOOKUP(BC127,[1]Trav!$C$11:$O$31,$AU$166),0)</f>
        <v>0</v>
      </c>
      <c r="BD173" s="190">
        <f>IF(BD127&gt;0,HLOOKUP(BD127,[1]Trav!$C$11:$O$31,$AU$166),0)</f>
        <v>0</v>
      </c>
      <c r="BE173" s="190">
        <f>IF(BE127&gt;0,HLOOKUP(BE127,[1]Trav!$C$11:$O$31,$AU$166),0)</f>
        <v>0</v>
      </c>
      <c r="BF173" s="190">
        <f>IF(BF127&gt;0,HLOOKUP(BF127,[1]Trav!$C$11:$O$31,$AU$166),0)</f>
        <v>0</v>
      </c>
      <c r="BG173" s="190">
        <f>IF(BG127&gt;0,HLOOKUP(BG127,[1]Trav!$C$11:$O$31,$AU$166),0)</f>
        <v>0</v>
      </c>
      <c r="BH173" s="190">
        <f>IF(BH127&gt;0,HLOOKUP(BH127,[1]Trav!$C$11:$O$31,$AU$166),0)</f>
        <v>0</v>
      </c>
      <c r="BI173" s="190">
        <f>IF(BI127&gt;0,HLOOKUP(BI127,[1]Trav!$C$11:$O$31,$AU$166),0)</f>
        <v>0</v>
      </c>
      <c r="BJ173" s="190">
        <f>IF(BJ127&gt;0,HLOOKUP(BJ127,[1]Trav!$C$11:$O$31,$AU$166),0)</f>
        <v>0</v>
      </c>
      <c r="BK173" s="190">
        <f>IF(BK127&gt;0,HLOOKUP(BK127,[1]Trav!$C$11:$O$31,$AU$166),0)</f>
        <v>0</v>
      </c>
      <c r="BL173" s="190">
        <f>IF(BL127&gt;0,HLOOKUP(BL127,[1]Trav!$C$11:$O$31,$AU$166),0)</f>
        <v>0</v>
      </c>
      <c r="BM173" s="190">
        <f>IF(BM127&gt;0,HLOOKUP(BM127,[1]Trav!$C$11:$O$31,$AU$166),0)</f>
        <v>0</v>
      </c>
      <c r="BN173" s="190">
        <f>IF(BN127&gt;0,HLOOKUP(BN127,[1]Trav!$C$11:$O$31,$AU$166),0)</f>
        <v>0</v>
      </c>
      <c r="BO173" s="190">
        <f>IF(BO127&gt;0,HLOOKUP(BO127,[1]Trav!$C$11:$O$31,$AU$166),0)</f>
        <v>0</v>
      </c>
      <c r="BP173" s="190">
        <f>IF(BP127&gt;0,HLOOKUP(BP127,[1]Trav!$C$11:$O$31,$AU$166),0)</f>
        <v>0</v>
      </c>
      <c r="BQ173" s="190">
        <f>IF(BQ127&gt;0,HLOOKUP(BQ127,[1]Trav!$C$11:$O$31,$AU$166),0)</f>
        <v>0</v>
      </c>
      <c r="BR173" s="190">
        <f>IF(BR127&gt;0,HLOOKUP(BR127,[1]Trav!$C$11:$O$31,$AU$166),0)</f>
        <v>0</v>
      </c>
      <c r="BS173" s="190">
        <f>IF(BS127&gt;0,HLOOKUP(BS127,[1]Trav!$C$11:$O$31,$AU$166),0)</f>
        <v>0</v>
      </c>
      <c r="BZ173" s="189" t="str">
        <f t="shared" si="96"/>
        <v>lot7</v>
      </c>
      <c r="CB173" s="190">
        <f>IF(CB127&gt;0,HLOOKUP(CB127,[1]Trav!$C$11:$O$31,$AU$166),0)</f>
        <v>0</v>
      </c>
      <c r="CC173" s="190">
        <f>IF(CC127&gt;0,HLOOKUP(CC127,[1]Trav!$C$11:$O$31,$AU$166),0)</f>
        <v>0</v>
      </c>
      <c r="CD173" s="190">
        <f>IF(CD127&gt;0,HLOOKUP(CD127,[1]Trav!$C$11:$O$31,$AU$166),0)</f>
        <v>0</v>
      </c>
      <c r="CE173" s="190">
        <f>IF(CE127&gt;0,HLOOKUP(CE127,[1]Trav!$C$11:$O$31,$AU$166),0)</f>
        <v>0</v>
      </c>
      <c r="CF173" s="190">
        <f>IF(CF127&gt;0,HLOOKUP(CF127,[1]Trav!$C$11:$O$31,$AU$166),0)</f>
        <v>0</v>
      </c>
      <c r="CG173" s="190">
        <f>IF(CG127&gt;0,HLOOKUP(CG127,[1]Trav!$C$11:$O$31,$AU$166),0)</f>
        <v>0</v>
      </c>
      <c r="CH173" s="190">
        <f>IF(CH127&gt;0,HLOOKUP(CH127,[1]Trav!$C$11:$O$31,$AU$166),0)</f>
        <v>0</v>
      </c>
      <c r="CI173" s="190">
        <f>IF(CI127&gt;0,HLOOKUP(CI127,[1]Trav!$C$11:$O$31,$AU$166),0)</f>
        <v>0</v>
      </c>
      <c r="CJ173" s="190">
        <f>IF(CJ127&gt;0,HLOOKUP(CJ127,[1]Trav!$C$11:$O$31,$AU$166),0)</f>
        <v>0</v>
      </c>
      <c r="CK173" s="190">
        <f>IF(CK127&gt;0,HLOOKUP(CK127,[1]Trav!$C$11:$O$31,$AU$166),0)</f>
        <v>0</v>
      </c>
      <c r="CL173" s="190">
        <f>IF(CL127&gt;0,HLOOKUP(CL127,[1]Trav!$C$11:$O$31,$AU$166),0)</f>
        <v>0</v>
      </c>
      <c r="CM173" s="190">
        <f>IF(CM127&gt;0,HLOOKUP(CM127,[1]Trav!$C$11:$O$31,$AU$166),0)</f>
        <v>0</v>
      </c>
      <c r="CN173" s="190">
        <f>IF(CN127&gt;0,HLOOKUP(CN127,[1]Trav!$C$11:$O$31,$AU$166),0)</f>
        <v>0</v>
      </c>
      <c r="CO173" s="190">
        <f>IF(CO127&gt;0,HLOOKUP(CO127,[1]Trav!$C$11:$O$31,$AU$166),0)</f>
        <v>0</v>
      </c>
      <c r="CP173" s="190">
        <f>IF(CP127&gt;0,HLOOKUP(CP127,[1]Trav!$C$11:$O$31,$AU$166),0)</f>
        <v>0</v>
      </c>
      <c r="CQ173" s="190">
        <f>IF(CQ127&gt;0,HLOOKUP(CQ127,[1]Trav!$C$11:$O$31,$AU$166),0)</f>
        <v>0</v>
      </c>
      <c r="CR173" s="190">
        <f>IF(CR127&gt;0,HLOOKUP(CR127,[1]Trav!$C$11:$O$31,$AU$166),0)</f>
        <v>0</v>
      </c>
      <c r="CS173" s="190">
        <f>IF(CS127&gt;0,HLOOKUP(CS127,[1]Trav!$C$11:$O$31,$AU$166),0)</f>
        <v>0</v>
      </c>
      <c r="CT173" s="190">
        <f>IF(CT127&gt;0,HLOOKUP(CT127,[1]Trav!$C$11:$O$31,$AU$166),0)</f>
        <v>0</v>
      </c>
      <c r="CU173" s="190">
        <f>IF(CU127&gt;0,HLOOKUP(CU127,[1]Trav!$C$11:$O$31,$AU$166),0)</f>
        <v>0</v>
      </c>
      <c r="CV173" s="190">
        <f>IF(CV127&gt;0,HLOOKUP(CV127,[1]Trav!$C$11:$O$31,$AU$166),0)</f>
        <v>0</v>
      </c>
      <c r="CW173" s="190">
        <f>IF(CW127&gt;0,HLOOKUP(CW127,[1]Trav!$C$11:$O$31,$AU$166),0)</f>
        <v>0</v>
      </c>
      <c r="CX173" s="190">
        <f>IF(CX127&gt;0,HLOOKUP(CX127,[1]Trav!$C$11:$O$31,$AU$166),0)</f>
        <v>0</v>
      </c>
      <c r="CY173" s="190">
        <f>IF(CY127&gt;0,HLOOKUP(CY127,[1]Trav!$C$11:$O$31,$AU$166),0)</f>
        <v>0</v>
      </c>
      <c r="DC173" s="189" t="str">
        <f t="shared" si="97"/>
        <v>lot7</v>
      </c>
      <c r="DE173" s="190">
        <f>IF(DE127&gt;0,HLOOKUP(DE127,[1]Trav!$C$11:$O$31,$AU$166),0)</f>
        <v>0</v>
      </c>
      <c r="DF173" s="190">
        <f>IF(DF127&gt;0,HLOOKUP(DF127,[1]Trav!$C$11:$O$31,$AU$166),0)</f>
        <v>0</v>
      </c>
      <c r="DG173" s="190">
        <f>IF(DG127&gt;0,HLOOKUP(DG127,[1]Trav!$C$11:$O$31,$AU$166),0)</f>
        <v>0</v>
      </c>
      <c r="DH173" s="190">
        <f>IF(DH127&gt;0,HLOOKUP(DH127,[1]Trav!$C$11:$O$31,$AU$166),0)</f>
        <v>0</v>
      </c>
      <c r="DI173" s="190">
        <f>IF(DI127&gt;0,HLOOKUP(DI127,[1]Trav!$C$11:$O$31,$AU$166),0)</f>
        <v>0</v>
      </c>
      <c r="DJ173" s="190">
        <f>IF(DJ127&gt;0,HLOOKUP(DJ127,[1]Trav!$C$11:$O$31,$AU$166),0)</f>
        <v>0</v>
      </c>
      <c r="DK173" s="190">
        <f>IF(DK127&gt;0,HLOOKUP(DK127,[1]Trav!$C$11:$O$31,$AU$166),0)</f>
        <v>0</v>
      </c>
      <c r="DL173" s="190">
        <f>IF(DL127&gt;0,HLOOKUP(DL127,[1]Trav!$C$11:$O$31,$AU$166),0)</f>
        <v>0</v>
      </c>
      <c r="DM173" s="190">
        <f>IF(DM127&gt;0,HLOOKUP(DM127,[1]Trav!$C$11:$O$31,$AU$166),0)</f>
        <v>0</v>
      </c>
      <c r="DN173" s="190">
        <f>IF(DN127&gt;0,HLOOKUP(DN127,[1]Trav!$C$11:$O$31,$AU$166),0)</f>
        <v>0</v>
      </c>
      <c r="DO173" s="190">
        <f>IF(DO127&gt;0,HLOOKUP(DO127,[1]Trav!$C$11:$O$31,$AU$166),0)</f>
        <v>0</v>
      </c>
      <c r="DP173" s="190">
        <f>IF(DP127&gt;0,HLOOKUP(DP127,[1]Trav!$C$11:$O$31,$AU$166),0)</f>
        <v>0</v>
      </c>
      <c r="DQ173" s="190">
        <f>IF(DQ127&gt;0,HLOOKUP(DQ127,[1]Trav!$C$11:$O$31,$AU$166),0)</f>
        <v>0</v>
      </c>
      <c r="DR173" s="190">
        <f>IF(DR127&gt;0,HLOOKUP(DR127,[1]Trav!$C$11:$O$31,$AU$166),0)</f>
        <v>0</v>
      </c>
      <c r="DS173" s="190">
        <f>IF(DS127&gt;0,HLOOKUP(DS127,[1]Trav!$C$11:$O$31,$AU$166),0)</f>
        <v>0</v>
      </c>
      <c r="DT173" s="190">
        <f>IF(DT127&gt;0,HLOOKUP(DT127,[1]Trav!$C$11:$O$31,$AU$166),0)</f>
        <v>0</v>
      </c>
      <c r="DU173" s="190">
        <f>IF(DU127&gt;0,HLOOKUP(DU127,[1]Trav!$C$11:$O$31,$AU$166),0)</f>
        <v>0</v>
      </c>
      <c r="DV173" s="190">
        <f>IF(DV127&gt;0,HLOOKUP(DV127,[1]Trav!$C$11:$O$31,$AU$166),0)</f>
        <v>0</v>
      </c>
      <c r="DW173" s="190">
        <f>IF(DW127&gt;0,HLOOKUP(DW127,[1]Trav!$C$11:$O$31,$AU$166),0)</f>
        <v>0</v>
      </c>
      <c r="DX173" s="190">
        <f>IF(DX127&gt;0,HLOOKUP(DX127,[1]Trav!$C$11:$O$31,$AU$166),0)</f>
        <v>0</v>
      </c>
      <c r="DY173" s="190">
        <f>IF(DY127&gt;0,HLOOKUP(DY127,[1]Trav!$C$11:$O$31,$AU$166),0)</f>
        <v>0</v>
      </c>
      <c r="DZ173" s="190">
        <f>IF(DZ127&gt;0,HLOOKUP(DZ127,[1]Trav!$C$11:$O$31,$AU$166),0)</f>
        <v>0</v>
      </c>
      <c r="EA173" s="190">
        <f>IF(EA127&gt;0,HLOOKUP(EA127,[1]Trav!$C$11:$O$31,$AU$166),0)</f>
        <v>0</v>
      </c>
      <c r="EB173" s="190">
        <f>IF(EB127&gt;0,HLOOKUP(EB127,[1]Trav!$C$11:$O$31,$AU$166),0)</f>
        <v>0</v>
      </c>
    </row>
    <row r="174" spans="1:132" x14ac:dyDescent="0.25">
      <c r="B174" s="14" t="s">
        <v>1284</v>
      </c>
      <c r="C174" s="198">
        <f>ROUND((1 -(C173/C169))*100,1)</f>
        <v>75</v>
      </c>
      <c r="D174" s="263">
        <f t="shared" si="50"/>
        <v>72.007481296758101</v>
      </c>
      <c r="AT174" s="189" t="str">
        <f t="shared" si="95"/>
        <v>lot8</v>
      </c>
      <c r="AV174" s="190">
        <f>IF(AV128&gt;0,HLOOKUP(AV128,[1]Trav!$C$11:$O$31,$AU$166),0)</f>
        <v>0</v>
      </c>
      <c r="AW174" s="190">
        <f>IF(AW128&gt;0,HLOOKUP(AW128,[1]Trav!$C$11:$O$31,$AU$166),0)</f>
        <v>0</v>
      </c>
      <c r="AX174" s="190">
        <f>IF(AX128&gt;0,HLOOKUP(AX128,[1]Trav!$C$11:$O$31,$AU$166),0)</f>
        <v>0</v>
      </c>
      <c r="AY174" s="190">
        <f>IF(AY128&gt;0,HLOOKUP(AY128,[1]Trav!$C$11:$O$31,$AU$166),0)</f>
        <v>0</v>
      </c>
      <c r="AZ174" s="190">
        <f>IF(AZ128&gt;0,HLOOKUP(AZ128,[1]Trav!$C$11:$O$31,$AU$166),0)</f>
        <v>0</v>
      </c>
      <c r="BA174" s="190">
        <f>IF(BA128&gt;0,HLOOKUP(BA128,[1]Trav!$C$11:$O$31,$AU$166),0)</f>
        <v>0</v>
      </c>
      <c r="BB174" s="190">
        <f>IF(BB128&gt;0,HLOOKUP(BB128,[1]Trav!$C$11:$O$31,$AU$166),0)</f>
        <v>0</v>
      </c>
      <c r="BC174" s="190">
        <f>IF(BC128&gt;0,HLOOKUP(BC128,[1]Trav!$C$11:$O$31,$AU$166),0)</f>
        <v>0</v>
      </c>
      <c r="BD174" s="190">
        <f>IF(BD128&gt;0,HLOOKUP(BD128,[1]Trav!$C$11:$O$31,$AU$166),0)</f>
        <v>0</v>
      </c>
      <c r="BE174" s="190">
        <f>IF(BE128&gt;0,HLOOKUP(BE128,[1]Trav!$C$11:$O$31,$AU$166),0)</f>
        <v>0</v>
      </c>
      <c r="BF174" s="190">
        <f>IF(BF128&gt;0,HLOOKUP(BF128,[1]Trav!$C$11:$O$31,$AU$166),0)</f>
        <v>0</v>
      </c>
      <c r="BG174" s="190">
        <f>IF(BG128&gt;0,HLOOKUP(BG128,[1]Trav!$C$11:$O$31,$AU$166),0)</f>
        <v>0</v>
      </c>
      <c r="BH174" s="190">
        <f>IF(BH128&gt;0,HLOOKUP(BH128,[1]Trav!$C$11:$O$31,$AU$166),0)</f>
        <v>0</v>
      </c>
      <c r="BI174" s="190">
        <f>IF(BI128&gt;0,HLOOKUP(BI128,[1]Trav!$C$11:$O$31,$AU$166),0)</f>
        <v>0</v>
      </c>
      <c r="BJ174" s="190">
        <f>IF(BJ128&gt;0,HLOOKUP(BJ128,[1]Trav!$C$11:$O$31,$AU$166),0)</f>
        <v>0</v>
      </c>
      <c r="BK174" s="190">
        <f>IF(BK128&gt;0,HLOOKUP(BK128,[1]Trav!$C$11:$O$31,$AU$166),0)</f>
        <v>0</v>
      </c>
      <c r="BL174" s="190">
        <f>IF(BL128&gt;0,HLOOKUP(BL128,[1]Trav!$C$11:$O$31,$AU$166),0)</f>
        <v>0</v>
      </c>
      <c r="BM174" s="190">
        <f>IF(BM128&gt;0,HLOOKUP(BM128,[1]Trav!$C$11:$O$31,$AU$166),0)</f>
        <v>0</v>
      </c>
      <c r="BN174" s="190">
        <f>IF(BN128&gt;0,HLOOKUP(BN128,[1]Trav!$C$11:$O$31,$AU$166),0)</f>
        <v>0</v>
      </c>
      <c r="BO174" s="190">
        <f>IF(BO128&gt;0,HLOOKUP(BO128,[1]Trav!$C$11:$O$31,$AU$166),0)</f>
        <v>0</v>
      </c>
      <c r="BP174" s="190">
        <f>IF(BP128&gt;0,HLOOKUP(BP128,[1]Trav!$C$11:$O$31,$AU$166),0)</f>
        <v>0</v>
      </c>
      <c r="BQ174" s="190">
        <f>IF(BQ128&gt;0,HLOOKUP(BQ128,[1]Trav!$C$11:$O$31,$AU$166),0)</f>
        <v>0</v>
      </c>
      <c r="BR174" s="190">
        <f>IF(BR128&gt;0,HLOOKUP(BR128,[1]Trav!$C$11:$O$31,$AU$166),0)</f>
        <v>0</v>
      </c>
      <c r="BS174" s="190">
        <f>IF(BS128&gt;0,HLOOKUP(BS128,[1]Trav!$C$11:$O$31,$AU$166),0)</f>
        <v>0</v>
      </c>
      <c r="BZ174" s="189" t="str">
        <f t="shared" si="96"/>
        <v>lot8</v>
      </c>
      <c r="CB174" s="190">
        <f>IF(CB128&gt;0,HLOOKUP(CB128,[1]Trav!$C$11:$O$31,$AU$166),0)</f>
        <v>0</v>
      </c>
      <c r="CC174" s="190">
        <f>IF(CC128&gt;0,HLOOKUP(CC128,[1]Trav!$C$11:$O$31,$AU$166),0)</f>
        <v>0</v>
      </c>
      <c r="CD174" s="190">
        <f>IF(CD128&gt;0,HLOOKUP(CD128,[1]Trav!$C$11:$O$31,$AU$166),0)</f>
        <v>0</v>
      </c>
      <c r="CE174" s="190">
        <f>IF(CE128&gt;0,HLOOKUP(CE128,[1]Trav!$C$11:$O$31,$AU$166),0)</f>
        <v>0</v>
      </c>
      <c r="CF174" s="190">
        <f>IF(CF128&gt;0,HLOOKUP(CF128,[1]Trav!$C$11:$O$31,$AU$166),0)</f>
        <v>0</v>
      </c>
      <c r="CG174" s="190">
        <f>IF(CG128&gt;0,HLOOKUP(CG128,[1]Trav!$C$11:$O$31,$AU$166),0)</f>
        <v>0</v>
      </c>
      <c r="CH174" s="190">
        <f>IF(CH128&gt;0,HLOOKUP(CH128,[1]Trav!$C$11:$O$31,$AU$166),0)</f>
        <v>0</v>
      </c>
      <c r="CI174" s="190">
        <f>IF(CI128&gt;0,HLOOKUP(CI128,[1]Trav!$C$11:$O$31,$AU$166),0)</f>
        <v>0</v>
      </c>
      <c r="CJ174" s="190">
        <f>IF(CJ128&gt;0,HLOOKUP(CJ128,[1]Trav!$C$11:$O$31,$AU$166),0)</f>
        <v>0</v>
      </c>
      <c r="CK174" s="190">
        <f>IF(CK128&gt;0,HLOOKUP(CK128,[1]Trav!$C$11:$O$31,$AU$166),0)</f>
        <v>0</v>
      </c>
      <c r="CL174" s="190">
        <f>IF(CL128&gt;0,HLOOKUP(CL128,[1]Trav!$C$11:$O$31,$AU$166),0)</f>
        <v>0</v>
      </c>
      <c r="CM174" s="190">
        <f>IF(CM128&gt;0,HLOOKUP(CM128,[1]Trav!$C$11:$O$31,$AU$166),0)</f>
        <v>0</v>
      </c>
      <c r="CN174" s="190">
        <f>IF(CN128&gt;0,HLOOKUP(CN128,[1]Trav!$C$11:$O$31,$AU$166),0)</f>
        <v>0</v>
      </c>
      <c r="CO174" s="190">
        <f>IF(CO128&gt;0,HLOOKUP(CO128,[1]Trav!$C$11:$O$31,$AU$166),0)</f>
        <v>0</v>
      </c>
      <c r="CP174" s="190">
        <f>IF(CP128&gt;0,HLOOKUP(CP128,[1]Trav!$C$11:$O$31,$AU$166),0)</f>
        <v>0</v>
      </c>
      <c r="CQ174" s="190">
        <f>IF(CQ128&gt;0,HLOOKUP(CQ128,[1]Trav!$C$11:$O$31,$AU$166),0)</f>
        <v>0</v>
      </c>
      <c r="CR174" s="190">
        <f>IF(CR128&gt;0,HLOOKUP(CR128,[1]Trav!$C$11:$O$31,$AU$166),0)</f>
        <v>0</v>
      </c>
      <c r="CS174" s="190">
        <f>IF(CS128&gt;0,HLOOKUP(CS128,[1]Trav!$C$11:$O$31,$AU$166),0)</f>
        <v>0</v>
      </c>
      <c r="CT174" s="190">
        <f>IF(CT128&gt;0,HLOOKUP(CT128,[1]Trav!$C$11:$O$31,$AU$166),0)</f>
        <v>0</v>
      </c>
      <c r="CU174" s="190">
        <f>IF(CU128&gt;0,HLOOKUP(CU128,[1]Trav!$C$11:$O$31,$AU$166),0)</f>
        <v>0</v>
      </c>
      <c r="CV174" s="190">
        <f>IF(CV128&gt;0,HLOOKUP(CV128,[1]Trav!$C$11:$O$31,$AU$166),0)</f>
        <v>0</v>
      </c>
      <c r="CW174" s="190">
        <f>IF(CW128&gt;0,HLOOKUP(CW128,[1]Trav!$C$11:$O$31,$AU$166),0)</f>
        <v>0</v>
      </c>
      <c r="CX174" s="190">
        <f>IF(CX128&gt;0,HLOOKUP(CX128,[1]Trav!$C$11:$O$31,$AU$166),0)</f>
        <v>0</v>
      </c>
      <c r="CY174" s="190">
        <f>IF(CY128&gt;0,HLOOKUP(CY128,[1]Trav!$C$11:$O$31,$AU$166),0)</f>
        <v>0</v>
      </c>
      <c r="DC174" s="189" t="str">
        <f t="shared" si="97"/>
        <v>lot8</v>
      </c>
      <c r="DE174" s="190">
        <f>IF(DE128&gt;0,HLOOKUP(DE128,[1]Trav!$C$11:$O$31,$AU$166),0)</f>
        <v>0</v>
      </c>
      <c r="DF174" s="190">
        <f>IF(DF128&gt;0,HLOOKUP(DF128,[1]Trav!$C$11:$O$31,$AU$166),0)</f>
        <v>0</v>
      </c>
      <c r="DG174" s="190">
        <f>IF(DG128&gt;0,HLOOKUP(DG128,[1]Trav!$C$11:$O$31,$AU$166),0)</f>
        <v>0</v>
      </c>
      <c r="DH174" s="190">
        <f>IF(DH128&gt;0,HLOOKUP(DH128,[1]Trav!$C$11:$O$31,$AU$166),0)</f>
        <v>0</v>
      </c>
      <c r="DI174" s="190">
        <f>IF(DI128&gt;0,HLOOKUP(DI128,[1]Trav!$C$11:$O$31,$AU$166),0)</f>
        <v>0</v>
      </c>
      <c r="DJ174" s="190">
        <f>IF(DJ128&gt;0,HLOOKUP(DJ128,[1]Trav!$C$11:$O$31,$AU$166),0)</f>
        <v>0</v>
      </c>
      <c r="DK174" s="190">
        <f>IF(DK128&gt;0,HLOOKUP(DK128,[1]Trav!$C$11:$O$31,$AU$166),0)</f>
        <v>0</v>
      </c>
      <c r="DL174" s="190">
        <f>IF(DL128&gt;0,HLOOKUP(DL128,[1]Trav!$C$11:$O$31,$AU$166),0)</f>
        <v>0</v>
      </c>
      <c r="DM174" s="190">
        <f>IF(DM128&gt;0,HLOOKUP(DM128,[1]Trav!$C$11:$O$31,$AU$166),0)</f>
        <v>0</v>
      </c>
      <c r="DN174" s="190">
        <f>IF(DN128&gt;0,HLOOKUP(DN128,[1]Trav!$C$11:$O$31,$AU$166),0)</f>
        <v>0</v>
      </c>
      <c r="DO174" s="190">
        <f>IF(DO128&gt;0,HLOOKUP(DO128,[1]Trav!$C$11:$O$31,$AU$166),0)</f>
        <v>0</v>
      </c>
      <c r="DP174" s="190">
        <f>IF(DP128&gt;0,HLOOKUP(DP128,[1]Trav!$C$11:$O$31,$AU$166),0)</f>
        <v>0</v>
      </c>
      <c r="DQ174" s="190">
        <f>IF(DQ128&gt;0,HLOOKUP(DQ128,[1]Trav!$C$11:$O$31,$AU$166),0)</f>
        <v>0</v>
      </c>
      <c r="DR174" s="190">
        <f>IF(DR128&gt;0,HLOOKUP(DR128,[1]Trav!$C$11:$O$31,$AU$166),0)</f>
        <v>0</v>
      </c>
      <c r="DS174" s="190">
        <f>IF(DS128&gt;0,HLOOKUP(DS128,[1]Trav!$C$11:$O$31,$AU$166),0)</f>
        <v>0</v>
      </c>
      <c r="DT174" s="190">
        <f>IF(DT128&gt;0,HLOOKUP(DT128,[1]Trav!$C$11:$O$31,$AU$166),0)</f>
        <v>0</v>
      </c>
      <c r="DU174" s="190">
        <f>IF(DU128&gt;0,HLOOKUP(DU128,[1]Trav!$C$11:$O$31,$AU$166),0)</f>
        <v>0</v>
      </c>
      <c r="DV174" s="190">
        <f>IF(DV128&gt;0,HLOOKUP(DV128,[1]Trav!$C$11:$O$31,$AU$166),0)</f>
        <v>0</v>
      </c>
      <c r="DW174" s="190">
        <f>IF(DW128&gt;0,HLOOKUP(DW128,[1]Trav!$C$11:$O$31,$AU$166),0)</f>
        <v>0</v>
      </c>
      <c r="DX174" s="190">
        <f>IF(DX128&gt;0,HLOOKUP(DX128,[1]Trav!$C$11:$O$31,$AU$166),0)</f>
        <v>0</v>
      </c>
      <c r="DY174" s="190">
        <f>IF(DY128&gt;0,HLOOKUP(DY128,[1]Trav!$C$11:$O$31,$AU$166),0)</f>
        <v>0</v>
      </c>
      <c r="DZ174" s="190">
        <f>IF(DZ128&gt;0,HLOOKUP(DZ128,[1]Trav!$C$11:$O$31,$AU$166),0)</f>
        <v>0</v>
      </c>
      <c r="EA174" s="190">
        <f>IF(EA128&gt;0,HLOOKUP(EA128,[1]Trav!$C$11:$O$31,$AU$166),0)</f>
        <v>0</v>
      </c>
      <c r="EB174" s="190">
        <f>IF(EB128&gt;0,HLOOKUP(EB128,[1]Trav!$C$11:$O$31,$AU$166),0)</f>
        <v>0</v>
      </c>
    </row>
    <row r="175" spans="1:132" x14ac:dyDescent="0.25">
      <c r="B175" s="14" t="s">
        <v>1285</v>
      </c>
      <c r="C175" s="173">
        <f>C171-C172</f>
        <v>-45.359000000000009</v>
      </c>
      <c r="D175" s="263">
        <f>C175*$D$82/$C$82</f>
        <v>-43.549164588528683</v>
      </c>
      <c r="AT175" s="189" t="str">
        <f t="shared" si="95"/>
        <v>lot9</v>
      </c>
      <c r="AV175" s="190">
        <f>IF(AV129&gt;0,HLOOKUP(AV129,[1]Trav!$C$11:$O$31,$AU$166),0)</f>
        <v>0</v>
      </c>
      <c r="AW175" s="190">
        <f>IF(AW129&gt;0,HLOOKUP(AW129,[1]Trav!$C$11:$O$31,$AU$166),0)</f>
        <v>0</v>
      </c>
      <c r="AX175" s="190">
        <f>IF(AX129&gt;0,HLOOKUP(AX129,[1]Trav!$C$11:$O$31,$AU$166),0)</f>
        <v>0</v>
      </c>
      <c r="AY175" s="190">
        <f>IF(AY129&gt;0,HLOOKUP(AY129,[1]Trav!$C$11:$O$31,$AU$166),0)</f>
        <v>0</v>
      </c>
      <c r="AZ175" s="190">
        <f>IF(AZ129&gt;0,HLOOKUP(AZ129,[1]Trav!$C$11:$O$31,$AU$166),0)</f>
        <v>0</v>
      </c>
      <c r="BA175" s="190">
        <f>IF(BA129&gt;0,HLOOKUP(BA129,[1]Trav!$C$11:$O$31,$AU$166),0)</f>
        <v>0</v>
      </c>
      <c r="BB175" s="190">
        <f>IF(BB129&gt;0,HLOOKUP(BB129,[1]Trav!$C$11:$O$31,$AU$166),0)</f>
        <v>0</v>
      </c>
      <c r="BC175" s="190">
        <f>IF(BC129&gt;0,HLOOKUP(BC129,[1]Trav!$C$11:$O$31,$AU$166),0)</f>
        <v>0</v>
      </c>
      <c r="BD175" s="190">
        <f>IF(BD129&gt;0,HLOOKUP(BD129,[1]Trav!$C$11:$O$31,$AU$166),0)</f>
        <v>0</v>
      </c>
      <c r="BE175" s="190">
        <f>IF(BE129&gt;0,HLOOKUP(BE129,[1]Trav!$C$11:$O$31,$AU$166),0)</f>
        <v>0</v>
      </c>
      <c r="BF175" s="190">
        <f>IF(BF129&gt;0,HLOOKUP(BF129,[1]Trav!$C$11:$O$31,$AU$166),0)</f>
        <v>0</v>
      </c>
      <c r="BG175" s="190">
        <f>IF(BG129&gt;0,HLOOKUP(BG129,[1]Trav!$C$11:$O$31,$AU$166),0)</f>
        <v>0</v>
      </c>
      <c r="BH175" s="190">
        <f>IF(BH129&gt;0,HLOOKUP(BH129,[1]Trav!$C$11:$O$31,$AU$166),0)</f>
        <v>0</v>
      </c>
      <c r="BI175" s="190">
        <f>IF(BI129&gt;0,HLOOKUP(BI129,[1]Trav!$C$11:$O$31,$AU$166),0)</f>
        <v>0</v>
      </c>
      <c r="BJ175" s="190">
        <f>IF(BJ129&gt;0,HLOOKUP(BJ129,[1]Trav!$C$11:$O$31,$AU$166),0)</f>
        <v>0</v>
      </c>
      <c r="BK175" s="190">
        <f>IF(BK129&gt;0,HLOOKUP(BK129,[1]Trav!$C$11:$O$31,$AU$166),0)</f>
        <v>0</v>
      </c>
      <c r="BL175" s="190">
        <f>IF(BL129&gt;0,HLOOKUP(BL129,[1]Trav!$C$11:$O$31,$AU$166),0)</f>
        <v>0</v>
      </c>
      <c r="BM175" s="190">
        <f>IF(BM129&gt;0,HLOOKUP(BM129,[1]Trav!$C$11:$O$31,$AU$166),0)</f>
        <v>0</v>
      </c>
      <c r="BN175" s="190">
        <f>IF(BN129&gt;0,HLOOKUP(BN129,[1]Trav!$C$11:$O$31,$AU$166),0)</f>
        <v>0</v>
      </c>
      <c r="BO175" s="190">
        <f>IF(BO129&gt;0,HLOOKUP(BO129,[1]Trav!$C$11:$O$31,$AU$166),0)</f>
        <v>0</v>
      </c>
      <c r="BP175" s="190">
        <f>IF(BP129&gt;0,HLOOKUP(BP129,[1]Trav!$C$11:$O$31,$AU$166),0)</f>
        <v>0</v>
      </c>
      <c r="BQ175" s="190">
        <f>IF(BQ129&gt;0,HLOOKUP(BQ129,[1]Trav!$C$11:$O$31,$AU$166),0)</f>
        <v>0</v>
      </c>
      <c r="BR175" s="190">
        <f>IF(BR129&gt;0,HLOOKUP(BR129,[1]Trav!$C$11:$O$31,$AU$166),0)</f>
        <v>0</v>
      </c>
      <c r="BS175" s="190">
        <f>IF(BS129&gt;0,HLOOKUP(BS129,[1]Trav!$C$11:$O$31,$AU$166),0)</f>
        <v>0</v>
      </c>
      <c r="BZ175" s="189" t="str">
        <f t="shared" si="96"/>
        <v>lot9</v>
      </c>
      <c r="CB175" s="190">
        <f>IF(CB129&gt;0,HLOOKUP(CB129,[1]Trav!$C$11:$O$31,$AU$166),0)</f>
        <v>0</v>
      </c>
      <c r="CC175" s="190">
        <f>IF(CC129&gt;0,HLOOKUP(CC129,[1]Trav!$C$11:$O$31,$AU$166),0)</f>
        <v>0</v>
      </c>
      <c r="CD175" s="190">
        <f>IF(CD129&gt;0,HLOOKUP(CD129,[1]Trav!$C$11:$O$31,$AU$166),0)</f>
        <v>0</v>
      </c>
      <c r="CE175" s="190">
        <f>IF(CE129&gt;0,HLOOKUP(CE129,[1]Trav!$C$11:$O$31,$AU$166),0)</f>
        <v>0</v>
      </c>
      <c r="CF175" s="190">
        <f>IF(CF129&gt;0,HLOOKUP(CF129,[1]Trav!$C$11:$O$31,$AU$166),0)</f>
        <v>0</v>
      </c>
      <c r="CG175" s="190">
        <f>IF(CG129&gt;0,HLOOKUP(CG129,[1]Trav!$C$11:$O$31,$AU$166),0)</f>
        <v>0</v>
      </c>
      <c r="CH175" s="190">
        <f>IF(CH129&gt;0,HLOOKUP(CH129,[1]Trav!$C$11:$O$31,$AU$166),0)</f>
        <v>0</v>
      </c>
      <c r="CI175" s="190">
        <f>IF(CI129&gt;0,HLOOKUP(CI129,[1]Trav!$C$11:$O$31,$AU$166),0)</f>
        <v>0</v>
      </c>
      <c r="CJ175" s="190">
        <f>IF(CJ129&gt;0,HLOOKUP(CJ129,[1]Trav!$C$11:$O$31,$AU$166),0)</f>
        <v>0</v>
      </c>
      <c r="CK175" s="190">
        <f>IF(CK129&gt;0,HLOOKUP(CK129,[1]Trav!$C$11:$O$31,$AU$166),0)</f>
        <v>0</v>
      </c>
      <c r="CL175" s="190">
        <f>IF(CL129&gt;0,HLOOKUP(CL129,[1]Trav!$C$11:$O$31,$AU$166),0)</f>
        <v>0</v>
      </c>
      <c r="CM175" s="190">
        <f>IF(CM129&gt;0,HLOOKUP(CM129,[1]Trav!$C$11:$O$31,$AU$166),0)</f>
        <v>0</v>
      </c>
      <c r="CN175" s="190">
        <f>IF(CN129&gt;0,HLOOKUP(CN129,[1]Trav!$C$11:$O$31,$AU$166),0)</f>
        <v>0</v>
      </c>
      <c r="CO175" s="190">
        <f>IF(CO129&gt;0,HLOOKUP(CO129,[1]Trav!$C$11:$O$31,$AU$166),0)</f>
        <v>0</v>
      </c>
      <c r="CP175" s="190">
        <f>IF(CP129&gt;0,HLOOKUP(CP129,[1]Trav!$C$11:$O$31,$AU$166),0)</f>
        <v>0</v>
      </c>
      <c r="CQ175" s="190">
        <f>IF(CQ129&gt;0,HLOOKUP(CQ129,[1]Trav!$C$11:$O$31,$AU$166),0)</f>
        <v>0</v>
      </c>
      <c r="CR175" s="190">
        <f>IF(CR129&gt;0,HLOOKUP(CR129,[1]Trav!$C$11:$O$31,$AU$166),0)</f>
        <v>0</v>
      </c>
      <c r="CS175" s="190">
        <f>IF(CS129&gt;0,HLOOKUP(CS129,[1]Trav!$C$11:$O$31,$AU$166),0)</f>
        <v>0</v>
      </c>
      <c r="CT175" s="190">
        <f>IF(CT129&gt;0,HLOOKUP(CT129,[1]Trav!$C$11:$O$31,$AU$166),0)</f>
        <v>0</v>
      </c>
      <c r="CU175" s="190">
        <f>IF(CU129&gt;0,HLOOKUP(CU129,[1]Trav!$C$11:$O$31,$AU$166),0)</f>
        <v>0</v>
      </c>
      <c r="CV175" s="190">
        <f>IF(CV129&gt;0,HLOOKUP(CV129,[1]Trav!$C$11:$O$31,$AU$166),0)</f>
        <v>0</v>
      </c>
      <c r="CW175" s="190">
        <f>IF(CW129&gt;0,HLOOKUP(CW129,[1]Trav!$C$11:$O$31,$AU$166),0)</f>
        <v>0</v>
      </c>
      <c r="CX175" s="190">
        <f>IF(CX129&gt;0,HLOOKUP(CX129,[1]Trav!$C$11:$O$31,$AU$166),0)</f>
        <v>0</v>
      </c>
      <c r="CY175" s="190">
        <f>IF(CY129&gt;0,HLOOKUP(CY129,[1]Trav!$C$11:$O$31,$AU$166),0)</f>
        <v>0</v>
      </c>
      <c r="DC175" s="189" t="str">
        <f t="shared" si="97"/>
        <v>lot9</v>
      </c>
      <c r="DE175" s="190">
        <f>IF(DE129&gt;0,HLOOKUP(DE129,[1]Trav!$C$11:$O$31,$AU$166),0)</f>
        <v>0</v>
      </c>
      <c r="DF175" s="190">
        <f>IF(DF129&gt;0,HLOOKUP(DF129,[1]Trav!$C$11:$O$31,$AU$166),0)</f>
        <v>0</v>
      </c>
      <c r="DG175" s="190">
        <f>IF(DG129&gt;0,HLOOKUP(DG129,[1]Trav!$C$11:$O$31,$AU$166),0)</f>
        <v>0</v>
      </c>
      <c r="DH175" s="190">
        <f>IF(DH129&gt;0,HLOOKUP(DH129,[1]Trav!$C$11:$O$31,$AU$166),0)</f>
        <v>0</v>
      </c>
      <c r="DI175" s="190">
        <f>IF(DI129&gt;0,HLOOKUP(DI129,[1]Trav!$C$11:$O$31,$AU$166),0)</f>
        <v>0</v>
      </c>
      <c r="DJ175" s="190">
        <f>IF(DJ129&gt;0,HLOOKUP(DJ129,[1]Trav!$C$11:$O$31,$AU$166),0)</f>
        <v>0</v>
      </c>
      <c r="DK175" s="190">
        <f>IF(DK129&gt;0,HLOOKUP(DK129,[1]Trav!$C$11:$O$31,$AU$166),0)</f>
        <v>0</v>
      </c>
      <c r="DL175" s="190">
        <f>IF(DL129&gt;0,HLOOKUP(DL129,[1]Trav!$C$11:$O$31,$AU$166),0)</f>
        <v>0</v>
      </c>
      <c r="DM175" s="190">
        <f>IF(DM129&gt;0,HLOOKUP(DM129,[1]Trav!$C$11:$O$31,$AU$166),0)</f>
        <v>0</v>
      </c>
      <c r="DN175" s="190">
        <f>IF(DN129&gt;0,HLOOKUP(DN129,[1]Trav!$C$11:$O$31,$AU$166),0)</f>
        <v>0</v>
      </c>
      <c r="DO175" s="190">
        <f>IF(DO129&gt;0,HLOOKUP(DO129,[1]Trav!$C$11:$O$31,$AU$166),0)</f>
        <v>0</v>
      </c>
      <c r="DP175" s="190">
        <f>IF(DP129&gt;0,HLOOKUP(DP129,[1]Trav!$C$11:$O$31,$AU$166),0)</f>
        <v>0</v>
      </c>
      <c r="DQ175" s="190">
        <f>IF(DQ129&gt;0,HLOOKUP(DQ129,[1]Trav!$C$11:$O$31,$AU$166),0)</f>
        <v>0</v>
      </c>
      <c r="DR175" s="190">
        <f>IF(DR129&gt;0,HLOOKUP(DR129,[1]Trav!$C$11:$O$31,$AU$166),0)</f>
        <v>0</v>
      </c>
      <c r="DS175" s="190">
        <f>IF(DS129&gt;0,HLOOKUP(DS129,[1]Trav!$C$11:$O$31,$AU$166),0)</f>
        <v>0</v>
      </c>
      <c r="DT175" s="190">
        <f>IF(DT129&gt;0,HLOOKUP(DT129,[1]Trav!$C$11:$O$31,$AU$166),0)</f>
        <v>0</v>
      </c>
      <c r="DU175" s="190">
        <f>IF(DU129&gt;0,HLOOKUP(DU129,[1]Trav!$C$11:$O$31,$AU$166),0)</f>
        <v>0</v>
      </c>
      <c r="DV175" s="190">
        <f>IF(DV129&gt;0,HLOOKUP(DV129,[1]Trav!$C$11:$O$31,$AU$166),0)</f>
        <v>0</v>
      </c>
      <c r="DW175" s="190">
        <f>IF(DW129&gt;0,HLOOKUP(DW129,[1]Trav!$C$11:$O$31,$AU$166),0)</f>
        <v>0</v>
      </c>
      <c r="DX175" s="190">
        <f>IF(DX129&gt;0,HLOOKUP(DX129,[1]Trav!$C$11:$O$31,$AU$166),0)</f>
        <v>0</v>
      </c>
      <c r="DY175" s="190">
        <f>IF(DY129&gt;0,HLOOKUP(DY129,[1]Trav!$C$11:$O$31,$AU$166),0)</f>
        <v>0</v>
      </c>
      <c r="DZ175" s="190">
        <f>IF(DZ129&gt;0,HLOOKUP(DZ129,[1]Trav!$C$11:$O$31,$AU$166),0)</f>
        <v>0</v>
      </c>
      <c r="EA175" s="190">
        <f>IF(EA129&gt;0,HLOOKUP(EA129,[1]Trav!$C$11:$O$31,$AU$166),0)</f>
        <v>0</v>
      </c>
      <c r="EB175" s="190">
        <f>IF(EB129&gt;0,HLOOKUP(EB129,[1]Trav!$C$11:$O$31,$AU$166),0)</f>
        <v>0</v>
      </c>
    </row>
    <row r="176" spans="1:132" x14ac:dyDescent="0.25">
      <c r="B176" s="14" t="s">
        <v>1286</v>
      </c>
      <c r="C176" s="173">
        <f>'Calcul éco'!B118</f>
        <v>45.359000000000009</v>
      </c>
      <c r="D176" s="263">
        <f>C176*$D$82/$C$82</f>
        <v>43.549164588528683</v>
      </c>
      <c r="AT176" s="189" t="str">
        <f t="shared" si="95"/>
        <v>lot10</v>
      </c>
      <c r="AV176" s="190">
        <f>IF(AV130&gt;0,HLOOKUP(AV130,[1]Trav!$C$11:$O$31,$AU$166),0)</f>
        <v>0</v>
      </c>
      <c r="AW176" s="190">
        <f>IF(AW130&gt;0,HLOOKUP(AW130,[1]Trav!$C$11:$O$31,$AU$166),0)</f>
        <v>0</v>
      </c>
      <c r="AX176" s="190">
        <f>IF(AX130&gt;0,HLOOKUP(AX130,[1]Trav!$C$11:$O$31,$AU$166),0)</f>
        <v>0</v>
      </c>
      <c r="AY176" s="190">
        <f>IF(AY130&gt;0,HLOOKUP(AY130,[1]Trav!$C$11:$O$31,$AU$166),0)</f>
        <v>0</v>
      </c>
      <c r="AZ176" s="190">
        <f>IF(AZ130&gt;0,HLOOKUP(AZ130,[1]Trav!$C$11:$O$31,$AU$166),0)</f>
        <v>0</v>
      </c>
      <c r="BA176" s="190">
        <f>IF(BA130&gt;0,HLOOKUP(BA130,[1]Trav!$C$11:$O$31,$AU$166),0)</f>
        <v>0</v>
      </c>
      <c r="BB176" s="190">
        <f>IF(BB130&gt;0,HLOOKUP(BB130,[1]Trav!$C$11:$O$31,$AU$166),0)</f>
        <v>0</v>
      </c>
      <c r="BC176" s="190">
        <f>IF(BC130&gt;0,HLOOKUP(BC130,[1]Trav!$C$11:$O$31,$AU$166),0)</f>
        <v>0</v>
      </c>
      <c r="BD176" s="190">
        <f>IF(BD130&gt;0,HLOOKUP(BD130,[1]Trav!$C$11:$O$31,$AU$166),0)</f>
        <v>0</v>
      </c>
      <c r="BE176" s="190">
        <f>IF(BE130&gt;0,HLOOKUP(BE130,[1]Trav!$C$11:$O$31,$AU$166),0)</f>
        <v>0</v>
      </c>
      <c r="BF176" s="190">
        <f>IF(BF130&gt;0,HLOOKUP(BF130,[1]Trav!$C$11:$O$31,$AU$166),0)</f>
        <v>0</v>
      </c>
      <c r="BG176" s="190">
        <f>IF(BG130&gt;0,HLOOKUP(BG130,[1]Trav!$C$11:$O$31,$AU$166),0)</f>
        <v>0</v>
      </c>
      <c r="BH176" s="190">
        <f>IF(BH130&gt;0,HLOOKUP(BH130,[1]Trav!$C$11:$O$31,$AU$166),0)</f>
        <v>0</v>
      </c>
      <c r="BI176" s="190">
        <f>IF(BI130&gt;0,HLOOKUP(BI130,[1]Trav!$C$11:$O$31,$AU$166),0)</f>
        <v>0</v>
      </c>
      <c r="BJ176" s="190">
        <f>IF(BJ130&gt;0,HLOOKUP(BJ130,[1]Trav!$C$11:$O$31,$AU$166),0)</f>
        <v>0</v>
      </c>
      <c r="BK176" s="190">
        <f>IF(BK130&gt;0,HLOOKUP(BK130,[1]Trav!$C$11:$O$31,$AU$166),0)</f>
        <v>0</v>
      </c>
      <c r="BL176" s="190">
        <f>IF(BL130&gt;0,HLOOKUP(BL130,[1]Trav!$C$11:$O$31,$AU$166),0)</f>
        <v>0</v>
      </c>
      <c r="BM176" s="190">
        <f>IF(BM130&gt;0,HLOOKUP(BM130,[1]Trav!$C$11:$O$31,$AU$166),0)</f>
        <v>0</v>
      </c>
      <c r="BN176" s="190">
        <f>IF(BN130&gt;0,HLOOKUP(BN130,[1]Trav!$C$11:$O$31,$AU$166),0)</f>
        <v>0</v>
      </c>
      <c r="BO176" s="190">
        <f>IF(BO130&gt;0,HLOOKUP(BO130,[1]Trav!$C$11:$O$31,$AU$166),0)</f>
        <v>0</v>
      </c>
      <c r="BP176" s="190">
        <f>IF(BP130&gt;0,HLOOKUP(BP130,[1]Trav!$C$11:$O$31,$AU$166),0)</f>
        <v>0</v>
      </c>
      <c r="BQ176" s="190">
        <f>IF(BQ130&gt;0,HLOOKUP(BQ130,[1]Trav!$C$11:$O$31,$AU$166),0)</f>
        <v>0</v>
      </c>
      <c r="BR176" s="190">
        <f>IF(BR130&gt;0,HLOOKUP(BR130,[1]Trav!$C$11:$O$31,$AU$166),0)</f>
        <v>0</v>
      </c>
      <c r="BS176" s="190">
        <f>IF(BS130&gt;0,HLOOKUP(BS130,[1]Trav!$C$11:$O$31,$AU$166),0)</f>
        <v>0</v>
      </c>
      <c r="BZ176" s="189" t="str">
        <f t="shared" si="96"/>
        <v>lot10</v>
      </c>
      <c r="CB176" s="190">
        <f>IF(CB130&gt;0,HLOOKUP(CB130,[1]Trav!$C$11:$O$31,$AU$166),0)</f>
        <v>0</v>
      </c>
      <c r="CC176" s="190">
        <f>IF(CC130&gt;0,HLOOKUP(CC130,[1]Trav!$C$11:$O$31,$AU$166),0)</f>
        <v>0</v>
      </c>
      <c r="CD176" s="190">
        <f>IF(CD130&gt;0,HLOOKUP(CD130,[1]Trav!$C$11:$O$31,$AU$166),0)</f>
        <v>0</v>
      </c>
      <c r="CE176" s="190">
        <f>IF(CE130&gt;0,HLOOKUP(CE130,[1]Trav!$C$11:$O$31,$AU$166),0)</f>
        <v>0</v>
      </c>
      <c r="CF176" s="190">
        <f>IF(CF130&gt;0,HLOOKUP(CF130,[1]Trav!$C$11:$O$31,$AU$166),0)</f>
        <v>0</v>
      </c>
      <c r="CG176" s="190">
        <f>IF(CG130&gt;0,HLOOKUP(CG130,[1]Trav!$C$11:$O$31,$AU$166),0)</f>
        <v>0</v>
      </c>
      <c r="CH176" s="190">
        <f>IF(CH130&gt;0,HLOOKUP(CH130,[1]Trav!$C$11:$O$31,$AU$166),0)</f>
        <v>0</v>
      </c>
      <c r="CI176" s="190">
        <f>IF(CI130&gt;0,HLOOKUP(CI130,[1]Trav!$C$11:$O$31,$AU$166),0)</f>
        <v>0</v>
      </c>
      <c r="CJ176" s="190">
        <f>IF(CJ130&gt;0,HLOOKUP(CJ130,[1]Trav!$C$11:$O$31,$AU$166),0)</f>
        <v>0</v>
      </c>
      <c r="CK176" s="190">
        <f>IF(CK130&gt;0,HLOOKUP(CK130,[1]Trav!$C$11:$O$31,$AU$166),0)</f>
        <v>0</v>
      </c>
      <c r="CL176" s="190">
        <f>IF(CL130&gt;0,HLOOKUP(CL130,[1]Trav!$C$11:$O$31,$AU$166),0)</f>
        <v>0</v>
      </c>
      <c r="CM176" s="190">
        <f>IF(CM130&gt;0,HLOOKUP(CM130,[1]Trav!$C$11:$O$31,$AU$166),0)</f>
        <v>0</v>
      </c>
      <c r="CN176" s="190">
        <f>IF(CN130&gt;0,HLOOKUP(CN130,[1]Trav!$C$11:$O$31,$AU$166),0)</f>
        <v>0</v>
      </c>
      <c r="CO176" s="190">
        <f>IF(CO130&gt;0,HLOOKUP(CO130,[1]Trav!$C$11:$O$31,$AU$166),0)</f>
        <v>0</v>
      </c>
      <c r="CP176" s="190">
        <f>IF(CP130&gt;0,HLOOKUP(CP130,[1]Trav!$C$11:$O$31,$AU$166),0)</f>
        <v>0</v>
      </c>
      <c r="CQ176" s="190">
        <f>IF(CQ130&gt;0,HLOOKUP(CQ130,[1]Trav!$C$11:$O$31,$AU$166),0)</f>
        <v>0</v>
      </c>
      <c r="CR176" s="190">
        <f>IF(CR130&gt;0,HLOOKUP(CR130,[1]Trav!$C$11:$O$31,$AU$166),0)</f>
        <v>0</v>
      </c>
      <c r="CS176" s="190">
        <f>IF(CS130&gt;0,HLOOKUP(CS130,[1]Trav!$C$11:$O$31,$AU$166),0)</f>
        <v>0</v>
      </c>
      <c r="CT176" s="190">
        <f>IF(CT130&gt;0,HLOOKUP(CT130,[1]Trav!$C$11:$O$31,$AU$166),0)</f>
        <v>0</v>
      </c>
      <c r="CU176" s="190">
        <f>IF(CU130&gt;0,HLOOKUP(CU130,[1]Trav!$C$11:$O$31,$AU$166),0)</f>
        <v>0</v>
      </c>
      <c r="CV176" s="190">
        <f>IF(CV130&gt;0,HLOOKUP(CV130,[1]Trav!$C$11:$O$31,$AU$166),0)</f>
        <v>0</v>
      </c>
      <c r="CW176" s="190">
        <f>IF(CW130&gt;0,HLOOKUP(CW130,[1]Trav!$C$11:$O$31,$AU$166),0)</f>
        <v>0</v>
      </c>
      <c r="CX176" s="190">
        <f>IF(CX130&gt;0,HLOOKUP(CX130,[1]Trav!$C$11:$O$31,$AU$166),0)</f>
        <v>0</v>
      </c>
      <c r="CY176" s="190">
        <f>IF(CY130&gt;0,HLOOKUP(CY130,[1]Trav!$C$11:$O$31,$AU$166),0)</f>
        <v>0</v>
      </c>
      <c r="DC176" s="189" t="str">
        <f t="shared" si="97"/>
        <v>lot10</v>
      </c>
      <c r="DE176" s="190">
        <f>IF(DE130&gt;0,HLOOKUP(DE130,[1]Trav!$C$11:$O$31,$AU$166),0)</f>
        <v>0</v>
      </c>
      <c r="DF176" s="190">
        <f>IF(DF130&gt;0,HLOOKUP(DF130,[1]Trav!$C$11:$O$31,$AU$166),0)</f>
        <v>0</v>
      </c>
      <c r="DG176" s="190">
        <f>IF(DG130&gt;0,HLOOKUP(DG130,[1]Trav!$C$11:$O$31,$AU$166),0)</f>
        <v>0</v>
      </c>
      <c r="DH176" s="190">
        <f>IF(DH130&gt;0,HLOOKUP(DH130,[1]Trav!$C$11:$O$31,$AU$166),0)</f>
        <v>0</v>
      </c>
      <c r="DI176" s="190">
        <f>IF(DI130&gt;0,HLOOKUP(DI130,[1]Trav!$C$11:$O$31,$AU$166),0)</f>
        <v>0</v>
      </c>
      <c r="DJ176" s="190">
        <f>IF(DJ130&gt;0,HLOOKUP(DJ130,[1]Trav!$C$11:$O$31,$AU$166),0)</f>
        <v>0</v>
      </c>
      <c r="DK176" s="190">
        <f>IF(DK130&gt;0,HLOOKUP(DK130,[1]Trav!$C$11:$O$31,$AU$166),0)</f>
        <v>0</v>
      </c>
      <c r="DL176" s="190">
        <f>IF(DL130&gt;0,HLOOKUP(DL130,[1]Trav!$C$11:$O$31,$AU$166),0)</f>
        <v>0</v>
      </c>
      <c r="DM176" s="190">
        <f>IF(DM130&gt;0,HLOOKUP(DM130,[1]Trav!$C$11:$O$31,$AU$166),0)</f>
        <v>0</v>
      </c>
      <c r="DN176" s="190">
        <f>IF(DN130&gt;0,HLOOKUP(DN130,[1]Trav!$C$11:$O$31,$AU$166),0)</f>
        <v>0</v>
      </c>
      <c r="DO176" s="190">
        <f>IF(DO130&gt;0,HLOOKUP(DO130,[1]Trav!$C$11:$O$31,$AU$166),0)</f>
        <v>0</v>
      </c>
      <c r="DP176" s="190">
        <f>IF(DP130&gt;0,HLOOKUP(DP130,[1]Trav!$C$11:$O$31,$AU$166),0)</f>
        <v>0</v>
      </c>
      <c r="DQ176" s="190">
        <f>IF(DQ130&gt;0,HLOOKUP(DQ130,[1]Trav!$C$11:$O$31,$AU$166),0)</f>
        <v>0</v>
      </c>
      <c r="DR176" s="190">
        <f>IF(DR130&gt;0,HLOOKUP(DR130,[1]Trav!$C$11:$O$31,$AU$166),0)</f>
        <v>0</v>
      </c>
      <c r="DS176" s="190">
        <f>IF(DS130&gt;0,HLOOKUP(DS130,[1]Trav!$C$11:$O$31,$AU$166),0)</f>
        <v>0</v>
      </c>
      <c r="DT176" s="190">
        <f>IF(DT130&gt;0,HLOOKUP(DT130,[1]Trav!$C$11:$O$31,$AU$166),0)</f>
        <v>0</v>
      </c>
      <c r="DU176" s="190">
        <f>IF(DU130&gt;0,HLOOKUP(DU130,[1]Trav!$C$11:$O$31,$AU$166),0)</f>
        <v>0</v>
      </c>
      <c r="DV176" s="190">
        <f>IF(DV130&gt;0,HLOOKUP(DV130,[1]Trav!$C$11:$O$31,$AU$166),0)</f>
        <v>0</v>
      </c>
      <c r="DW176" s="190">
        <f>IF(DW130&gt;0,HLOOKUP(DW130,[1]Trav!$C$11:$O$31,$AU$166),0)</f>
        <v>0</v>
      </c>
      <c r="DX176" s="190">
        <f>IF(DX130&gt;0,HLOOKUP(DX130,[1]Trav!$C$11:$O$31,$AU$166),0)</f>
        <v>0</v>
      </c>
      <c r="DY176" s="190">
        <f>IF(DY130&gt;0,HLOOKUP(DY130,[1]Trav!$C$11:$O$31,$AU$166),0)</f>
        <v>0</v>
      </c>
      <c r="DZ176" s="190">
        <f>IF(DZ130&gt;0,HLOOKUP(DZ130,[1]Trav!$C$11:$O$31,$AU$166),0)</f>
        <v>0</v>
      </c>
      <c r="EA176" s="190">
        <f>IF(EA130&gt;0,HLOOKUP(EA130,[1]Trav!$C$11:$O$31,$AU$166),0)</f>
        <v>0</v>
      </c>
      <c r="EB176" s="190">
        <f>IF(EB130&gt;0,HLOOKUP(EB130,[1]Trav!$C$11:$O$31,$AU$166),0)</f>
        <v>0</v>
      </c>
    </row>
    <row r="177" spans="1:132" x14ac:dyDescent="0.25">
      <c r="B177" s="14" t="s">
        <v>1287</v>
      </c>
      <c r="C177" s="173">
        <f>'Calcul éco'!C30</f>
        <v>0</v>
      </c>
      <c r="D177" s="263">
        <f>C177*$D$82/$C$82</f>
        <v>0</v>
      </c>
      <c r="AV177" s="273"/>
      <c r="AW177" s="273"/>
      <c r="AX177" s="273"/>
      <c r="AY177" s="273"/>
      <c r="AZ177" s="273"/>
      <c r="BA177" s="273"/>
      <c r="BB177" s="273"/>
      <c r="BC177" s="273"/>
      <c r="BD177" s="273"/>
      <c r="BE177" s="273"/>
      <c r="BF177" s="273"/>
      <c r="BG177" s="273"/>
      <c r="BH177" s="273"/>
      <c r="BI177" s="273"/>
      <c r="BJ177" s="273"/>
      <c r="BK177" s="273"/>
      <c r="BL177" s="273"/>
      <c r="BM177" s="273"/>
      <c r="BN177" s="273"/>
      <c r="BO177" s="273"/>
      <c r="BP177" s="273"/>
      <c r="BQ177" s="273"/>
      <c r="BR177" s="273"/>
      <c r="BS177" s="273"/>
      <c r="CB177" s="273"/>
      <c r="CC177" s="273"/>
      <c r="CD177" s="273"/>
      <c r="CE177" s="273"/>
      <c r="CF177" s="273"/>
      <c r="CG177" s="273"/>
      <c r="CH177" s="273"/>
      <c r="CI177" s="273"/>
      <c r="CJ177" s="273"/>
      <c r="CK177" s="273"/>
      <c r="CL177" s="273"/>
      <c r="CM177" s="273"/>
      <c r="CN177" s="273"/>
      <c r="CO177" s="273"/>
      <c r="CP177" s="273"/>
      <c r="CQ177" s="273"/>
      <c r="CR177" s="273"/>
      <c r="CS177" s="273"/>
      <c r="CT177" s="273"/>
      <c r="CU177" s="273"/>
      <c r="CV177" s="273"/>
      <c r="CW177" s="273"/>
      <c r="CX177" s="273"/>
      <c r="CY177" s="273"/>
      <c r="DE177" s="273"/>
      <c r="DF177" s="273"/>
      <c r="DG177" s="273"/>
      <c r="DH177" s="273"/>
      <c r="DI177" s="273"/>
      <c r="DJ177" s="273"/>
      <c r="DK177" s="273"/>
      <c r="DL177" s="273"/>
      <c r="DM177" s="273"/>
      <c r="DN177" s="273"/>
      <c r="DO177" s="273"/>
      <c r="DP177" s="273"/>
      <c r="DQ177" s="273"/>
      <c r="DR177" s="273"/>
      <c r="DS177" s="273"/>
      <c r="DT177" s="273"/>
      <c r="DU177" s="273"/>
      <c r="DV177" s="273"/>
      <c r="DW177" s="273"/>
      <c r="DX177" s="273"/>
      <c r="DY177" s="273"/>
      <c r="DZ177" s="273"/>
      <c r="EA177" s="273"/>
      <c r="EB177" s="273"/>
    </row>
    <row r="178" spans="1:132" x14ac:dyDescent="0.25">
      <c r="B178" s="14" t="s">
        <v>1288</v>
      </c>
      <c r="C178" s="173">
        <f>ROUND((C170+C171)/(C170+C172),2)*100</f>
        <v>83</v>
      </c>
      <c r="D178" s="173">
        <f>ROUND((D170+D171)/(D170+D172),2)*100</f>
        <v>83</v>
      </c>
      <c r="AT178" s="40" t="s">
        <v>865</v>
      </c>
      <c r="AV178" s="173">
        <f>SUM(AV167:AV176)</f>
        <v>42</v>
      </c>
      <c r="AW178" s="173">
        <f t="shared" ref="AW178:BS178" si="98">SUM(AW167:AW176)</f>
        <v>42</v>
      </c>
      <c r="AX178" s="173">
        <f t="shared" si="98"/>
        <v>42</v>
      </c>
      <c r="AY178" s="173">
        <f t="shared" si="98"/>
        <v>56</v>
      </c>
      <c r="AZ178" s="173">
        <f t="shared" si="98"/>
        <v>56</v>
      </c>
      <c r="BA178" s="173">
        <f t="shared" si="98"/>
        <v>70</v>
      </c>
      <c r="BB178" s="173">
        <f t="shared" si="98"/>
        <v>70</v>
      </c>
      <c r="BC178" s="173">
        <f t="shared" si="98"/>
        <v>70</v>
      </c>
      <c r="BD178" s="173">
        <f t="shared" si="98"/>
        <v>63</v>
      </c>
      <c r="BE178" s="173">
        <f t="shared" si="98"/>
        <v>28</v>
      </c>
      <c r="BF178" s="173">
        <f t="shared" si="98"/>
        <v>28</v>
      </c>
      <c r="BG178" s="173">
        <f t="shared" si="98"/>
        <v>14</v>
      </c>
      <c r="BH178" s="173">
        <f t="shared" si="98"/>
        <v>14</v>
      </c>
      <c r="BI178" s="173">
        <f t="shared" si="98"/>
        <v>14</v>
      </c>
      <c r="BJ178" s="173">
        <f t="shared" si="98"/>
        <v>14</v>
      </c>
      <c r="BK178" s="173">
        <f t="shared" si="98"/>
        <v>14</v>
      </c>
      <c r="BL178" s="173">
        <f t="shared" si="98"/>
        <v>14</v>
      </c>
      <c r="BM178" s="173">
        <f t="shared" si="98"/>
        <v>14</v>
      </c>
      <c r="BN178" s="173">
        <f t="shared" si="98"/>
        <v>28</v>
      </c>
      <c r="BO178" s="173">
        <f t="shared" si="98"/>
        <v>56</v>
      </c>
      <c r="BP178" s="173">
        <f t="shared" si="98"/>
        <v>42</v>
      </c>
      <c r="BQ178" s="173">
        <f t="shared" si="98"/>
        <v>42</v>
      </c>
      <c r="BR178" s="173">
        <f t="shared" si="98"/>
        <v>42</v>
      </c>
      <c r="BS178" s="173">
        <f t="shared" si="98"/>
        <v>42</v>
      </c>
      <c r="CA178" s="40" t="s">
        <v>865</v>
      </c>
      <c r="CB178" s="173">
        <f>SUM(CB167:CB176)</f>
        <v>21</v>
      </c>
      <c r="CC178" s="173">
        <f t="shared" ref="CC178:CY178" si="99">SUM(CC167:CC176)</f>
        <v>21</v>
      </c>
      <c r="CD178" s="173">
        <f t="shared" si="99"/>
        <v>28</v>
      </c>
      <c r="CE178" s="173">
        <f t="shared" si="99"/>
        <v>28</v>
      </c>
      <c r="CF178" s="173">
        <f t="shared" si="99"/>
        <v>28</v>
      </c>
      <c r="CG178" s="173">
        <f t="shared" si="99"/>
        <v>49</v>
      </c>
      <c r="CH178" s="173">
        <f t="shared" si="99"/>
        <v>42</v>
      </c>
      <c r="CI178" s="173">
        <f t="shared" si="99"/>
        <v>42</v>
      </c>
      <c r="CJ178" s="173">
        <f t="shared" si="99"/>
        <v>49</v>
      </c>
      <c r="CK178" s="173">
        <f t="shared" si="99"/>
        <v>49</v>
      </c>
      <c r="CL178" s="173">
        <f t="shared" si="99"/>
        <v>56</v>
      </c>
      <c r="CM178" s="173">
        <f t="shared" si="99"/>
        <v>56</v>
      </c>
      <c r="CN178" s="173">
        <f t="shared" si="99"/>
        <v>56</v>
      </c>
      <c r="CO178" s="173">
        <f t="shared" si="99"/>
        <v>49</v>
      </c>
      <c r="CP178" s="173">
        <f t="shared" si="99"/>
        <v>49</v>
      </c>
      <c r="CQ178" s="173">
        <f t="shared" si="99"/>
        <v>49</v>
      </c>
      <c r="CR178" s="173">
        <f t="shared" si="99"/>
        <v>56</v>
      </c>
      <c r="CS178" s="173">
        <f t="shared" si="99"/>
        <v>56</v>
      </c>
      <c r="CT178" s="173">
        <f t="shared" si="99"/>
        <v>49</v>
      </c>
      <c r="CU178" s="173">
        <f t="shared" si="99"/>
        <v>47.25</v>
      </c>
      <c r="CV178" s="173">
        <f t="shared" si="99"/>
        <v>40.25</v>
      </c>
      <c r="CW178" s="173">
        <f t="shared" si="99"/>
        <v>40.25</v>
      </c>
      <c r="CX178" s="173">
        <f t="shared" si="99"/>
        <v>21</v>
      </c>
      <c r="CY178" s="173">
        <f t="shared" si="99"/>
        <v>21</v>
      </c>
      <c r="DD178" s="40" t="s">
        <v>865</v>
      </c>
      <c r="DE178" s="173">
        <f>SUM(DE167:DE176)</f>
        <v>0</v>
      </c>
      <c r="DF178" s="173">
        <f t="shared" ref="DF178:EB178" si="100">SUM(DF167:DF176)</f>
        <v>0</v>
      </c>
      <c r="DG178" s="173">
        <f t="shared" si="100"/>
        <v>0</v>
      </c>
      <c r="DH178" s="173">
        <f t="shared" si="100"/>
        <v>0</v>
      </c>
      <c r="DI178" s="173">
        <f t="shared" si="100"/>
        <v>0</v>
      </c>
      <c r="DJ178" s="173">
        <f t="shared" si="100"/>
        <v>0</v>
      </c>
      <c r="DK178" s="173">
        <f t="shared" si="100"/>
        <v>0</v>
      </c>
      <c r="DL178" s="173">
        <f t="shared" si="100"/>
        <v>0</v>
      </c>
      <c r="DM178" s="173">
        <f t="shared" si="100"/>
        <v>0</v>
      </c>
      <c r="DN178" s="173">
        <f t="shared" si="100"/>
        <v>0</v>
      </c>
      <c r="DO178" s="173">
        <f t="shared" si="100"/>
        <v>0</v>
      </c>
      <c r="DP178" s="173">
        <f t="shared" si="100"/>
        <v>0</v>
      </c>
      <c r="DQ178" s="173">
        <f t="shared" si="100"/>
        <v>0</v>
      </c>
      <c r="DR178" s="173">
        <f t="shared" si="100"/>
        <v>0</v>
      </c>
      <c r="DS178" s="173">
        <f t="shared" si="100"/>
        <v>0</v>
      </c>
      <c r="DT178" s="173">
        <f t="shared" si="100"/>
        <v>0</v>
      </c>
      <c r="DU178" s="173">
        <f t="shared" si="100"/>
        <v>0</v>
      </c>
      <c r="DV178" s="173">
        <f t="shared" si="100"/>
        <v>0</v>
      </c>
      <c r="DW178" s="173">
        <f t="shared" si="100"/>
        <v>0</v>
      </c>
      <c r="DX178" s="173">
        <f t="shared" si="100"/>
        <v>0</v>
      </c>
      <c r="DY178" s="173">
        <f t="shared" si="100"/>
        <v>0</v>
      </c>
      <c r="DZ178" s="173">
        <f t="shared" si="100"/>
        <v>0</v>
      </c>
      <c r="EA178" s="173">
        <f t="shared" si="100"/>
        <v>0</v>
      </c>
      <c r="EB178" s="173">
        <f t="shared" si="100"/>
        <v>0</v>
      </c>
    </row>
    <row r="179" spans="1:132" x14ac:dyDescent="0.25">
      <c r="B179" s="14" t="s">
        <v>1289</v>
      </c>
      <c r="C179" s="173">
        <f>SUM('Calcul éco'!D82:F106)</f>
        <v>49</v>
      </c>
      <c r="D179" s="263">
        <f>C179*$D$82/$C$82</f>
        <v>47.044887780548628</v>
      </c>
    </row>
    <row r="180" spans="1:132" x14ac:dyDescent="0.25">
      <c r="B180" s="14" t="s">
        <v>1290</v>
      </c>
      <c r="C180" s="173">
        <f>SUM('Calcul éco'!D19:D21)</f>
        <v>0</v>
      </c>
      <c r="D180" s="263">
        <f>C180*$D$82/$C$82</f>
        <v>0</v>
      </c>
    </row>
    <row r="181" spans="1:132" x14ac:dyDescent="0.25">
      <c r="B181" s="14" t="s">
        <v>1291</v>
      </c>
      <c r="C181" s="173">
        <f>ROUND(C180/C179,2)*100</f>
        <v>0</v>
      </c>
      <c r="D181" s="173">
        <f>ROUND(D180/D179,2)*100</f>
        <v>0</v>
      </c>
    </row>
    <row r="182" spans="1:132" x14ac:dyDescent="0.25">
      <c r="A182" s="2" t="s">
        <v>1292</v>
      </c>
      <c r="B182" s="14" t="s">
        <v>1293</v>
      </c>
      <c r="C182" s="173">
        <f>'Calcul éco'!T233</f>
        <v>0</v>
      </c>
      <c r="D182" s="173">
        <f>C182</f>
        <v>0</v>
      </c>
    </row>
    <row r="183" spans="1:132" x14ac:dyDescent="0.25">
      <c r="B183" s="14" t="s">
        <v>1294</v>
      </c>
      <c r="C183" s="173">
        <f>Protection!AK25</f>
        <v>9365</v>
      </c>
      <c r="D183" s="264">
        <f>ROUND(D184*D185,0)</f>
        <v>9010</v>
      </c>
      <c r="E183" s="17" t="s">
        <v>1295</v>
      </c>
    </row>
    <row r="184" spans="1:132" x14ac:dyDescent="0.25">
      <c r="B184" s="14" t="s">
        <v>1296</v>
      </c>
      <c r="C184" s="173">
        <f>Protection!AK26</f>
        <v>39.099999999999994</v>
      </c>
      <c r="D184" s="265">
        <f>C184*D82/C82</f>
        <v>37.539900249376551</v>
      </c>
    </row>
    <row r="185" spans="1:132" x14ac:dyDescent="0.25">
      <c r="B185" s="14" t="s">
        <v>1297</v>
      </c>
      <c r="C185" s="173">
        <f>IF(C183=0,0,ROUND(C183/C184,0))</f>
        <v>240</v>
      </c>
      <c r="D185" s="173">
        <f>C185</f>
        <v>240</v>
      </c>
    </row>
    <row r="186" spans="1:132" x14ac:dyDescent="0.25">
      <c r="B186" s="14" t="s">
        <v>1298</v>
      </c>
      <c r="C186" s="173">
        <f>'Calcul éco'!T240</f>
        <v>0</v>
      </c>
      <c r="D186" s="173">
        <f>C186</f>
        <v>0</v>
      </c>
    </row>
    <row r="187" spans="1:132" x14ac:dyDescent="0.25">
      <c r="B187" s="14" t="s">
        <v>1299</v>
      </c>
      <c r="C187" s="173">
        <f>'Calcul éco'!T235</f>
        <v>0.2</v>
      </c>
      <c r="D187" s="173">
        <f>C187</f>
        <v>0.2</v>
      </c>
    </row>
    <row r="188" spans="1:132" x14ac:dyDescent="0.25">
      <c r="B188" s="14" t="s">
        <v>1300</v>
      </c>
      <c r="C188" s="173">
        <f>'Calcul éco'!T236</f>
        <v>0</v>
      </c>
      <c r="D188" s="173">
        <f t="shared" ref="D188:D189" si="101">C188</f>
        <v>0</v>
      </c>
      <c r="AK188" s="40" t="s">
        <v>1113</v>
      </c>
    </row>
    <row r="189" spans="1:132" x14ac:dyDescent="0.25">
      <c r="B189" s="14" t="s">
        <v>1301</v>
      </c>
      <c r="C189" s="173">
        <f>'Calcul éco'!T245</f>
        <v>10</v>
      </c>
      <c r="D189" s="173">
        <f t="shared" si="101"/>
        <v>10</v>
      </c>
      <c r="AH189" s="15"/>
      <c r="AJ189" s="14" t="s">
        <v>1114</v>
      </c>
      <c r="AK189" s="30">
        <f>D189</f>
        <v>10</v>
      </c>
      <c r="AO189" s="173">
        <f>ROUND((([1]Protect!$B$5/[1]Protect!$B$11)+[1]Protect!$B$8)*AK189,0)</f>
        <v>9043</v>
      </c>
    </row>
    <row r="190" spans="1:132" x14ac:dyDescent="0.25">
      <c r="B190" s="14" t="s">
        <v>1302</v>
      </c>
      <c r="C190" s="173">
        <f>'Calcul éco'!T246*(30)</f>
        <v>42.000000000000007</v>
      </c>
      <c r="D190" s="173">
        <f>C190</f>
        <v>42.000000000000007</v>
      </c>
      <c r="AH190" s="15"/>
      <c r="AJ190" s="14" t="s">
        <v>1115</v>
      </c>
      <c r="AK190" s="30">
        <f>D190/30</f>
        <v>1.4000000000000001</v>
      </c>
      <c r="AN190" s="173">
        <f>[1]Eco!$B$106*[1]Eco!$B$108*[1]Eco!$B$109</f>
        <v>2551.2000000000003</v>
      </c>
      <c r="AO190" s="173">
        <f>AK190*AN190</f>
        <v>3571.6800000000007</v>
      </c>
    </row>
    <row r="191" spans="1:132" x14ac:dyDescent="0.25">
      <c r="B191" s="14" t="s">
        <v>1303</v>
      </c>
      <c r="C191" s="198">
        <f>ROUND(SUM(Travail!F69:F74)/8,1)</f>
        <v>34.4</v>
      </c>
      <c r="D191" s="173">
        <f>C191</f>
        <v>34.4</v>
      </c>
      <c r="E191" s="17" t="s">
        <v>1304</v>
      </c>
      <c r="G191" t="s">
        <v>1305</v>
      </c>
      <c r="N191" t="s">
        <v>1306</v>
      </c>
      <c r="U191" t="s">
        <v>930</v>
      </c>
      <c r="AJ191" s="14" t="s">
        <v>1116</v>
      </c>
      <c r="AK191" s="30">
        <f>Travail!F16/8</f>
        <v>19.600000000000001</v>
      </c>
      <c r="AN191" s="173">
        <f>[1]Eco!$B$111</f>
        <v>28.3</v>
      </c>
      <c r="AO191" s="173">
        <f>AK191*AN191</f>
        <v>554.68000000000006</v>
      </c>
    </row>
    <row r="192" spans="1:132" x14ac:dyDescent="0.25">
      <c r="B192" s="14" t="s">
        <v>1307</v>
      </c>
      <c r="C192" s="173">
        <f>(Travail!F83+Travail!F84)/8</f>
        <v>1.325</v>
      </c>
      <c r="D192" s="266">
        <f>ROUND((D183/1000)*([1]Protect!$B$25*8/10+[1]Protect!$B$26),2)/8</f>
        <v>1.2725</v>
      </c>
      <c r="E192" s="17" t="s">
        <v>1308</v>
      </c>
      <c r="I192" s="5"/>
      <c r="AN192" s="14" t="s">
        <v>1117</v>
      </c>
      <c r="AO192" s="173">
        <f>SUM(AO189:AO191)</f>
        <v>13169.36</v>
      </c>
    </row>
    <row r="193" spans="1:43" x14ac:dyDescent="0.25">
      <c r="B193" s="14" t="s">
        <v>1309</v>
      </c>
      <c r="C193" s="173">
        <f>(Travail!F75+Travail!F76+Travail!F81)/8</f>
        <v>22.375</v>
      </c>
      <c r="D193" s="173">
        <f>C193</f>
        <v>22.375</v>
      </c>
      <c r="I193" s="32" t="s">
        <v>1310</v>
      </c>
      <c r="J193" s="5">
        <f>D65</f>
        <v>18.242000000000001</v>
      </c>
      <c r="P193" s="32" t="s">
        <v>1311</v>
      </c>
      <c r="Q193" s="5">
        <f>D64</f>
        <v>0</v>
      </c>
      <c r="V193" s="32" t="s">
        <v>1312</v>
      </c>
      <c r="W193" s="5">
        <f>D63</f>
        <v>291.87</v>
      </c>
    </row>
    <row r="194" spans="1:43" x14ac:dyDescent="0.25">
      <c r="A194" s="2" t="s">
        <v>1313</v>
      </c>
      <c r="B194" s="14" t="s">
        <v>1314</v>
      </c>
      <c r="C194" s="173">
        <f>ROUND(SUM('Calcul éco'!J5:J30),0)</f>
        <v>102379</v>
      </c>
      <c r="D194" s="261">
        <f>ROUND(C194*D$82/C$82,0)</f>
        <v>98294</v>
      </c>
      <c r="I194" s="32" t="s">
        <v>1315</v>
      </c>
      <c r="J194" s="5">
        <f>J193/IF(Scénario!K2="Exploit. Ind.",1,Scénario!K3)</f>
        <v>18.242000000000001</v>
      </c>
      <c r="P194" s="32" t="s">
        <v>1316</v>
      </c>
      <c r="Q194" s="5">
        <f>Q193/IF(Scénario!K2="Exploit. Ind.",1,Scénario!K3)</f>
        <v>0</v>
      </c>
      <c r="V194" s="32" t="s">
        <v>1317</v>
      </c>
      <c r="W194" s="5">
        <f>W193/IF(Scénario!K2="Exploit. Ind.",1,Scénario!K3)</f>
        <v>291.87</v>
      </c>
    </row>
    <row r="195" spans="1:43" x14ac:dyDescent="0.25">
      <c r="A195" s="2"/>
      <c r="B195" s="14" t="s">
        <v>1318</v>
      </c>
      <c r="C195" s="173">
        <f>ROUND(IF(Troupeau!B3="OL",'Calcul éco'!J5+'Calcul éco'!J6,0),0)</f>
        <v>78209</v>
      </c>
      <c r="D195" s="261">
        <f t="shared" ref="D195:D200" si="102">ROUND(C195*D$82/C$82,0)</f>
        <v>75088</v>
      </c>
    </row>
    <row r="196" spans="1:43" x14ac:dyDescent="0.25">
      <c r="A196" s="2"/>
      <c r="B196" s="14" t="s">
        <v>1319</v>
      </c>
      <c r="C196" s="173">
        <f>IF(Troupeau!B3="BL",'Calcul éco'!J5,0)</f>
        <v>0</v>
      </c>
      <c r="D196" s="261">
        <f t="shared" si="102"/>
        <v>0</v>
      </c>
    </row>
    <row r="197" spans="1:43" x14ac:dyDescent="0.25">
      <c r="A197" s="2"/>
      <c r="B197" s="14" t="s">
        <v>1320</v>
      </c>
      <c r="C197" s="173">
        <f>IF(Troupeau!B3="OL",SUM('Calcul éco'!K9:K15)-'Calcul éco'!K16,0)</f>
        <v>14002</v>
      </c>
      <c r="D197" s="261">
        <f t="shared" si="102"/>
        <v>13443</v>
      </c>
      <c r="H197" s="273" t="s">
        <v>938</v>
      </c>
      <c r="I197" s="273" t="s">
        <v>939</v>
      </c>
      <c r="J197" s="273" t="s">
        <v>712</v>
      </c>
      <c r="O197" s="273" t="s">
        <v>938</v>
      </c>
      <c r="P197" s="273" t="s">
        <v>942</v>
      </c>
      <c r="Q197" s="273" t="s">
        <v>712</v>
      </c>
      <c r="T197" s="5"/>
      <c r="U197" s="273" t="s">
        <v>938</v>
      </c>
      <c r="V197" s="273" t="s">
        <v>940</v>
      </c>
      <c r="W197" s="273" t="s">
        <v>712</v>
      </c>
    </row>
    <row r="198" spans="1:43" x14ac:dyDescent="0.25">
      <c r="A198" s="2"/>
      <c r="B198" s="14" t="s">
        <v>1321</v>
      </c>
      <c r="C198" s="173">
        <f>IF(Troupeau!B3="BL",SUM('Calcul éco'!K9:K15)-'Calcul éco'!K16,0)</f>
        <v>0</v>
      </c>
      <c r="D198" s="261">
        <f t="shared" si="102"/>
        <v>0</v>
      </c>
      <c r="G198" s="213" t="s">
        <v>944</v>
      </c>
      <c r="H198" s="190">
        <f>[1]Eco!$F$4</f>
        <v>166</v>
      </c>
      <c r="I198" s="214">
        <f>IF(J194&gt;50,50,J194)</f>
        <v>18.242000000000001</v>
      </c>
      <c r="J198" s="173">
        <f>H198*I198</f>
        <v>3028.172</v>
      </c>
      <c r="N198" s="14" t="s">
        <v>946</v>
      </c>
      <c r="O198" s="190">
        <f>[1]Eco!$B$14</f>
        <v>77</v>
      </c>
      <c r="P198" s="173">
        <f>IF(Q194&gt;30,30,Q194)</f>
        <v>0</v>
      </c>
      <c r="Q198" s="173">
        <f>O198*P198</f>
        <v>0</v>
      </c>
      <c r="T198" s="5" t="s">
        <v>945</v>
      </c>
      <c r="U198" s="190">
        <f>[1]Eco!$F$9</f>
        <v>24.3</v>
      </c>
      <c r="V198" s="214">
        <f>IF(W194&gt;500,500,W194)</f>
        <v>291.87</v>
      </c>
      <c r="W198" s="214">
        <f>U198*V198</f>
        <v>7092.4410000000007</v>
      </c>
      <c r="AI198" s="40" t="s">
        <v>1120</v>
      </c>
      <c r="AJ198" s="4">
        <f>IF(Troupeau!B3="OL",L223,0)*Scénario!K56</f>
        <v>1152.1197007481296</v>
      </c>
      <c r="AO198" s="40" t="s">
        <v>1121</v>
      </c>
      <c r="AP198">
        <f>IF(Troupeau!B3="OL",D63,0)</f>
        <v>291.87</v>
      </c>
    </row>
    <row r="199" spans="1:43" x14ac:dyDescent="0.25">
      <c r="A199" s="2"/>
      <c r="B199" s="14" t="s">
        <v>1322</v>
      </c>
      <c r="C199" s="173">
        <f>IF(Troupeau!B3="BV",SUM('Calcul éco'!K9:K15)-'Calcul éco'!K16,0)+IF(Troupeau!C3="BV",SUM('Calcul éco'!L9:L15)-'Calcul éco'!L16,0)</f>
        <v>12619</v>
      </c>
      <c r="D199" s="261">
        <f t="shared" si="102"/>
        <v>12115</v>
      </c>
      <c r="G199" s="14" t="s">
        <v>947</v>
      </c>
      <c r="H199" s="190">
        <f>[1]Eco!$F$5</f>
        <v>121</v>
      </c>
      <c r="I199" s="214">
        <f>IF(J194&lt;51,0,IF(J194&gt;99,49,J194-50))</f>
        <v>0</v>
      </c>
      <c r="J199" s="173">
        <f t="shared" ref="J199:J200" si="103">H199*I199</f>
        <v>0</v>
      </c>
      <c r="N199" s="14" t="s">
        <v>950</v>
      </c>
      <c r="O199" s="190">
        <f>[1]Eco!$B$15</f>
        <v>38</v>
      </c>
      <c r="P199" s="173">
        <f>IF(Q194&gt;40,40,Q194)</f>
        <v>0</v>
      </c>
      <c r="Q199" s="173">
        <f>O199*P199</f>
        <v>0</v>
      </c>
      <c r="T199" s="5" t="s">
        <v>948</v>
      </c>
      <c r="U199" s="190">
        <f>[1]Eco!$F$10</f>
        <v>22.3</v>
      </c>
      <c r="V199" s="214">
        <f>IF(W194&gt;500,W194-500,0)</f>
        <v>0</v>
      </c>
      <c r="W199" s="214">
        <f>U199*V199</f>
        <v>0</v>
      </c>
      <c r="AK199" t="s">
        <v>1122</v>
      </c>
      <c r="AQ199" t="s">
        <v>1122</v>
      </c>
    </row>
    <row r="200" spans="1:43" x14ac:dyDescent="0.25">
      <c r="A200" s="2"/>
      <c r="B200" s="14" t="s">
        <v>1323</v>
      </c>
      <c r="C200" s="173">
        <f>IF(Troupeau!D3="EQ",SUM('Calcul éco'!M9:M15)-'Calcul éco'!M16,0)+IF(Troupeau!C3="EQ",SUM('Calcul éco'!L9:L15)-'Calcul éco'!L16,0)</f>
        <v>0</v>
      </c>
      <c r="D200" s="261">
        <f t="shared" si="102"/>
        <v>0</v>
      </c>
      <c r="G200" s="14" t="s">
        <v>952</v>
      </c>
      <c r="H200" s="190">
        <f>[1]Eco!$F$6</f>
        <v>62</v>
      </c>
      <c r="I200" s="214">
        <f>IF(J194&gt;139,40,IF(J194&gt;99,J194-99,0))</f>
        <v>0</v>
      </c>
      <c r="J200" s="173">
        <f t="shared" si="103"/>
        <v>0</v>
      </c>
      <c r="P200" s="40" t="s">
        <v>949</v>
      </c>
      <c r="Q200" s="62">
        <f>IF(Scénario!K10=1,Q198,Q199)*IF(Scénario!K2="Exploit. Ind.",1,Scénario!K3)</f>
        <v>0</v>
      </c>
      <c r="V200" s="40" t="s">
        <v>949</v>
      </c>
      <c r="W200" s="62">
        <f>SUM(W198:W199)*IF(Scénario!K2="Exploit. Ind.",1,Scénario!K3)</f>
        <v>7092.4410000000007</v>
      </c>
      <c r="AI200" s="14" t="s">
        <v>1123</v>
      </c>
      <c r="AJ200" s="30">
        <f>IF(AJ198&lt;151,1,0)</f>
        <v>0</v>
      </c>
      <c r="AK200" s="173">
        <f>IF(AJ200=0,0,[1]Protect!B76)</f>
        <v>0</v>
      </c>
      <c r="AO200" s="14" t="s">
        <v>1124</v>
      </c>
      <c r="AP200" s="30">
        <f>IF(AP198&lt;151,1,0)</f>
        <v>0</v>
      </c>
      <c r="AQ200" s="173">
        <f>IF(AP200=0,0,[1]Protect!B70)</f>
        <v>0</v>
      </c>
    </row>
    <row r="201" spans="1:43" x14ac:dyDescent="0.25">
      <c r="A201" s="2" t="s">
        <v>958</v>
      </c>
      <c r="B201" s="14" t="s">
        <v>959</v>
      </c>
      <c r="C201" s="173">
        <f>'Calcul éco'!J34</f>
        <v>3154</v>
      </c>
      <c r="D201" s="264">
        <f>J201</f>
        <v>3028.172</v>
      </c>
      <c r="E201" s="17" t="s">
        <v>1324</v>
      </c>
      <c r="I201" s="40" t="s">
        <v>949</v>
      </c>
      <c r="J201" s="62">
        <f>SUM(J198:J200)*IF(Scénario!K2="Exploit. Ind.",1,Scénario!K3)</f>
        <v>3028.172</v>
      </c>
      <c r="AI201" s="14" t="s">
        <v>1125</v>
      </c>
      <c r="AJ201" s="30">
        <f>IF(AND(150 &lt;AJ$198,AJ$198&lt;451),1,0)</f>
        <v>0</v>
      </c>
      <c r="AK201" s="173">
        <f>IF(AJ201=0,0,[1]Protect!B77)</f>
        <v>0</v>
      </c>
      <c r="AO201" s="14" t="s">
        <v>1126</v>
      </c>
      <c r="AP201" s="30">
        <f>IF(AND(150 &lt;$AP$198,$AP$198&lt;451),1,0)</f>
        <v>1</v>
      </c>
      <c r="AQ201" s="173">
        <f>IF(AP201=0,0,[1]Protect!B71)</f>
        <v>10000</v>
      </c>
    </row>
    <row r="202" spans="1:43" x14ac:dyDescent="0.25">
      <c r="B202" s="14" t="s">
        <v>961</v>
      </c>
      <c r="C202" s="173">
        <f>+'Calcul éco'!J35</f>
        <v>0</v>
      </c>
      <c r="D202" s="264">
        <f>ROUND(Q200,0)</f>
        <v>0</v>
      </c>
      <c r="E202" s="17" t="s">
        <v>1324</v>
      </c>
      <c r="AI202" s="14" t="s">
        <v>1127</v>
      </c>
      <c r="AJ202" s="30">
        <f>IF(AND(540 &lt;AJ$198,AJ$198&lt;1201),1,0)</f>
        <v>1</v>
      </c>
      <c r="AK202" s="173">
        <f>IF(AJ202=0,0,[1]Protect!B78)</f>
        <v>20000</v>
      </c>
      <c r="AO202" s="14" t="s">
        <v>1128</v>
      </c>
      <c r="AP202" s="30">
        <f>IF(AND(540 &lt;AP$198,AP$198&lt;1201),1,0)</f>
        <v>0</v>
      </c>
      <c r="AQ202" s="173">
        <f>IF(AP202=0,0,[1]Protect!B72)</f>
        <v>0</v>
      </c>
    </row>
    <row r="203" spans="1:43" x14ac:dyDescent="0.25">
      <c r="B203" s="14" t="s">
        <v>967</v>
      </c>
      <c r="C203" s="173">
        <f>'Calcul éco'!J37</f>
        <v>7387.2</v>
      </c>
      <c r="D203" s="264">
        <f>ROUND(W200,0)</f>
        <v>7092</v>
      </c>
      <c r="E203" s="17" t="s">
        <v>1324</v>
      </c>
      <c r="AI203" s="14" t="s">
        <v>1129</v>
      </c>
      <c r="AJ203" s="30">
        <f>IF(AND(1200&lt;AJ$198,AJ$198&lt;1501),1,0)</f>
        <v>0</v>
      </c>
      <c r="AK203" s="173">
        <f>IF(AJ203=0,0,[1]Protect!B79)</f>
        <v>0</v>
      </c>
      <c r="AO203" s="14" t="s">
        <v>1130</v>
      </c>
      <c r="AP203" s="30">
        <f>IF(AND(1200&lt;AP$198,AP$198&lt;1501),1,0)</f>
        <v>0</v>
      </c>
      <c r="AQ203" s="173">
        <f>IF(AP203=0,0,[1]Protect!B73)</f>
        <v>0</v>
      </c>
    </row>
    <row r="204" spans="1:43" x14ac:dyDescent="0.25">
      <c r="B204" s="14" t="s">
        <v>977</v>
      </c>
      <c r="C204" s="173">
        <f>'Calcul éco'!J39</f>
        <v>0</v>
      </c>
      <c r="D204" s="261">
        <f>ROUND(C204*D$82/C$82,0)</f>
        <v>0</v>
      </c>
      <c r="I204" s="40" t="s">
        <v>968</v>
      </c>
      <c r="J204" t="s">
        <v>969</v>
      </c>
      <c r="K204" t="s">
        <v>970</v>
      </c>
      <c r="L204" t="s">
        <v>971</v>
      </c>
      <c r="T204" s="2" t="s">
        <v>962</v>
      </c>
      <c r="U204" s="14"/>
      <c r="V204" s="36"/>
      <c r="AI204" s="14" t="s">
        <v>1131</v>
      </c>
      <c r="AJ204" s="30">
        <f>IF(1500&lt;AJ$198,1,0)</f>
        <v>0</v>
      </c>
      <c r="AK204" s="173">
        <f>IF(AJ204=0,0,[1]Protect!B80)</f>
        <v>0</v>
      </c>
      <c r="AO204" s="14" t="s">
        <v>1132</v>
      </c>
      <c r="AP204" s="30">
        <f>IF(1500&lt;AP$198,1,0)</f>
        <v>0</v>
      </c>
      <c r="AQ204" s="173">
        <f>IF(AP204=0,0,[1]Protect!B74)</f>
        <v>0</v>
      </c>
    </row>
    <row r="205" spans="1:43" x14ac:dyDescent="0.25">
      <c r="B205" s="14" t="s">
        <v>561</v>
      </c>
      <c r="C205" s="173">
        <f>'Calcul éco'!J40</f>
        <v>0</v>
      </c>
      <c r="D205" s="261">
        <f>ROUND(C205*D$82/C$82,0)</f>
        <v>0</v>
      </c>
      <c r="I205" s="14" t="s">
        <v>1325</v>
      </c>
      <c r="J205" s="173">
        <f>D81</f>
        <v>27.843</v>
      </c>
      <c r="K205" s="173">
        <v>1</v>
      </c>
      <c r="L205" s="173">
        <f>J205*K205</f>
        <v>27.843</v>
      </c>
      <c r="T205" s="5"/>
      <c r="U205" s="5"/>
      <c r="V205" s="36"/>
      <c r="W205" s="5"/>
      <c r="X205" s="14" t="s">
        <v>966</v>
      </c>
      <c r="Y205" s="190">
        <f>'Calcul éco'!AC36</f>
        <v>258</v>
      </c>
      <c r="Z205" s="5"/>
    </row>
    <row r="206" spans="1:43" x14ac:dyDescent="0.25">
      <c r="A206" s="2" t="s">
        <v>981</v>
      </c>
      <c r="B206" s="19" t="s">
        <v>982</v>
      </c>
      <c r="C206" s="173">
        <f>ROUND('Calcul éco'!J42,0)</f>
        <v>9203</v>
      </c>
      <c r="D206" s="261">
        <f>ROUND(C206*D$82/C$82,0)</f>
        <v>8836</v>
      </c>
      <c r="I206" s="14" t="s">
        <v>270</v>
      </c>
      <c r="J206" s="173">
        <f>D80</f>
        <v>10.657</v>
      </c>
      <c r="K206" s="173">
        <f>[1]Eco!$B$22/100</f>
        <v>0.6</v>
      </c>
      <c r="L206" s="173">
        <f t="shared" ref="L206" si="104">J206*K206</f>
        <v>6.3941999999999997</v>
      </c>
      <c r="T206" s="274"/>
      <c r="X206" s="273" t="s">
        <v>972</v>
      </c>
      <c r="Y206" s="273" t="s">
        <v>938</v>
      </c>
      <c r="Z206" s="273" t="s">
        <v>712</v>
      </c>
    </row>
    <row r="207" spans="1:43" x14ac:dyDescent="0.25">
      <c r="B207" s="211" t="s">
        <v>986</v>
      </c>
      <c r="C207" s="173">
        <f>ROUND('Calcul éco'!J43,0)</f>
        <v>2548</v>
      </c>
      <c r="D207" s="264">
        <f>IF(L212&gt;52,52,L212)*IF(Scénario!K2="Exploit. Ind.",1,Scénario!K3)*'Calcul éco'!C43</f>
        <v>2548</v>
      </c>
      <c r="E207" s="17" t="s">
        <v>1326</v>
      </c>
      <c r="W207" s="14" t="s">
        <v>976</v>
      </c>
      <c r="X207" s="173">
        <f>IF(T208&gt;25, 25,T208)</f>
        <v>25</v>
      </c>
      <c r="Y207" s="173">
        <f>Y209+Y205</f>
        <v>328</v>
      </c>
      <c r="Z207" s="173">
        <f>X207*Y207</f>
        <v>8200</v>
      </c>
      <c r="AF207" s="23" t="s">
        <v>1133</v>
      </c>
      <c r="AL207" s="173">
        <f>IF(Scénario!K84=2,AL209,IF(Scénario!K84=1,AL208,0))</f>
        <v>10000</v>
      </c>
      <c r="AQ207" s="5"/>
    </row>
    <row r="208" spans="1:43" x14ac:dyDescent="0.25">
      <c r="B208" s="211" t="s">
        <v>987</v>
      </c>
      <c r="C208" s="173">
        <f>ROUND('Calcul éco'!J44,0)</f>
        <v>6357</v>
      </c>
      <c r="D208" s="261">
        <f>ROUND(C208*D$82/C$82,0)</f>
        <v>6103</v>
      </c>
      <c r="S208" s="14" t="s">
        <v>978</v>
      </c>
      <c r="T208" s="30">
        <f>L212</f>
        <v>91.094307231920197</v>
      </c>
      <c r="W208" s="14" t="s">
        <v>979</v>
      </c>
      <c r="X208" s="173">
        <f>IF(T208&gt;50,25,IF(T208&gt;25,T208-25,0))</f>
        <v>25</v>
      </c>
      <c r="Y208" s="173">
        <f>Y209+0.66*Y205</f>
        <v>240.28</v>
      </c>
      <c r="Z208" s="173">
        <f t="shared" ref="Z208:Z209" si="105">X208*Y208</f>
        <v>6007</v>
      </c>
      <c r="AF208" s="5"/>
      <c r="AK208" s="14" t="s">
        <v>1134</v>
      </c>
      <c r="AL208" s="173">
        <f>IF(AO192&lt;SUM(AK200:AK204),AO192,SUM(AK200:AK204))</f>
        <v>13169.36</v>
      </c>
      <c r="AQ208" s="245"/>
    </row>
    <row r="209" spans="1:43" x14ac:dyDescent="0.25">
      <c r="B209" s="19" t="s">
        <v>989</v>
      </c>
      <c r="C209" s="173">
        <f>ROUND('Calcul éco'!J45,0)</f>
        <v>15957</v>
      </c>
      <c r="D209" s="264">
        <f>IF(Scénario!K9=0,0,ROUND(Z210,0))</f>
        <v>15957</v>
      </c>
      <c r="E209" s="17" t="s">
        <v>1327</v>
      </c>
      <c r="K209" s="40" t="s">
        <v>988</v>
      </c>
      <c r="L209" s="62">
        <f>SUM(L205:L206)</f>
        <v>34.237200000000001</v>
      </c>
      <c r="W209" s="14" t="s">
        <v>980</v>
      </c>
      <c r="X209" s="173">
        <f>IF(T208&gt;75,25,IF(T208&gt;50,T208-50,0))</f>
        <v>25</v>
      </c>
      <c r="Y209" s="190">
        <f>[1]Eco!$B$34</f>
        <v>70</v>
      </c>
      <c r="Z209" s="173">
        <f t="shared" si="105"/>
        <v>1750</v>
      </c>
      <c r="AF209" s="5"/>
      <c r="AK209" s="14" t="s">
        <v>1135</v>
      </c>
      <c r="AL209" s="173">
        <f>IF(AO192&lt;SUM(AQ200:AQ204),AO192,SUM(AQ200:AQ204))</f>
        <v>10000</v>
      </c>
      <c r="AP209" s="245"/>
      <c r="AQ209" s="245"/>
    </row>
    <row r="210" spans="1:43" x14ac:dyDescent="0.25">
      <c r="B210" s="19" t="s">
        <v>1328</v>
      </c>
      <c r="C210" s="173">
        <f>ROUND('Calcul éco'!J46,0)</f>
        <v>10535</v>
      </c>
      <c r="D210" s="264">
        <f>ROUND(AL207,0)</f>
        <v>10000</v>
      </c>
      <c r="E210" s="17" t="s">
        <v>1329</v>
      </c>
      <c r="K210" s="14" t="s">
        <v>990</v>
      </c>
      <c r="L210" s="173">
        <f>J221</f>
        <v>56.857107231920189</v>
      </c>
      <c r="Y210" s="40" t="s">
        <v>949</v>
      </c>
      <c r="Z210" s="62">
        <f>SUM(Z207:Z209)*IF(Scénario!K2="Exploit. Ind.",1,Scénario!K3)</f>
        <v>15957</v>
      </c>
      <c r="AF210" s="5"/>
      <c r="AP210" s="245"/>
      <c r="AQ210" s="246"/>
    </row>
    <row r="211" spans="1:43" x14ac:dyDescent="0.25">
      <c r="B211" s="14" t="s">
        <v>1330</v>
      </c>
      <c r="C211" s="173">
        <f>SUM(C201:C210)</f>
        <v>55141.2</v>
      </c>
      <c r="D211" s="264">
        <f>ROUND(SUM(D201:D210),0)</f>
        <v>53564</v>
      </c>
      <c r="E211" s="17" t="s">
        <v>1331</v>
      </c>
      <c r="K211" s="40" t="s">
        <v>995</v>
      </c>
      <c r="L211" s="62">
        <f>L209+L210</f>
        <v>91.094307231920197</v>
      </c>
      <c r="AF211" s="5"/>
      <c r="AP211" s="245"/>
      <c r="AQ211" s="246"/>
    </row>
    <row r="212" spans="1:43" x14ac:dyDescent="0.25">
      <c r="A212" s="2" t="s">
        <v>1332</v>
      </c>
      <c r="B212" s="14" t="s">
        <v>1333</v>
      </c>
      <c r="C212" s="173">
        <f>IF(Troupeau!B3="OL",'Calcul éco'!K116,0)</f>
        <v>24892.400000000001</v>
      </c>
      <c r="D212" s="261">
        <f>ROUND(C212*D$82/C$82,0)</f>
        <v>23899</v>
      </c>
      <c r="K212" s="40" t="s">
        <v>1334</v>
      </c>
      <c r="L212" s="62">
        <f>L211/IF(Scénario!K2="Exploit. Ind.",1,Scénario!K3)</f>
        <v>91.094307231920197</v>
      </c>
      <c r="AF212" s="5"/>
      <c r="AG212" s="247"/>
      <c r="AH212" s="248"/>
      <c r="AI212" s="248"/>
      <c r="AJ212" s="249"/>
      <c r="AK212" s="249"/>
      <c r="AL212" s="249"/>
      <c r="AM212" s="250"/>
      <c r="AN212" s="250"/>
      <c r="AO212" s="245"/>
      <c r="AP212" s="246"/>
      <c r="AQ212" s="245"/>
    </row>
    <row r="213" spans="1:43" x14ac:dyDescent="0.25">
      <c r="B213" s="14" t="s">
        <v>1335</v>
      </c>
      <c r="C213" s="173">
        <f>IF(Troupeau!B3="BL",'Calcul éco'!K116,0)</f>
        <v>0</v>
      </c>
      <c r="D213" s="261">
        <f t="shared" ref="D213:D219" si="106">ROUND(C213*D$82/C$82,0)</f>
        <v>0</v>
      </c>
      <c r="E213" s="14"/>
      <c r="AF213" s="5"/>
      <c r="AG213" s="2" t="s">
        <v>1136</v>
      </c>
      <c r="AP213" s="246"/>
      <c r="AQ213" s="245"/>
    </row>
    <row r="214" spans="1:43" x14ac:dyDescent="0.25">
      <c r="B214" s="14" t="s">
        <v>1336</v>
      </c>
      <c r="C214" s="173">
        <f>IF(Troupeau!B3="BV",'Calcul éco'!K116,0)+IF(Troupeau!C3="BV",'Calcul éco'!L116,0)</f>
        <v>7353.1</v>
      </c>
      <c r="D214" s="261">
        <f t="shared" si="106"/>
        <v>7060</v>
      </c>
      <c r="H214" s="2" t="s">
        <v>998</v>
      </c>
      <c r="AF214" s="5"/>
      <c r="AJ214" s="33" t="s">
        <v>1137</v>
      </c>
      <c r="AK214" s="33"/>
      <c r="AL214" s="33"/>
      <c r="AM214" s="33" t="s">
        <v>1138</v>
      </c>
      <c r="AN214" s="33" t="s">
        <v>670</v>
      </c>
      <c r="AP214" s="246"/>
      <c r="AQ214" s="245"/>
    </row>
    <row r="215" spans="1:43" x14ac:dyDescent="0.25">
      <c r="B215" s="14" t="s">
        <v>1337</v>
      </c>
      <c r="C215" s="173">
        <f>IF(Troupeau!D3="EQ",'Calcul éco'!M116,0)+IF(Troupeau!D3="EQ",'Calcul éco'!L116,0)</f>
        <v>0</v>
      </c>
      <c r="D215" s="261">
        <f t="shared" si="106"/>
        <v>0</v>
      </c>
      <c r="I215" t="s">
        <v>1338</v>
      </c>
      <c r="J215" t="s">
        <v>1339</v>
      </c>
      <c r="AF215" s="5"/>
      <c r="AI215" s="14" t="s">
        <v>1139</v>
      </c>
      <c r="AJ215" s="173">
        <f>IF(D182&gt;0,[1]Protect!$B$36,0)</f>
        <v>0</v>
      </c>
      <c r="AK215" s="173"/>
      <c r="AL215" s="173"/>
      <c r="AM215" s="173">
        <f>'Calcul éco'!W271</f>
        <v>100</v>
      </c>
      <c r="AN215" s="173">
        <f>AJ215*AM215</f>
        <v>0</v>
      </c>
      <c r="AP215" s="245"/>
      <c r="AQ215" s="245"/>
    </row>
    <row r="216" spans="1:43" x14ac:dyDescent="0.25">
      <c r="B216" s="14" t="s">
        <v>1340</v>
      </c>
      <c r="C216" s="173">
        <f>ROUND(SUM(C212:C215),0)</f>
        <v>32246</v>
      </c>
      <c r="D216" s="261">
        <f t="shared" si="106"/>
        <v>30959</v>
      </c>
      <c r="G216" s="14" t="s">
        <v>568</v>
      </c>
      <c r="H216" s="14" t="str">
        <f>Troupeau!B3</f>
        <v>OL</v>
      </c>
      <c r="I216" s="30">
        <f>'Calcul éco'!S50</f>
        <v>126</v>
      </c>
      <c r="J216" s="48">
        <f>I216*D$82/C$82</f>
        <v>120.97256857855361</v>
      </c>
      <c r="K216" s="223"/>
      <c r="L216" s="223"/>
      <c r="AF216" s="5"/>
      <c r="AI216" s="14" t="s">
        <v>1140</v>
      </c>
      <c r="AJ216" s="173">
        <f>D183*[1]Protect!$B$17/100</f>
        <v>135.15</v>
      </c>
      <c r="AK216" s="173"/>
      <c r="AL216" s="173"/>
      <c r="AM216" s="173">
        <f>'Calcul éco'!W272</f>
        <v>6</v>
      </c>
      <c r="AN216" s="173">
        <f>AJ216*AM216</f>
        <v>810.90000000000009</v>
      </c>
      <c r="AP216" s="245"/>
      <c r="AQ216" s="245"/>
    </row>
    <row r="217" spans="1:43" x14ac:dyDescent="0.25">
      <c r="B217" s="14" t="s">
        <v>1341</v>
      </c>
      <c r="C217" s="173">
        <f>SUM('Calcul éco'!J122:J138)</f>
        <v>2426.433</v>
      </c>
      <c r="D217" s="261">
        <f t="shared" si="106"/>
        <v>2330</v>
      </c>
      <c r="G217" s="19" t="s">
        <v>601</v>
      </c>
      <c r="H217" s="19" t="str">
        <f>Troupeau!C3</f>
        <v>BV</v>
      </c>
      <c r="I217" s="30">
        <f>'Calcul éco'!S51</f>
        <v>0</v>
      </c>
      <c r="J217" s="48">
        <f t="shared" ref="J217:J218" si="107">I217*D$82/C$82</f>
        <v>0</v>
      </c>
      <c r="AF217" s="5"/>
      <c r="AI217" s="14" t="s">
        <v>1141</v>
      </c>
      <c r="AJ217" s="173">
        <f>D186*[1]Protect!$B$17/100</f>
        <v>0</v>
      </c>
      <c r="AK217" s="173"/>
      <c r="AL217" s="173"/>
      <c r="AM217" s="173">
        <f>'Calcul éco'!W273</f>
        <v>0.75</v>
      </c>
      <c r="AN217" s="173">
        <f>AJ217*AM217</f>
        <v>0</v>
      </c>
      <c r="AP217" s="245"/>
      <c r="AQ217" s="245"/>
    </row>
    <row r="218" spans="1:43" x14ac:dyDescent="0.25">
      <c r="B218" s="14" t="s">
        <v>1342</v>
      </c>
      <c r="C218" s="173">
        <f>SUM('Calcul éco'!J118:J119)</f>
        <v>14136.545000000002</v>
      </c>
      <c r="D218" s="261">
        <f t="shared" si="106"/>
        <v>13572</v>
      </c>
      <c r="G218" s="14" t="s">
        <v>738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54"/>
      <c r="AI218" s="14" t="s">
        <v>1102</v>
      </c>
      <c r="AJ218" s="173">
        <f>IF(D187&gt;0,[1]Protect!$B$85*D187,0)</f>
        <v>0.4</v>
      </c>
      <c r="AK218" s="173"/>
      <c r="AL218" s="173"/>
      <c r="AM218" s="173">
        <f>'Calcul éco'!W274</f>
        <v>100</v>
      </c>
      <c r="AN218" s="173">
        <f>AJ218*AM218</f>
        <v>40</v>
      </c>
      <c r="AO218" s="245"/>
      <c r="AP218" s="245"/>
      <c r="AQ218" s="245"/>
    </row>
    <row r="219" spans="1:43" x14ac:dyDescent="0.25">
      <c r="B219" s="14" t="s">
        <v>1343</v>
      </c>
      <c r="C219" s="173">
        <f>'Calcul éco'!J141</f>
        <v>9043</v>
      </c>
      <c r="D219" s="261">
        <f t="shared" si="106"/>
        <v>8682</v>
      </c>
      <c r="K219" s="4"/>
      <c r="AF219" s="5"/>
      <c r="AG219" s="247"/>
      <c r="AI219" s="14" t="s">
        <v>1103</v>
      </c>
      <c r="AJ219" s="173">
        <f>D188</f>
        <v>0</v>
      </c>
      <c r="AK219" s="173"/>
      <c r="AL219" s="173"/>
      <c r="AM219" s="173">
        <f>'Calcul éco'!W275</f>
        <v>200</v>
      </c>
      <c r="AN219" s="173">
        <f>AJ219*AM219</f>
        <v>0</v>
      </c>
      <c r="AO219" s="245"/>
      <c r="AP219" s="32"/>
      <c r="AQ219" s="245"/>
    </row>
    <row r="220" spans="1:43" x14ac:dyDescent="0.25">
      <c r="B220" s="14" t="s">
        <v>1344</v>
      </c>
      <c r="C220" s="173">
        <f>'Calcul éco'!J142</f>
        <v>882.84999999999991</v>
      </c>
      <c r="D220" s="264">
        <f>SUM(AN215:AN219)</f>
        <v>850.90000000000009</v>
      </c>
      <c r="E220" s="17" t="s">
        <v>1345</v>
      </c>
      <c r="H220" s="14" t="s">
        <v>1000</v>
      </c>
      <c r="I220" s="30">
        <f>SUM(I216:I219)</f>
        <v>126</v>
      </c>
      <c r="J220" s="30">
        <f>SUM(J216:J219)</f>
        <v>120.97256857855361</v>
      </c>
    </row>
    <row r="221" spans="1:43" x14ac:dyDescent="0.25">
      <c r="B221" s="14" t="s">
        <v>1346</v>
      </c>
      <c r="C221" s="173">
        <f>ROUND(SUM(C216:C220),0)</f>
        <v>58735</v>
      </c>
      <c r="D221" s="264">
        <f>ROUND(SUM(D216:D220),0)</f>
        <v>56394</v>
      </c>
      <c r="E221" s="17" t="s">
        <v>1345</v>
      </c>
      <c r="H221" s="14" t="s">
        <v>1001</v>
      </c>
      <c r="I221" s="30">
        <f>I220*[1]Eco!$B$25</f>
        <v>59.22</v>
      </c>
      <c r="J221" s="30">
        <f>J220*[1]Eco!$B$25</f>
        <v>56.857107231920189</v>
      </c>
    </row>
    <row r="222" spans="1:43" x14ac:dyDescent="0.25">
      <c r="A222" s="2" t="s">
        <v>1067</v>
      </c>
      <c r="B222" s="14" t="s">
        <v>1347</v>
      </c>
      <c r="C222" s="173">
        <f>'Calcul éco'!J149</f>
        <v>945.40000000000009</v>
      </c>
      <c r="D222" s="261">
        <f>ROUND(C222*D$82/C$82,0)</f>
        <v>908</v>
      </c>
      <c r="K222" t="s">
        <v>1338</v>
      </c>
      <c r="L222" t="s">
        <v>1348</v>
      </c>
    </row>
    <row r="223" spans="1:43" x14ac:dyDescent="0.25">
      <c r="B223" s="14" t="s">
        <v>1069</v>
      </c>
      <c r="C223" s="173">
        <f>'Calcul éco'!J150</f>
        <v>1500</v>
      </c>
      <c r="D223" s="173">
        <f>C223</f>
        <v>1500</v>
      </c>
      <c r="J223" s="14" t="s">
        <v>1349</v>
      </c>
      <c r="K223" s="30">
        <f>Scénario!K55/0.15</f>
        <v>240</v>
      </c>
      <c r="L223" s="30">
        <f>K223*'Synthèse résultats'!D$82/'Synthèse résultats'!C$82</f>
        <v>230.42394014962593</v>
      </c>
      <c r="AK223" s="40" t="s">
        <v>1095</v>
      </c>
      <c r="AM223" t="s">
        <v>1096</v>
      </c>
      <c r="AN223" t="s">
        <v>1097</v>
      </c>
      <c r="AO223" t="s">
        <v>1098</v>
      </c>
    </row>
    <row r="224" spans="1:43" x14ac:dyDescent="0.25">
      <c r="B224" s="14" t="s">
        <v>1070</v>
      </c>
      <c r="C224" s="173">
        <f>'Calcul éco'!J151</f>
        <v>19182</v>
      </c>
      <c r="D224" s="173">
        <f>C224</f>
        <v>19182</v>
      </c>
      <c r="G224" s="14"/>
      <c r="H224" s="14"/>
      <c r="J224" s="14" t="s">
        <v>1350</v>
      </c>
      <c r="K224" s="30">
        <f>Scénario!K62</f>
        <v>0</v>
      </c>
      <c r="L224" s="30">
        <f>K224*'Synthèse résultats'!D$82/'Synthèse résultats'!C$82</f>
        <v>0</v>
      </c>
      <c r="AJ224" s="14" t="s">
        <v>334</v>
      </c>
      <c r="AK224" s="30">
        <f>D182</f>
        <v>0</v>
      </c>
      <c r="AL224" t="s">
        <v>1099</v>
      </c>
      <c r="AM224" s="173">
        <f>[1]Protect!$H$3</f>
        <v>20</v>
      </c>
      <c r="AN224" s="173">
        <f>[1]Protect!$B$3</f>
        <v>100</v>
      </c>
      <c r="AO224" s="173">
        <f>AK224*AM224*AN224</f>
        <v>0</v>
      </c>
    </row>
    <row r="225" spans="1:49" x14ac:dyDescent="0.25">
      <c r="B225" s="14" t="s">
        <v>1072</v>
      </c>
      <c r="C225" s="173">
        <f>'Calcul éco'!J152</f>
        <v>0</v>
      </c>
      <c r="D225" s="173">
        <f>C225</f>
        <v>0</v>
      </c>
      <c r="G225" s="19"/>
      <c r="H225" s="19"/>
      <c r="J225" s="14" t="s">
        <v>1351</v>
      </c>
      <c r="K225" s="30">
        <f>Scénario!K66</f>
        <v>0</v>
      </c>
      <c r="L225" s="30">
        <f>K225*'Synthèse résultats'!D$82/'Synthèse résultats'!C$82</f>
        <v>0</v>
      </c>
      <c r="AJ225" s="14" t="s">
        <v>1100</v>
      </c>
      <c r="AK225" s="30">
        <f>D183</f>
        <v>9010</v>
      </c>
      <c r="AL225" t="s">
        <v>1101</v>
      </c>
      <c r="AM225" s="173"/>
      <c r="AN225" s="173">
        <f>[1]Protect!$B$4</f>
        <v>6</v>
      </c>
      <c r="AO225" s="173">
        <f>AK225*AN225</f>
        <v>54060</v>
      </c>
    </row>
    <row r="226" spans="1:49" x14ac:dyDescent="0.25">
      <c r="B226" s="14" t="s">
        <v>1074</v>
      </c>
      <c r="C226" s="173">
        <f>'Calcul éco'!J153</f>
        <v>16000</v>
      </c>
      <c r="D226" s="261">
        <f>ROUND(C226*D$82/C$82,0)</f>
        <v>15362</v>
      </c>
      <c r="G226" s="14"/>
      <c r="H226" s="14"/>
      <c r="AJ226" s="14" t="s">
        <v>1102</v>
      </c>
      <c r="AK226" s="30">
        <f>D187</f>
        <v>0.2</v>
      </c>
      <c r="AN226" s="173">
        <f>[1]Protect!$B$83</f>
        <v>2000</v>
      </c>
      <c r="AO226" s="173">
        <f t="shared" ref="AO226:AO227" si="108">AK226*AN226</f>
        <v>400</v>
      </c>
    </row>
    <row r="227" spans="1:49" x14ac:dyDescent="0.25">
      <c r="B227" s="14" t="s">
        <v>1076</v>
      </c>
      <c r="C227" s="173">
        <f>'Calcul éco'!J154</f>
        <v>8430.2999999999993</v>
      </c>
      <c r="D227" s="261">
        <f t="shared" ref="D227:D233" si="109">ROUND(C227*D$82/C$82,0)</f>
        <v>8094</v>
      </c>
      <c r="AJ227" s="14" t="s">
        <v>1103</v>
      </c>
      <c r="AK227" s="30">
        <f>D188</f>
        <v>0</v>
      </c>
      <c r="AN227" s="173">
        <f>[1]Protect!$B$84</f>
        <v>5000</v>
      </c>
      <c r="AO227" s="173">
        <f t="shared" si="108"/>
        <v>0</v>
      </c>
      <c r="AQ227" t="s">
        <v>1104</v>
      </c>
      <c r="AR227" t="s">
        <v>1105</v>
      </c>
      <c r="AS227" t="s">
        <v>1106</v>
      </c>
      <c r="AT227" t="s">
        <v>1107</v>
      </c>
      <c r="AU227" t="s">
        <v>1108</v>
      </c>
      <c r="AV227" t="s">
        <v>1109</v>
      </c>
      <c r="AW227" t="s">
        <v>1110</v>
      </c>
    </row>
    <row r="228" spans="1:49" x14ac:dyDescent="0.25">
      <c r="B228" s="14" t="s">
        <v>1078</v>
      </c>
      <c r="C228" s="173"/>
      <c r="D228" s="261">
        <f t="shared" si="109"/>
        <v>0</v>
      </c>
      <c r="AN228" s="14" t="s">
        <v>1111</v>
      </c>
      <c r="AO228" s="46">
        <f>SUM(AO224:AO227)</f>
        <v>54460</v>
      </c>
      <c r="AQ228" s="30">
        <f>IF(Scénario!K84=1,MIN(0.8*AO228,[1]Protect!$B$68),IF(Scénario!K84=2,MIN(0.8*AO228,[1]Protect!$B$67),0))</f>
        <v>15500</v>
      </c>
      <c r="AR228" s="30">
        <f>AO228-AQ228</f>
        <v>38960</v>
      </c>
      <c r="AS228" s="30">
        <f>(1-Scénario!K127/100)*AR228</f>
        <v>38960</v>
      </c>
      <c r="AT228" s="30">
        <f>AR228-AS228</f>
        <v>0</v>
      </c>
      <c r="AU228" s="244">
        <f>[1]Protect!$B$19</f>
        <v>0.04</v>
      </c>
      <c r="AV228" s="215">
        <f>[1]Protect!$B$20</f>
        <v>10</v>
      </c>
      <c r="AW228" s="241">
        <f>PPMT(AU228,1,AV228,-AT228)+IPMT(AU228,1,AV228,-AT228)</f>
        <v>0</v>
      </c>
    </row>
    <row r="229" spans="1:49" x14ac:dyDescent="0.25">
      <c r="B229" s="14" t="s">
        <v>1081</v>
      </c>
      <c r="C229" s="173">
        <f>'Calcul éco'!J157</f>
        <v>0</v>
      </c>
      <c r="D229" s="261">
        <f t="shared" si="109"/>
        <v>0</v>
      </c>
    </row>
    <row r="230" spans="1:49" x14ac:dyDescent="0.25">
      <c r="B230" s="14" t="s">
        <v>1082</v>
      </c>
      <c r="C230" s="173">
        <f>'Calcul éco'!J158</f>
        <v>-136.83599999999998</v>
      </c>
      <c r="D230" s="261">
        <f t="shared" si="109"/>
        <v>-131</v>
      </c>
    </row>
    <row r="231" spans="1:49" x14ac:dyDescent="0.25">
      <c r="B231" s="14" t="s">
        <v>1083</v>
      </c>
      <c r="C231" s="173">
        <f>'Calcul éco'!J159</f>
        <v>0</v>
      </c>
      <c r="D231" s="261">
        <f t="shared" si="109"/>
        <v>0</v>
      </c>
      <c r="AJ231" s="14" t="s">
        <v>1112</v>
      </c>
      <c r="AK231" s="30">
        <f>D186</f>
        <v>0</v>
      </c>
      <c r="AL231" t="s">
        <v>1101</v>
      </c>
      <c r="AM231" s="173"/>
      <c r="AN231" s="173">
        <f>[1]Protect!$B$6</f>
        <v>0.75</v>
      </c>
      <c r="AO231" s="173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44">
        <f>[1]Protect!$B$19</f>
        <v>0.04</v>
      </c>
      <c r="AV231" s="215">
        <f>[1]Protect!$B$20</f>
        <v>10</v>
      </c>
      <c r="AW231" s="241">
        <f t="shared" ref="AW231" si="111">PPMT(AU231,1,AV231,-AT231)+IPMT(AU231,1,AV231,-AT231)</f>
        <v>0</v>
      </c>
    </row>
    <row r="232" spans="1:49" x14ac:dyDescent="0.25">
      <c r="B232" s="14" t="s">
        <v>1084</v>
      </c>
      <c r="C232" s="173">
        <f>'Calcul éco'!J160</f>
        <v>0</v>
      </c>
      <c r="D232" s="261">
        <f t="shared" si="109"/>
        <v>0</v>
      </c>
    </row>
    <row r="233" spans="1:49" x14ac:dyDescent="0.25">
      <c r="B233" s="14" t="s">
        <v>1085</v>
      </c>
      <c r="C233" s="173">
        <f>'Calcul éco'!J161</f>
        <v>-65.267999999999986</v>
      </c>
      <c r="D233" s="261">
        <f t="shared" si="109"/>
        <v>-63</v>
      </c>
    </row>
    <row r="234" spans="1:49" x14ac:dyDescent="0.25">
      <c r="B234" s="14" t="s">
        <v>1352</v>
      </c>
      <c r="C234" s="173">
        <f>'Calcul éco'!J166</f>
        <v>3571.6800000000007</v>
      </c>
      <c r="D234" s="173">
        <f>C234</f>
        <v>3571.6800000000007</v>
      </c>
    </row>
    <row r="235" spans="1:49" x14ac:dyDescent="0.25">
      <c r="B235" s="14" t="s">
        <v>1353</v>
      </c>
      <c r="C235" s="173">
        <f>'Calcul éco'!J167</f>
        <v>4417.8280000000004</v>
      </c>
      <c r="D235" s="264">
        <f>(D191+D192)*8*[1]Eco!$B$106</f>
        <v>3033.5894000000003</v>
      </c>
      <c r="E235" s="17" t="s">
        <v>1345</v>
      </c>
    </row>
    <row r="236" spans="1:49" x14ac:dyDescent="0.25">
      <c r="B236" s="14" t="s">
        <v>1354</v>
      </c>
      <c r="C236" s="173">
        <f>ROUND(SUM(C222:C235),0)</f>
        <v>53845</v>
      </c>
      <c r="D236" s="264">
        <f>ROUND(SUM(D222:D235),0)</f>
        <v>51457</v>
      </c>
      <c r="E236" s="17" t="s">
        <v>1355</v>
      </c>
    </row>
    <row r="237" spans="1:49" x14ac:dyDescent="0.25">
      <c r="A237" s="2" t="s">
        <v>1356</v>
      </c>
      <c r="B237" s="211" t="s">
        <v>1089</v>
      </c>
      <c r="C237" s="173">
        <f>C194+C211-C221-C236</f>
        <v>44940.200000000012</v>
      </c>
      <c r="D237" s="264">
        <f>D194+D211-D221-D236</f>
        <v>44007</v>
      </c>
    </row>
    <row r="238" spans="1:49" x14ac:dyDescent="0.25">
      <c r="B238" s="211" t="s">
        <v>1090</v>
      </c>
      <c r="C238" s="173">
        <f>ROUND(C237/Scénario!$K$4,0)</f>
        <v>22470</v>
      </c>
      <c r="D238" s="264">
        <f>ROUND(D237/D83,0)</f>
        <v>22004</v>
      </c>
    </row>
    <row r="239" spans="1:49" x14ac:dyDescent="0.25">
      <c r="B239" s="211" t="s">
        <v>1091</v>
      </c>
      <c r="C239" s="173">
        <f>'Calcul éco'!B177</f>
        <v>11000</v>
      </c>
      <c r="D239" s="264">
        <f>C239</f>
        <v>11000</v>
      </c>
    </row>
    <row r="240" spans="1:49" x14ac:dyDescent="0.25">
      <c r="B240" s="211" t="s">
        <v>1092</v>
      </c>
      <c r="C240" s="267">
        <f>'Calcul éco'!B178</f>
        <v>5066.0249025253097</v>
      </c>
      <c r="D240" s="268">
        <f>AW228+AW231</f>
        <v>0</v>
      </c>
      <c r="E240" s="17" t="s">
        <v>1345</v>
      </c>
    </row>
    <row r="241" spans="1:15" x14ac:dyDescent="0.25">
      <c r="B241" s="211" t="s">
        <v>1093</v>
      </c>
      <c r="C241" s="269">
        <f>ROUND(C237-C239-C240,0)</f>
        <v>28874</v>
      </c>
      <c r="D241" s="268">
        <f>ROUND(D237-D239-D240,0)</f>
        <v>33007</v>
      </c>
    </row>
    <row r="242" spans="1:15" x14ac:dyDescent="0.25">
      <c r="B242" s="211" t="s">
        <v>1094</v>
      </c>
      <c r="C242" s="173">
        <f>ROUND(C241/Scénario!K4,0)</f>
        <v>14437</v>
      </c>
      <c r="D242" s="264">
        <f>ROUND(D241/D83,0)</f>
        <v>16504</v>
      </c>
    </row>
    <row r="243" spans="1:15" x14ac:dyDescent="0.25">
      <c r="B243" s="211" t="s">
        <v>1357</v>
      </c>
      <c r="C243" s="173">
        <f>'Calcul éco'!X237+'Calcul éco'!X240</f>
        <v>56590</v>
      </c>
      <c r="D243" s="173">
        <f>C243</f>
        <v>56590</v>
      </c>
    </row>
    <row r="244" spans="1:15" x14ac:dyDescent="0.25">
      <c r="B244" s="211" t="s">
        <v>1358</v>
      </c>
      <c r="C244" s="173">
        <f>'Calcul éco'!AA237+'Calcul éco'!AA240</f>
        <v>41090</v>
      </c>
      <c r="D244" s="173">
        <f>C244</f>
        <v>41090</v>
      </c>
    </row>
    <row r="245" spans="1:15" x14ac:dyDescent="0.25">
      <c r="A245" s="2" t="s">
        <v>1359</v>
      </c>
      <c r="B245" s="14" t="s">
        <v>568</v>
      </c>
      <c r="C245" s="270">
        <f>Travail!F5</f>
        <v>917</v>
      </c>
      <c r="D245" s="173">
        <f>C245</f>
        <v>917</v>
      </c>
    </row>
    <row r="246" spans="1:15" x14ac:dyDescent="0.25">
      <c r="B246" s="14" t="s">
        <v>601</v>
      </c>
      <c r="C246" s="270">
        <f>Travail!F6</f>
        <v>189</v>
      </c>
      <c r="D246" s="173">
        <f t="shared" ref="D246:D247" si="112">C246</f>
        <v>189</v>
      </c>
    </row>
    <row r="247" spans="1:15" x14ac:dyDescent="0.25">
      <c r="B247" s="14" t="s">
        <v>738</v>
      </c>
      <c r="C247" s="270">
        <f>Travail!F7</f>
        <v>0</v>
      </c>
      <c r="D247" s="173">
        <f t="shared" si="112"/>
        <v>0</v>
      </c>
    </row>
    <row r="248" spans="1:15" x14ac:dyDescent="0.25">
      <c r="A248" s="43" t="s">
        <v>751</v>
      </c>
      <c r="B248" s="14" t="s">
        <v>568</v>
      </c>
      <c r="C248" s="270">
        <f>Travail!F9</f>
        <v>875.04139130434783</v>
      </c>
      <c r="D248" s="264">
        <f>ROUND(SUM(AV163:BS163),1)</f>
        <v>866.1</v>
      </c>
    </row>
    <row r="249" spans="1:15" x14ac:dyDescent="0.25">
      <c r="B249" s="14" t="s">
        <v>601</v>
      </c>
      <c r="C249" s="270">
        <f>Travail!F10</f>
        <v>504</v>
      </c>
      <c r="D249" s="264">
        <f>SUM(CB163:CY163)</f>
        <v>504</v>
      </c>
    </row>
    <row r="250" spans="1:15" x14ac:dyDescent="0.25">
      <c r="B250" s="14" t="s">
        <v>738</v>
      </c>
      <c r="C250" s="270">
        <f>Travail!F11</f>
        <v>0</v>
      </c>
      <c r="D250" s="264">
        <f>SUM(DE163:EB163)</f>
        <v>0</v>
      </c>
    </row>
    <row r="251" spans="1:15" x14ac:dyDescent="0.25">
      <c r="A251" s="43" t="s">
        <v>754</v>
      </c>
      <c r="B251" s="14" t="s">
        <v>568</v>
      </c>
      <c r="C251" s="270">
        <f>Travail!F16</f>
        <v>156.80000000000001</v>
      </c>
      <c r="D251" s="173">
        <f>C251</f>
        <v>156.80000000000001</v>
      </c>
      <c r="J251" s="40" t="s">
        <v>779</v>
      </c>
      <c r="M251" s="5"/>
      <c r="N251" s="5"/>
      <c r="O251" s="273"/>
    </row>
    <row r="252" spans="1:15" x14ac:dyDescent="0.25">
      <c r="A252" s="43"/>
      <c r="B252" s="14" t="s">
        <v>601</v>
      </c>
      <c r="C252" s="270">
        <f>Travail!F17</f>
        <v>0</v>
      </c>
      <c r="D252" s="173">
        <f t="shared" ref="D252:D253" si="113">C252</f>
        <v>0</v>
      </c>
      <c r="J252" s="37" t="s">
        <v>780</v>
      </c>
      <c r="K252" s="273" t="s">
        <v>52</v>
      </c>
      <c r="L252" t="s">
        <v>781</v>
      </c>
      <c r="M252" s="5"/>
      <c r="N252" s="5"/>
      <c r="O252" s="273"/>
    </row>
    <row r="253" spans="1:15" x14ac:dyDescent="0.25">
      <c r="A253" s="43"/>
      <c r="B253" s="14" t="s">
        <v>738</v>
      </c>
      <c r="C253" s="270">
        <f>Travail!F18</f>
        <v>0</v>
      </c>
      <c r="D253" s="173">
        <f t="shared" si="113"/>
        <v>0</v>
      </c>
      <c r="J253" s="14" t="s">
        <v>783</v>
      </c>
      <c r="K253" s="173">
        <f>C91+C92</f>
        <v>0</v>
      </c>
      <c r="L253" s="190">
        <f>IF(K253&gt;[1]Trav!$E$116,[1]Trav!C116,[1]Trav!B116)</f>
        <v>11</v>
      </c>
      <c r="M253" s="5"/>
      <c r="N253" s="274"/>
      <c r="O253">
        <f>K253*L253</f>
        <v>0</v>
      </c>
    </row>
    <row r="254" spans="1:15" x14ac:dyDescent="0.25">
      <c r="A254" s="43" t="s">
        <v>761</v>
      </c>
      <c r="B254" s="14" t="s">
        <v>568</v>
      </c>
      <c r="C254" s="270">
        <f>Travail!F20</f>
        <v>0</v>
      </c>
      <c r="D254" s="173">
        <f>Travail!G20</f>
        <v>0</v>
      </c>
      <c r="J254" s="14" t="s">
        <v>785</v>
      </c>
      <c r="K254" s="173">
        <f>D90</f>
        <v>0.96</v>
      </c>
      <c r="L254" s="190">
        <f>IF(K254&gt;[1]Trav!E117,[1]Trav!C117,[1]Trav!B117)</f>
        <v>15.7</v>
      </c>
      <c r="M254" s="5"/>
      <c r="N254" s="274"/>
      <c r="O254">
        <f t="shared" ref="O254:O262" si="114">K254*L254</f>
        <v>15.071999999999999</v>
      </c>
    </row>
    <row r="255" spans="1:15" x14ac:dyDescent="0.25">
      <c r="A255" s="43"/>
      <c r="B255" s="14" t="s">
        <v>601</v>
      </c>
      <c r="C255" s="270">
        <f>Travail!F21</f>
        <v>0</v>
      </c>
      <c r="D255" s="173">
        <f>Travail!G21</f>
        <v>0</v>
      </c>
      <c r="J255" s="32" t="s">
        <v>787</v>
      </c>
      <c r="K255" s="173">
        <f>D73/[1]Trav!$B$124</f>
        <v>1.2</v>
      </c>
      <c r="L255" s="190">
        <f>IF(K255&gt;[1]Trav!E118,[1]Trav!C118,[1]Trav!B118)</f>
        <v>3.7</v>
      </c>
      <c r="N255" s="274"/>
      <c r="O255">
        <f t="shared" si="114"/>
        <v>4.4400000000000004</v>
      </c>
    </row>
    <row r="256" spans="1:15" x14ac:dyDescent="0.25">
      <c r="B256" s="14" t="s">
        <v>738</v>
      </c>
      <c r="C256" s="270">
        <f>Travail!F22</f>
        <v>0</v>
      </c>
      <c r="D256" s="173">
        <f>Travail!G22</f>
        <v>0</v>
      </c>
      <c r="J256" s="32" t="s">
        <v>788</v>
      </c>
      <c r="K256" s="173">
        <f>D72</f>
        <v>0</v>
      </c>
      <c r="L256" s="190">
        <f>IF(K256&gt;[1]Trav!E118,[1]Trav!C118,[1]Trav!B118)</f>
        <v>3.7</v>
      </c>
      <c r="N256" s="274"/>
      <c r="O256">
        <f t="shared" si="114"/>
        <v>0</v>
      </c>
    </row>
    <row r="257" spans="1:15" x14ac:dyDescent="0.25">
      <c r="A257" s="2" t="s">
        <v>764</v>
      </c>
      <c r="B257" s="14" t="s">
        <v>568</v>
      </c>
      <c r="C257" s="270">
        <f>Travail!F31</f>
        <v>528</v>
      </c>
      <c r="D257" s="261">
        <f>ROUND(C257*D$82/C$82,0)</f>
        <v>507</v>
      </c>
      <c r="E257" s="17" t="s">
        <v>1360</v>
      </c>
      <c r="J257" s="32" t="s">
        <v>789</v>
      </c>
      <c r="K257" s="173">
        <f>D72+D73+D75</f>
        <v>26.882000000000001</v>
      </c>
      <c r="L257" s="190">
        <f>IF(K257&gt;[1]Trav!E119,[1]Trav!C119,[1]Trav!B119)</f>
        <v>1.4</v>
      </c>
      <c r="N257" s="274"/>
      <c r="O257">
        <f t="shared" si="114"/>
        <v>37.634799999999998</v>
      </c>
    </row>
    <row r="258" spans="1:15" x14ac:dyDescent="0.25">
      <c r="A258" s="2"/>
      <c r="B258" s="14" t="s">
        <v>601</v>
      </c>
      <c r="C258" s="270">
        <f>Travail!F32</f>
        <v>84</v>
      </c>
      <c r="D258" s="261">
        <f t="shared" ref="D258:D259" si="115">ROUND(C258*D$82/C$82,0)</f>
        <v>81</v>
      </c>
      <c r="E258" s="17"/>
      <c r="J258" s="32" t="s">
        <v>790</v>
      </c>
      <c r="K258" s="173">
        <f>D85*((100-Scénario!K31)/100)</f>
        <v>16.677000000000003</v>
      </c>
      <c r="L258" s="190">
        <f>IF(K258&gt;[1]Trav!E121,[1]Trav!C121,[1]Trav!B121)</f>
        <v>7.2</v>
      </c>
      <c r="N258" s="274"/>
      <c r="O258">
        <f t="shared" si="114"/>
        <v>120.07440000000003</v>
      </c>
    </row>
    <row r="259" spans="1:15" x14ac:dyDescent="0.25">
      <c r="B259" s="14" t="s">
        <v>738</v>
      </c>
      <c r="C259" s="270">
        <f>Travail!F33</f>
        <v>0</v>
      </c>
      <c r="D259" s="261">
        <f t="shared" si="115"/>
        <v>0</v>
      </c>
      <c r="J259" s="32" t="s">
        <v>791</v>
      </c>
      <c r="K259" s="173">
        <f>D86</f>
        <v>15.362</v>
      </c>
      <c r="L259" s="190">
        <f>IF(K259&gt;[1]Trav!E121,[1]Trav!C121,[1]Trav!B121)</f>
        <v>7.2</v>
      </c>
      <c r="N259" s="274"/>
      <c r="O259">
        <f t="shared" si="114"/>
        <v>110.60640000000001</v>
      </c>
    </row>
    <row r="260" spans="1:15" x14ac:dyDescent="0.25">
      <c r="A260" s="2" t="s">
        <v>767</v>
      </c>
      <c r="B260" s="14" t="s">
        <v>568</v>
      </c>
      <c r="C260" s="270">
        <f>ROUND(Travail!F35,0)</f>
        <v>900</v>
      </c>
      <c r="D260" s="264">
        <f>ROUND(Travail!B35+(Travail!D35*Travail!C35*'Synthèse résultats'!G63),0)</f>
        <v>873</v>
      </c>
      <c r="E260" s="17" t="s">
        <v>1361</v>
      </c>
      <c r="J260" s="32" t="s">
        <v>792</v>
      </c>
      <c r="K260" s="173">
        <f>D87</f>
        <v>0</v>
      </c>
      <c r="L260" s="190">
        <f>IF(K260&gt;[1]Trav!E121,[1]Trav!C121,[1]Trav!B121)</f>
        <v>7.2</v>
      </c>
      <c r="N260" s="274"/>
      <c r="O260">
        <f t="shared" si="114"/>
        <v>0</v>
      </c>
    </row>
    <row r="261" spans="1:15" x14ac:dyDescent="0.25">
      <c r="A261" s="2" t="s">
        <v>772</v>
      </c>
      <c r="B261" s="14" t="s">
        <v>568</v>
      </c>
      <c r="C261" s="270">
        <f>Travail!F39</f>
        <v>1442</v>
      </c>
      <c r="D261" s="261">
        <f>ROUND(C261*G63,0)</f>
        <v>1384</v>
      </c>
      <c r="E261" s="17" t="s">
        <v>1362</v>
      </c>
      <c r="J261" s="32" t="s">
        <v>793</v>
      </c>
      <c r="K261" s="173">
        <f>D88</f>
        <v>1.853</v>
      </c>
      <c r="L261" s="190">
        <f>IF(K261&gt;[1]Trav!E122,[1]Trav!C122,[1]Trav!B122)</f>
        <v>4.4000000000000004</v>
      </c>
      <c r="M261" s="5"/>
      <c r="N261" s="274"/>
      <c r="O261">
        <f t="shared" si="114"/>
        <v>8.1532</v>
      </c>
    </row>
    <row r="262" spans="1:15" x14ac:dyDescent="0.25">
      <c r="A262" s="2" t="s">
        <v>1363</v>
      </c>
      <c r="B262" s="14" t="s">
        <v>783</v>
      </c>
      <c r="C262" s="270">
        <f>Travail!F50</f>
        <v>0</v>
      </c>
      <c r="D262" s="264">
        <f t="shared" ref="D262:D271" si="116">ROUND(K253*L253,0)</f>
        <v>0</v>
      </c>
      <c r="E262" s="17" t="s">
        <v>1364</v>
      </c>
      <c r="J262" s="32" t="s">
        <v>795</v>
      </c>
      <c r="K262" s="173">
        <f>D89</f>
        <v>0</v>
      </c>
      <c r="L262" s="190">
        <f>[1]Trav!$B$123</f>
        <v>7.2</v>
      </c>
      <c r="M262" s="5"/>
      <c r="N262" s="274"/>
      <c r="O262">
        <f t="shared" si="114"/>
        <v>0</v>
      </c>
    </row>
    <row r="263" spans="1:15" x14ac:dyDescent="0.25">
      <c r="B263" s="14" t="s">
        <v>785</v>
      </c>
      <c r="C263" s="270">
        <f>Travail!F51</f>
        <v>16</v>
      </c>
      <c r="D263" s="264">
        <f t="shared" si="116"/>
        <v>15</v>
      </c>
    </row>
    <row r="264" spans="1:15" x14ac:dyDescent="0.25">
      <c r="B264" s="32" t="s">
        <v>787</v>
      </c>
      <c r="C264" s="270">
        <f>Travail!F52</f>
        <v>1</v>
      </c>
      <c r="D264" s="264">
        <f t="shared" si="116"/>
        <v>4</v>
      </c>
    </row>
    <row r="265" spans="1:15" x14ac:dyDescent="0.25">
      <c r="B265" s="32" t="s">
        <v>788</v>
      </c>
      <c r="C265" s="270">
        <f>Travail!F53</f>
        <v>0</v>
      </c>
      <c r="D265" s="264">
        <f t="shared" si="116"/>
        <v>0</v>
      </c>
    </row>
    <row r="266" spans="1:15" x14ac:dyDescent="0.25">
      <c r="B266" s="32" t="s">
        <v>789</v>
      </c>
      <c r="C266" s="270">
        <f>Travail!F54</f>
        <v>39</v>
      </c>
      <c r="D266" s="264">
        <f t="shared" si="116"/>
        <v>38</v>
      </c>
    </row>
    <row r="267" spans="1:15" x14ac:dyDescent="0.25">
      <c r="B267" s="32" t="s">
        <v>790</v>
      </c>
      <c r="C267" s="270">
        <f>Travail!F55</f>
        <v>125</v>
      </c>
      <c r="D267" s="264">
        <f t="shared" si="116"/>
        <v>120</v>
      </c>
    </row>
    <row r="268" spans="1:15" x14ac:dyDescent="0.25">
      <c r="B268" s="32" t="s">
        <v>791</v>
      </c>
      <c r="C268" s="270">
        <f>Travail!F56</f>
        <v>115</v>
      </c>
      <c r="D268" s="264">
        <f t="shared" si="116"/>
        <v>111</v>
      </c>
    </row>
    <row r="269" spans="1:15" x14ac:dyDescent="0.25">
      <c r="B269" s="32" t="s">
        <v>792</v>
      </c>
      <c r="C269" s="270">
        <f>Travail!F57</f>
        <v>0</v>
      </c>
      <c r="D269" s="264">
        <f t="shared" si="116"/>
        <v>0</v>
      </c>
    </row>
    <row r="270" spans="1:15" x14ac:dyDescent="0.25">
      <c r="B270" s="32" t="s">
        <v>793</v>
      </c>
      <c r="C270" s="270">
        <f>Travail!F58</f>
        <v>8</v>
      </c>
      <c r="D270" s="264">
        <f t="shared" si="116"/>
        <v>8</v>
      </c>
    </row>
    <row r="271" spans="1:15" x14ac:dyDescent="0.25">
      <c r="B271" s="32" t="s">
        <v>795</v>
      </c>
      <c r="C271" s="270">
        <f>Travail!F59</f>
        <v>0</v>
      </c>
      <c r="D271" s="264">
        <f t="shared" si="116"/>
        <v>0</v>
      </c>
    </row>
    <row r="272" spans="1:15" x14ac:dyDescent="0.25">
      <c r="A272" s="23" t="s">
        <v>1365</v>
      </c>
      <c r="B272" s="32" t="s">
        <v>799</v>
      </c>
      <c r="C272" s="270">
        <f>Travail!F61</f>
        <v>120</v>
      </c>
      <c r="D272" s="173">
        <f>C272</f>
        <v>120</v>
      </c>
    </row>
    <row r="273" spans="1:4" x14ac:dyDescent="0.25">
      <c r="B273" s="32" t="s">
        <v>800</v>
      </c>
      <c r="C273" s="270">
        <f>Travail!F62</f>
        <v>120</v>
      </c>
      <c r="D273" s="173">
        <f t="shared" ref="D273:D274" si="117">C273</f>
        <v>120</v>
      </c>
    </row>
    <row r="274" spans="1:4" x14ac:dyDescent="0.25">
      <c r="B274" s="32" t="s">
        <v>1366</v>
      </c>
      <c r="C274" s="270">
        <f>SUM(Travail!F63:F65)</f>
        <v>360</v>
      </c>
      <c r="D274" s="173">
        <f t="shared" si="117"/>
        <v>360</v>
      </c>
    </row>
    <row r="275" spans="1:4" x14ac:dyDescent="0.25">
      <c r="A275" s="23" t="s">
        <v>1367</v>
      </c>
      <c r="B275" s="32" t="s">
        <v>1368</v>
      </c>
      <c r="C275" s="270">
        <f>C191*8</f>
        <v>275.2</v>
      </c>
      <c r="D275" s="173">
        <f>C275</f>
        <v>275.2</v>
      </c>
    </row>
    <row r="276" spans="1:4" x14ac:dyDescent="0.25">
      <c r="A276" s="23"/>
      <c r="B276" s="32" t="s">
        <v>1369</v>
      </c>
      <c r="C276" s="270">
        <f>C192*8</f>
        <v>10.6</v>
      </c>
      <c r="D276" s="264">
        <f>D192*8</f>
        <v>10.18</v>
      </c>
    </row>
    <row r="277" spans="1:4" x14ac:dyDescent="0.25">
      <c r="B277" s="32" t="s">
        <v>1419</v>
      </c>
      <c r="C277" s="270">
        <f>Travail!F75+Travail!F81</f>
        <v>130</v>
      </c>
      <c r="D277" s="173">
        <f>C277</f>
        <v>130</v>
      </c>
    </row>
    <row r="278" spans="1:4" x14ac:dyDescent="0.25">
      <c r="B278" s="32" t="s">
        <v>1420</v>
      </c>
      <c r="C278" s="270">
        <f>Travail!F76</f>
        <v>49</v>
      </c>
      <c r="D278" s="173">
        <f>C278</f>
        <v>49</v>
      </c>
    </row>
    <row r="279" spans="1:4" x14ac:dyDescent="0.25">
      <c r="B279" s="32" t="s">
        <v>1386</v>
      </c>
      <c r="C279" s="270">
        <f>Travail!F86</f>
        <v>336.00000000000006</v>
      </c>
      <c r="D279" s="270">
        <f>C279</f>
        <v>336.00000000000006</v>
      </c>
    </row>
    <row r="280" spans="1:4" x14ac:dyDescent="0.25">
      <c r="B280" s="32" t="s">
        <v>1387</v>
      </c>
      <c r="C280" s="270">
        <f>Travail!F87</f>
        <v>0</v>
      </c>
      <c r="D280" s="270">
        <f>C280</f>
        <v>0</v>
      </c>
    </row>
    <row r="281" spans="1:4" x14ac:dyDescent="0.25">
      <c r="A281" s="2" t="s">
        <v>1370</v>
      </c>
      <c r="B281" s="14" t="s">
        <v>1371</v>
      </c>
      <c r="C281" s="173">
        <f>ROUND(C245+C248+C251+C254+C257+C260+C261,0)</f>
        <v>4819</v>
      </c>
      <c r="D281" s="264">
        <f>ROUND(D245+D248+D251+D254+D257+D260+D261,0)</f>
        <v>4704</v>
      </c>
    </row>
    <row r="282" spans="1:4" x14ac:dyDescent="0.25">
      <c r="B282" s="14" t="s">
        <v>1372</v>
      </c>
      <c r="C282" s="173">
        <f>ROUND(C246+C249+C252+C255+C258,0)</f>
        <v>777</v>
      </c>
      <c r="D282" s="264">
        <f>ROUND(D246+D249+D252+D255+D258,0)</f>
        <v>774</v>
      </c>
    </row>
    <row r="283" spans="1:4" x14ac:dyDescent="0.25">
      <c r="B283" s="14" t="s">
        <v>1373</v>
      </c>
      <c r="C283" s="173">
        <f>ROUND(C247+C250+C253+C256+C259,0)</f>
        <v>0</v>
      </c>
      <c r="D283" s="264">
        <f>ROUND(D247+D250+D253+D256+D259,0)</f>
        <v>0</v>
      </c>
    </row>
    <row r="284" spans="1:4" x14ac:dyDescent="0.25">
      <c r="B284" s="14" t="s">
        <v>1374</v>
      </c>
      <c r="C284" s="173">
        <f>ROUND(C281/Troupeau!$B$17,2)</f>
        <v>15.85</v>
      </c>
      <c r="D284" s="173">
        <f>ROUND(D281/(Troupeau!$B$17*G63),2)</f>
        <v>16.12</v>
      </c>
    </row>
    <row r="285" spans="1:4" x14ac:dyDescent="0.25">
      <c r="B285" s="14" t="s">
        <v>1375</v>
      </c>
      <c r="C285" s="173">
        <f>IF(Troupeau!$C$17=0,0,ROUND(C282/Troupeau!$C$17,2))</f>
        <v>40.89</v>
      </c>
      <c r="D285" s="173">
        <f>IF(Troupeau!$C$17=0,0,ROUND(D282/Troupeau!$C$17*G63,2))</f>
        <v>39.11</v>
      </c>
    </row>
    <row r="286" spans="1:4" x14ac:dyDescent="0.25">
      <c r="B286" s="14" t="s">
        <v>1376</v>
      </c>
      <c r="C286" s="173">
        <f>IF(Troupeau!$D$17=0,0,ROUND(C283/Troupeau!$D$17,2))</f>
        <v>0</v>
      </c>
      <c r="D286" s="173">
        <f>IF(Troupeau!$D$17=0,0,ROUND(D283/Troupeau!$D$17*G63,2))</f>
        <v>0</v>
      </c>
    </row>
    <row r="287" spans="1:4" x14ac:dyDescent="0.25">
      <c r="B287" s="14" t="s">
        <v>1377</v>
      </c>
      <c r="C287" s="173">
        <f>SUM(C281:C283)</f>
        <v>5596</v>
      </c>
      <c r="D287" s="264">
        <f>SUM(D281:D283)</f>
        <v>5478</v>
      </c>
    </row>
    <row r="288" spans="1:4" x14ac:dyDescent="0.25">
      <c r="B288" s="14" t="s">
        <v>1378</v>
      </c>
      <c r="C288" s="173">
        <f>SUM(C272:C274)</f>
        <v>600</v>
      </c>
      <c r="D288" s="264">
        <f>SUM(D272:D274)</f>
        <v>600</v>
      </c>
    </row>
    <row r="289" spans="2:4" x14ac:dyDescent="0.25">
      <c r="B289" s="14" t="s">
        <v>1379</v>
      </c>
      <c r="C289" s="173">
        <f>SUM(C262:C271)</f>
        <v>304</v>
      </c>
      <c r="D289" s="264">
        <f>SUM(D262:D271)</f>
        <v>296</v>
      </c>
    </row>
    <row r="290" spans="2:4" x14ac:dyDescent="0.25">
      <c r="B290" s="14" t="s">
        <v>1421</v>
      </c>
      <c r="C290" s="270">
        <f>C275+C276+C277</f>
        <v>415.8</v>
      </c>
      <c r="D290" s="277">
        <f>D275+D276+D277</f>
        <v>415.38</v>
      </c>
    </row>
    <row r="291" spans="2:4" x14ac:dyDescent="0.25">
      <c r="B291" s="14" t="s">
        <v>1422</v>
      </c>
      <c r="C291" s="270">
        <f>C278+C279+C280</f>
        <v>385.00000000000006</v>
      </c>
      <c r="D291" s="270">
        <f>D278+D279+D280</f>
        <v>385.00000000000006</v>
      </c>
    </row>
    <row r="292" spans="2:4" x14ac:dyDescent="0.25">
      <c r="B292" s="14" t="s">
        <v>873</v>
      </c>
      <c r="C292" s="173">
        <f>ROUND(SUM(C287:C291),0)</f>
        <v>7301</v>
      </c>
      <c r="D292" s="264">
        <f>ROUND(SUM(D287:D291),0)</f>
        <v>7174</v>
      </c>
    </row>
    <row r="293" spans="2:4" x14ac:dyDescent="0.25">
      <c r="B293" s="14" t="s">
        <v>874</v>
      </c>
      <c r="C293" s="173">
        <f>ROUND(IF(Scénario!$K$129=1,SUM(C275:C280),SUM(C278:C280)),0)</f>
        <v>801</v>
      </c>
      <c r="D293" s="173">
        <f>ROUND(IF(Scénario!$K$129=1,SUM(D275:D280),SUM(D278:D280)),0)</f>
        <v>800</v>
      </c>
    </row>
    <row r="294" spans="2:4" x14ac:dyDescent="0.25">
      <c r="B294" s="14" t="s">
        <v>875</v>
      </c>
      <c r="C294" s="173">
        <f>ROUND((C292-C293)/C83,0)</f>
        <v>3250</v>
      </c>
      <c r="D294" s="173">
        <f>ROUND((D292-D293)/D83,0)</f>
        <v>3187</v>
      </c>
    </row>
    <row r="295" spans="2:4" x14ac:dyDescent="0.25">
      <c r="B295" s="14" t="s">
        <v>1447</v>
      </c>
      <c r="C295" s="173">
        <f>IF(Alim_Surf!Q7=0,Alim_Surf!R7,0)+IF(Alim_Surf!Q8=0,Alim_Surf!R8,0)+IF(Alim_Surf!Q9=0,Alim_Surf!R9,0)+IF(Alim_Surf!Q10=0,Alim_Surf!R10,0)+IF(Alim_Surf!Q11=0,Alim_Surf!R11,0)+IF(Alim_Surf!Q12=0,Alim_Surf!R12,0)+IF(Alim_Surf!Q13=0,Alim_Surf!R13,0)+IF(Alim_Surf!Q14=0,Alim_Surf!R14,0)+IF(Alim_Surf!Q15=0,Alim_Surf!R15,0)+IF(Alim_Surf!Q16=0,Alim_Surf!R16,0)+IF(Alim_Surf!Q17=0,Alim_Surf!R17,0)+IF(Alim_Surf!Q18=0,Alim_Surf!R18,0)</f>
        <v>0</v>
      </c>
    </row>
    <row r="296" spans="2:4" x14ac:dyDescent="0.25">
      <c r="B296" s="14" t="s">
        <v>1448</v>
      </c>
      <c r="C296" s="173">
        <f>IF(Alim_Surf!Q29=0,Alim_Surf!R29,0)+IF(Alim_Surf!Q28=0,Alim_Surf!R28,0)+IF(Alim_Surf!Q29=0,Alim_Surf!R29,0)+IF(Alim_Surf!Q30=0,Alim_Surf!R30,0)+IF(Alim_Surf!Q31=0,Alim_Surf!R31,0)+IF(Alim_Surf!Q32=0,Alim_Surf!R32,0)+IF(Alim_Surf!Q33=0,Alim_Surf!R33,0)+IF(Alim_Surf!Q34=0,Alim_Surf!R34,0)+IF(Alim_Surf!Q35=0,Alim_Surf!R35,0)+IF(Alim_Surf!Q36=0,Alim_Surf!R36,0)+IF(Alim_Surf!Q37=0,Alim_Surf!R37,0)+IF(Alim_Surf!Q38=0,Alim_Surf!R38,0)</f>
        <v>0</v>
      </c>
    </row>
    <row r="297" spans="2:4" x14ac:dyDescent="0.25">
      <c r="B297" s="14" t="s">
        <v>1449</v>
      </c>
      <c r="C297" s="173">
        <f>IF(Alim_Surf!Q51=0,Alim_Surf!R51,0)+IF(Alim_Surf!Q52=0,Alim_Surf!R52,0)+IF(Alim_Surf!Q53=0,Alim_Surf!R53,0)+IF(Alim_Surf!Q54=0,Alim_Surf!R54,0)+IF(Alim_Surf!Q55=0,Alim_Surf!R55,0)</f>
        <v>0</v>
      </c>
    </row>
    <row r="298" spans="2:4" x14ac:dyDescent="0.25">
      <c r="B298" s="14" t="s">
        <v>1450</v>
      </c>
      <c r="C298" s="173">
        <f>IF(Troupeau!$B$3="OL",CdTrp1!AA220,0)</f>
        <v>58.799145479443467</v>
      </c>
    </row>
    <row r="299" spans="2:4" x14ac:dyDescent="0.25">
      <c r="B299" s="14" t="s">
        <v>1451</v>
      </c>
      <c r="C299" s="173">
        <f>IF(Troupeau!$B$3="OL",CdTrp1!AA221,0)</f>
        <v>38.48082199652174</v>
      </c>
    </row>
    <row r="300" spans="2:4" x14ac:dyDescent="0.25">
      <c r="B300" s="14" t="s">
        <v>1452</v>
      </c>
      <c r="C300" s="173">
        <f>IF(Troupeau!$B$3="BV",CdTrp1!AA220,0)+IF(Troupeau!$C$3="BV",CdTrp2!AA220,0)</f>
        <v>57.507144959999984</v>
      </c>
    </row>
    <row r="301" spans="2:4" x14ac:dyDescent="0.25">
      <c r="B301" s="14" t="s">
        <v>1453</v>
      </c>
      <c r="C301" s="173">
        <f>IF(Troupeau!$B$3="BV",CdTrp1!AA221,0)+IF(Troupeau!$C$3="BV",CdTrp2!AA221,0)</f>
        <v>0</v>
      </c>
    </row>
    <row r="302" spans="2:4" x14ac:dyDescent="0.25">
      <c r="B302" s="14" t="s">
        <v>1454</v>
      </c>
      <c r="C302" s="173">
        <f>IF(Troupeau!$B$3="VL",CdTrp1!AA220,0)</f>
        <v>0</v>
      </c>
    </row>
    <row r="303" spans="2:4" x14ac:dyDescent="0.25">
      <c r="B303" s="14" t="s">
        <v>1455</v>
      </c>
      <c r="C303" s="173">
        <v>0</v>
      </c>
    </row>
    <row r="304" spans="2:4" x14ac:dyDescent="0.25">
      <c r="B304" s="14" t="s">
        <v>1456</v>
      </c>
      <c r="C304" s="173">
        <f>Protection!BL31+Protection!BK31</f>
        <v>28</v>
      </c>
    </row>
    <row r="305" spans="2:3" x14ac:dyDescent="0.25">
      <c r="B305" s="14" t="s">
        <v>1457</v>
      </c>
      <c r="C305" s="173">
        <f>Protection!BJ31</f>
        <v>11.1</v>
      </c>
    </row>
    <row r="306" spans="2:3" x14ac:dyDescent="0.25">
      <c r="B306" s="14" t="s">
        <v>1458</v>
      </c>
      <c r="C306" s="173">
        <f>'Calcul éco'!X233</f>
        <v>0</v>
      </c>
    </row>
    <row r="307" spans="2:3" x14ac:dyDescent="0.25">
      <c r="B307" s="14" t="s">
        <v>1459</v>
      </c>
      <c r="C307" s="173">
        <f>'Calcul éco'!X234</f>
        <v>56190</v>
      </c>
    </row>
    <row r="308" spans="2:3" x14ac:dyDescent="0.25">
      <c r="B308" s="14" t="s">
        <v>1460</v>
      </c>
      <c r="C308" s="173">
        <f>'Calcul éco'!X235</f>
        <v>400</v>
      </c>
    </row>
    <row r="309" spans="2:3" x14ac:dyDescent="0.25">
      <c r="B309" s="14" t="s">
        <v>1461</v>
      </c>
      <c r="C309" s="173">
        <f>'Calcul éco'!X236</f>
        <v>0</v>
      </c>
    </row>
    <row r="310" spans="2:3" x14ac:dyDescent="0.25">
      <c r="B310" s="14" t="s">
        <v>1462</v>
      </c>
      <c r="C310" s="173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06"/>
  <sheetViews>
    <sheetView topLeftCell="B9" zoomScaleNormal="100" workbookViewId="0">
      <selection activeCell="K18" sqref="K18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94</v>
      </c>
      <c r="C1" s="58" t="s">
        <v>95</v>
      </c>
      <c r="D1" s="58" t="s">
        <v>96</v>
      </c>
      <c r="E1" s="58" t="s">
        <v>97</v>
      </c>
    </row>
    <row r="2" spans="1:13" x14ac:dyDescent="0.25">
      <c r="A2" s="2" t="s">
        <v>113</v>
      </c>
    </row>
    <row r="3" spans="1:13" x14ac:dyDescent="0.25">
      <c r="A3" t="s">
        <v>98</v>
      </c>
      <c r="B3" s="77" t="s">
        <v>472</v>
      </c>
      <c r="C3" s="77" t="s">
        <v>473</v>
      </c>
      <c r="D3" s="77"/>
      <c r="E3" s="77"/>
    </row>
    <row r="4" spans="1:13" x14ac:dyDescent="0.25">
      <c r="A4" t="s">
        <v>99</v>
      </c>
      <c r="B4" s="77">
        <v>230</v>
      </c>
      <c r="C4" s="77">
        <v>25</v>
      </c>
      <c r="D4" s="77"/>
      <c r="E4" s="77"/>
      <c r="H4" s="59" t="s">
        <v>326</v>
      </c>
    </row>
    <row r="5" spans="1:13" s="5" customFormat="1" x14ac:dyDescent="0.25">
      <c r="A5" s="5" t="s">
        <v>110</v>
      </c>
      <c r="B5" s="77">
        <v>250</v>
      </c>
      <c r="C5" s="77"/>
      <c r="D5" s="77"/>
      <c r="E5" s="77"/>
      <c r="H5" s="5" t="s">
        <v>431</v>
      </c>
      <c r="I5" s="86"/>
      <c r="J5" s="21"/>
      <c r="K5" s="21"/>
      <c r="L5" s="21"/>
      <c r="M5" s="21"/>
    </row>
    <row r="6" spans="1:13" x14ac:dyDescent="0.25">
      <c r="A6" t="s">
        <v>103</v>
      </c>
      <c r="B6" s="77">
        <v>60</v>
      </c>
      <c r="C6" s="77">
        <v>5</v>
      </c>
      <c r="D6" s="77"/>
      <c r="E6" s="77"/>
      <c r="H6" t="s">
        <v>432</v>
      </c>
    </row>
    <row r="7" spans="1:13" x14ac:dyDescent="0.25">
      <c r="A7" t="s">
        <v>114</v>
      </c>
      <c r="B7" s="77">
        <v>1</v>
      </c>
      <c r="C7" s="77">
        <v>3</v>
      </c>
      <c r="D7" s="77"/>
      <c r="E7" s="77"/>
      <c r="H7" t="s">
        <v>433</v>
      </c>
    </row>
    <row r="8" spans="1:13" s="5" customFormat="1" x14ac:dyDescent="0.25">
      <c r="A8" t="s">
        <v>104</v>
      </c>
      <c r="B8" s="77">
        <v>0</v>
      </c>
      <c r="C8" s="77">
        <v>6</v>
      </c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105</v>
      </c>
      <c r="B9" s="77">
        <v>0</v>
      </c>
      <c r="C9" s="77"/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106</v>
      </c>
      <c r="B10" s="77">
        <v>0</v>
      </c>
      <c r="C10" s="77"/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111</v>
      </c>
      <c r="B11" s="77">
        <v>8</v>
      </c>
      <c r="C11" s="77">
        <v>1</v>
      </c>
      <c r="D11" s="77"/>
      <c r="E11" s="77"/>
      <c r="I11" s="86"/>
      <c r="J11" s="21"/>
      <c r="K11" s="21"/>
      <c r="L11" s="21"/>
      <c r="M11" s="21"/>
    </row>
    <row r="12" spans="1:13" s="5" customFormat="1" x14ac:dyDescent="0.25">
      <c r="A12" s="5" t="s">
        <v>435</v>
      </c>
      <c r="B12" s="77"/>
      <c r="C12" s="77" t="s">
        <v>436</v>
      </c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434</v>
      </c>
      <c r="B13" s="77"/>
      <c r="C13" s="77" t="s">
        <v>436</v>
      </c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427</v>
      </c>
      <c r="B14" s="77">
        <v>45</v>
      </c>
      <c r="C14" s="77">
        <v>4</v>
      </c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A15" s="5" t="s">
        <v>430</v>
      </c>
      <c r="B15" s="21">
        <v>22</v>
      </c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107</v>
      </c>
      <c r="J16" s="58" t="s">
        <v>94</v>
      </c>
      <c r="K16" s="58" t="s">
        <v>95</v>
      </c>
      <c r="L16" s="58" t="s">
        <v>96</v>
      </c>
      <c r="M16" s="58" t="s">
        <v>97</v>
      </c>
    </row>
    <row r="17" spans="1:13" x14ac:dyDescent="0.25">
      <c r="A17" t="s">
        <v>93</v>
      </c>
      <c r="B17" s="60">
        <v>304</v>
      </c>
      <c r="C17" s="60">
        <v>19</v>
      </c>
      <c r="D17" s="60"/>
      <c r="E17" s="60"/>
      <c r="H17" s="2" t="s">
        <v>152</v>
      </c>
      <c r="I17" s="22"/>
      <c r="J17" s="60">
        <v>8</v>
      </c>
      <c r="K17" s="60">
        <v>9</v>
      </c>
      <c r="L17" s="60"/>
      <c r="M17" s="60"/>
    </row>
    <row r="18" spans="1:13" x14ac:dyDescent="0.25">
      <c r="A18" t="s">
        <v>109</v>
      </c>
      <c r="B18" s="61">
        <f t="shared" ref="B18:E19" si="0">ROUNDDOWN(B17*J18/100,0)</f>
        <v>288</v>
      </c>
      <c r="C18" s="61">
        <f t="shared" si="0"/>
        <v>14</v>
      </c>
      <c r="D18" s="61">
        <f t="shared" si="0"/>
        <v>0</v>
      </c>
      <c r="E18" s="61">
        <f t="shared" si="0"/>
        <v>0</v>
      </c>
      <c r="H18" t="s">
        <v>116</v>
      </c>
      <c r="I18" s="17">
        <v>2</v>
      </c>
      <c r="J18" s="76">
        <f>HLOOKUP(J$17,[1]Anx!$C$8:$CO$37,$I18)</f>
        <v>95</v>
      </c>
      <c r="K18" s="76">
        <f>HLOOKUP(K$17,[1]Anx!$C$8:$CO$37,$I18)</f>
        <v>77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102</v>
      </c>
      <c r="B19" s="61">
        <f t="shared" si="0"/>
        <v>273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117</v>
      </c>
      <c r="I19" s="17">
        <v>3</v>
      </c>
      <c r="J19" s="76">
        <f>HLOOKUP(J$17,[1]Anx!$C$8:$CO$37,$I19)</f>
        <v>95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108</v>
      </c>
      <c r="B20" s="61">
        <f>ROUNDDOWN(B18*J20/100,0)</f>
        <v>397</v>
      </c>
      <c r="C20" s="61">
        <f>ROUNDDOWN(C18*K20/100,0)</f>
        <v>14</v>
      </c>
      <c r="D20" s="61">
        <f>ROUNDDOWN(D18*L20/100,0)</f>
        <v>0</v>
      </c>
      <c r="E20" s="61">
        <f>ROUNDDOWN(E18*M20/100,0)</f>
        <v>0</v>
      </c>
      <c r="H20" t="s">
        <v>118</v>
      </c>
      <c r="I20" s="17">
        <v>4</v>
      </c>
      <c r="J20" s="76">
        <f>HLOOKUP(J$17,[1]Anx!$C$8:$CO$37,$I20)</f>
        <v>138</v>
      </c>
      <c r="K20" s="76">
        <f>HLOOKUP(K$17,[1]Anx!$C$8:$CO$37,$I20)</f>
        <v>100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130</v>
      </c>
      <c r="B21" s="61">
        <f>ROUNDDOWN((B20*(100-J21))/100,0)</f>
        <v>355</v>
      </c>
      <c r="C21" s="61">
        <f>ROUNDDOWN((C20*(100-K21))/100,0)</f>
        <v>13</v>
      </c>
      <c r="D21" s="61">
        <f>ROUNDDOWN((D20*(100-L21))/100,0)</f>
        <v>0</v>
      </c>
      <c r="E21" s="61">
        <f>ROUNDDOWN((E20*(100-M21))/100,0)</f>
        <v>0</v>
      </c>
      <c r="H21" t="s">
        <v>131</v>
      </c>
      <c r="I21" s="17">
        <v>5</v>
      </c>
      <c r="J21" s="76">
        <f>HLOOKUP(J$17,[1]Anx!$C$8:$CO$37,$I21)</f>
        <v>10.4</v>
      </c>
      <c r="K21" s="76">
        <f>HLOOKUP(K$17,[1]Anx!$C$8:$CO$37,$I21)</f>
        <v>5.9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103</v>
      </c>
      <c r="B22" s="61">
        <f>ROUNDDOWN(B17*J22/100,0)</f>
        <v>60</v>
      </c>
      <c r="C22" s="61">
        <f>ROUNDDOWN(C17*K22/100,0)</f>
        <v>3</v>
      </c>
      <c r="D22" s="61">
        <f>ROUNDDOWN(D17*L22/100,0)</f>
        <v>0</v>
      </c>
      <c r="E22" s="61">
        <f>ROUNDDOWN(E17*M22/100,0)</f>
        <v>0</v>
      </c>
      <c r="H22" t="s">
        <v>146</v>
      </c>
      <c r="I22" s="17">
        <v>6</v>
      </c>
      <c r="J22" s="76">
        <f>HLOOKUP(J$17,[1]Anx!$C$8:$CO$37,$I22)</f>
        <v>20</v>
      </c>
      <c r="K22" s="76">
        <f>HLOOKUP(K$17,[1]Anx!$C$8:$CO$37,$I22)</f>
        <v>18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104</v>
      </c>
      <c r="B23" s="61">
        <f>IF(J$23&gt;1,B22,0)</f>
        <v>60</v>
      </c>
      <c r="C23" s="61">
        <f>IF(K$23&gt;1,C22,0)</f>
        <v>3</v>
      </c>
      <c r="D23" s="61">
        <f>IF(L$23&gt;1,D22,0)</f>
        <v>0</v>
      </c>
      <c r="E23" s="61">
        <f>IF(M$23&gt;1,E22,0)</f>
        <v>0</v>
      </c>
      <c r="H23" t="s">
        <v>115</v>
      </c>
      <c r="I23" s="17">
        <v>7</v>
      </c>
      <c r="J23" s="76">
        <f>HLOOKUP(J$17,[1]Anx!$C$8:$CO$37,$I23)</f>
        <v>1.05</v>
      </c>
      <c r="K23" s="76">
        <f>HLOOKUP(K$17,[1]Anx!$C$8:$CO$37,$I23)</f>
        <v>3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105</v>
      </c>
      <c r="B24" s="61">
        <f>IF(J$23&gt;2,B23,0)</f>
        <v>0</v>
      </c>
      <c r="C24" s="61">
        <f>IF(K$23&gt;2,C23,0)</f>
        <v>3</v>
      </c>
      <c r="D24" s="61">
        <f>IF(L$23&gt;2,D23,0)</f>
        <v>0</v>
      </c>
      <c r="E24" s="61">
        <f>IF(M$23&gt;2,E23,0)</f>
        <v>0</v>
      </c>
      <c r="H24" t="s">
        <v>119</v>
      </c>
      <c r="I24" s="17">
        <v>8</v>
      </c>
      <c r="J24" s="76">
        <f>HLOOKUP(J$17,[1]Anx!$C$8:$CO$37,$I24)</f>
        <v>2.1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106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120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111</v>
      </c>
      <c r="B26" s="61">
        <f>ROUNDUP(B17*J24/100,0)</f>
        <v>7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121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122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147</v>
      </c>
      <c r="I27" s="17">
        <v>11</v>
      </c>
      <c r="J27" s="76">
        <f>HLOOKUP(J$17,[1]Anx!$C$8:$CO$37,$I27)</f>
        <v>0.08</v>
      </c>
      <c r="K27" s="76">
        <f>HLOOKUP(K$17,[1]Anx!$C$8:$CO$37,$I27)</f>
        <v>0.55000000000000004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123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148</v>
      </c>
      <c r="I28" s="17">
        <v>12</v>
      </c>
      <c r="J28" s="76">
        <f>HLOOKUP(J$17,[1]Anx!$C$8:$CO$37,$I28)</f>
        <v>0.08</v>
      </c>
      <c r="K28" s="76">
        <f>HLOOKUP(K$17,[1]Anx!$C$8:$CO$37,$I28)</f>
        <v>0.55000000000000004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124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125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126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127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132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128</v>
      </c>
      <c r="B35" s="61">
        <f>B19*J35</f>
        <v>37947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129</v>
      </c>
      <c r="I35" s="86">
        <v>13</v>
      </c>
      <c r="J35" s="76">
        <f>HLOOKUP(J$17,[1]Anx!$C$8:$CO$37,$I35)</f>
        <v>139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143</v>
      </c>
      <c r="B36" s="61">
        <f>ROUNDDOWN(B17*J36/100,0)</f>
        <v>15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144</v>
      </c>
      <c r="I36" s="86">
        <v>14</v>
      </c>
      <c r="J36" s="76">
        <f>HLOOKUP(J$17,[1]Anx!$C$8:$CO$37,$I36)</f>
        <v>5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133</v>
      </c>
      <c r="B37" s="61">
        <f>B22-B36</f>
        <v>45</v>
      </c>
      <c r="C37" s="61">
        <f>C22-C36</f>
        <v>3</v>
      </c>
      <c r="D37" s="61">
        <f t="shared" ref="D37:E37" si="1">D22-D36</f>
        <v>0</v>
      </c>
      <c r="E37" s="61">
        <f t="shared" si="1"/>
        <v>0</v>
      </c>
      <c r="H37" s="5" t="s">
        <v>145</v>
      </c>
      <c r="I37" s="86">
        <v>15</v>
      </c>
      <c r="J37" s="76">
        <f>HLOOKUP(J$17,[1]Anx!$C$8:$CO$37,$I37)</f>
        <v>50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134</v>
      </c>
      <c r="B38" s="61">
        <f>B26*J37/100</f>
        <v>3.5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135</v>
      </c>
      <c r="B39" s="61">
        <f>IF(J26=0,B21/2-B22,B21/2-B22-B30)</f>
        <v>117.5</v>
      </c>
      <c r="C39" s="61">
        <f t="shared" ref="C39:E39" si="2">IF(K26=0,C21/2-C22,C21/2-C22-C30)</f>
        <v>3.5</v>
      </c>
      <c r="D39" s="61">
        <f t="shared" si="2"/>
        <v>0</v>
      </c>
      <c r="E39" s="61">
        <f t="shared" si="2"/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136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137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138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139</v>
      </c>
      <c r="B43" s="61">
        <f>IF(J$27&lt;=1,B21/2,0)</f>
        <v>177.5</v>
      </c>
      <c r="C43" s="61">
        <f>IF(K$27&lt;=1,C21/2,0)</f>
        <v>6.5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140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141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142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151</v>
      </c>
      <c r="B49" s="75">
        <f>SUM(B50:B61)</f>
        <v>57.449999999999996</v>
      </c>
      <c r="C49" s="75">
        <f>SUM(C50:C61)</f>
        <v>21.4</v>
      </c>
      <c r="D49" s="75">
        <f>SUM(D50:D61)</f>
        <v>0</v>
      </c>
      <c r="E49" s="75">
        <f>SUM(E50:E61)</f>
        <v>0</v>
      </c>
      <c r="H49" s="23" t="s">
        <v>149</v>
      </c>
      <c r="I49" s="89"/>
      <c r="J49" s="21"/>
    </row>
    <row r="50" spans="1:13" x14ac:dyDescent="0.25">
      <c r="A50" s="5" t="s">
        <v>150</v>
      </c>
      <c r="B50" s="61">
        <f>B17*J50</f>
        <v>45.6</v>
      </c>
      <c r="C50" s="61">
        <f>C17*K50</f>
        <v>16.149999999999999</v>
      </c>
      <c r="D50" s="61">
        <f>D17*L50</f>
        <v>0</v>
      </c>
      <c r="E50" s="61">
        <f>E17*M50</f>
        <v>0</v>
      </c>
      <c r="H50" s="5" t="s">
        <v>150</v>
      </c>
      <c r="I50" s="86">
        <v>16</v>
      </c>
      <c r="J50" s="76">
        <f>HLOOKUP(J$17,[1]Anx!$C$8:$CO$37,$I50)</f>
        <v>0.15</v>
      </c>
      <c r="K50" s="76">
        <f>HLOOKUP(K$17,[1]Anx!$C$8:$CO$37,$I50)</f>
        <v>0.85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103</v>
      </c>
      <c r="B51" s="61">
        <f t="shared" ref="B51:B61" si="3">B22*J51</f>
        <v>1.7999999999999998</v>
      </c>
      <c r="C51" s="61">
        <f t="shared" ref="C51:C61" si="4">C22*K51</f>
        <v>1.0499999999999998</v>
      </c>
      <c r="D51" s="61">
        <f t="shared" ref="D51:D61" si="5">D22*L51</f>
        <v>0</v>
      </c>
      <c r="E51" s="61">
        <f t="shared" ref="E51:E61" si="6">E22*M51</f>
        <v>0</v>
      </c>
      <c r="H51" t="s">
        <v>103</v>
      </c>
      <c r="I51" s="17">
        <v>17</v>
      </c>
      <c r="J51" s="76">
        <f>HLOOKUP(J$17,[1]Anx!$C$8:$CO$37,$I51)</f>
        <v>0.03</v>
      </c>
      <c r="K51" s="76">
        <f>HLOOKUP(K$17,[1]Anx!$C$8:$CO$37,$I51)</f>
        <v>0.35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104</v>
      </c>
      <c r="B52" s="61">
        <f t="shared" si="3"/>
        <v>9</v>
      </c>
      <c r="C52" s="61">
        <f t="shared" si="4"/>
        <v>1.7999999999999998</v>
      </c>
      <c r="D52" s="61">
        <f t="shared" si="5"/>
        <v>0</v>
      </c>
      <c r="E52" s="61">
        <f t="shared" si="6"/>
        <v>0</v>
      </c>
      <c r="H52" t="s">
        <v>104</v>
      </c>
      <c r="I52" s="86">
        <v>18</v>
      </c>
      <c r="J52" s="76">
        <f>HLOOKUP(J$17,[1]Anx!$C$8:$CO$37,$I52)</f>
        <v>0.15</v>
      </c>
      <c r="K52" s="76">
        <f>HLOOKUP(K$17,[1]Anx!$C$8:$CO$37,$I52)</f>
        <v>0.6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105</v>
      </c>
      <c r="B53" s="61">
        <f t="shared" si="3"/>
        <v>0</v>
      </c>
      <c r="C53" s="61">
        <f t="shared" si="4"/>
        <v>2.4000000000000004</v>
      </c>
      <c r="D53" s="61">
        <f t="shared" si="5"/>
        <v>0</v>
      </c>
      <c r="E53" s="61">
        <f t="shared" si="6"/>
        <v>0</v>
      </c>
      <c r="H53" t="s">
        <v>105</v>
      </c>
      <c r="I53" s="17">
        <v>19</v>
      </c>
      <c r="J53" s="76">
        <f>HLOOKUP(J$17,[1]Anx!$C$8:$CO$37,$I53)</f>
        <v>0</v>
      </c>
      <c r="K53" s="76">
        <f>HLOOKUP(K$17,[1]Anx!$C$8:$CO$37,$I53)</f>
        <v>0.8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106</v>
      </c>
      <c r="B54" s="61">
        <f t="shared" si="3"/>
        <v>0</v>
      </c>
      <c r="C54" s="61">
        <f t="shared" si="4"/>
        <v>0</v>
      </c>
      <c r="D54" s="61">
        <f t="shared" si="5"/>
        <v>0</v>
      </c>
      <c r="E54" s="61">
        <f t="shared" si="6"/>
        <v>0</v>
      </c>
      <c r="H54" t="s">
        <v>106</v>
      </c>
      <c r="I54" s="86">
        <v>20</v>
      </c>
      <c r="J54" s="76">
        <f>HLOOKUP(J$17,[1]Anx!$C$8:$CO$37,$I54)</f>
        <v>0</v>
      </c>
      <c r="K54" s="76">
        <f>HLOOKUP(K$17,[1]Anx!$C$8:$CO$37,$I54)</f>
        <v>0.85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111</v>
      </c>
      <c r="B55" s="61">
        <f t="shared" si="3"/>
        <v>1.05</v>
      </c>
      <c r="C55" s="61">
        <f t="shared" si="4"/>
        <v>0</v>
      </c>
      <c r="D55" s="61">
        <f t="shared" si="5"/>
        <v>0</v>
      </c>
      <c r="E55" s="61">
        <f t="shared" si="6"/>
        <v>0</v>
      </c>
      <c r="H55" t="s">
        <v>111</v>
      </c>
      <c r="I55" s="17">
        <v>21</v>
      </c>
      <c r="J55" s="76">
        <f>HLOOKUP(J$17,[1]Anx!$C$8:$CO$37,$I55)</f>
        <v>0.15</v>
      </c>
      <c r="K55" s="76">
        <f>HLOOKUP(K$17,[1]Anx!$C$8:$CO$37,$I55)</f>
        <v>1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122</v>
      </c>
      <c r="B56" s="61">
        <f t="shared" si="3"/>
        <v>0</v>
      </c>
      <c r="C56" s="61">
        <f t="shared" si="4"/>
        <v>0</v>
      </c>
      <c r="D56" s="61">
        <f t="shared" si="5"/>
        <v>0</v>
      </c>
      <c r="E56" s="61">
        <f t="shared" si="6"/>
        <v>0</v>
      </c>
      <c r="H56" s="5" t="s">
        <v>122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123</v>
      </c>
      <c r="B57" s="61">
        <f t="shared" si="3"/>
        <v>0</v>
      </c>
      <c r="C57" s="61">
        <f t="shared" si="4"/>
        <v>0</v>
      </c>
      <c r="D57" s="61">
        <f t="shared" si="5"/>
        <v>0</v>
      </c>
      <c r="E57" s="61">
        <f t="shared" si="6"/>
        <v>0</v>
      </c>
      <c r="H57" s="5" t="s">
        <v>123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124</v>
      </c>
      <c r="B58" s="61">
        <f t="shared" si="3"/>
        <v>0</v>
      </c>
      <c r="C58" s="61">
        <f t="shared" si="4"/>
        <v>0</v>
      </c>
      <c r="D58" s="61">
        <f t="shared" si="5"/>
        <v>0</v>
      </c>
      <c r="E58" s="61">
        <f t="shared" si="6"/>
        <v>0</v>
      </c>
      <c r="H58" s="5" t="s">
        <v>124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125</v>
      </c>
      <c r="B59" s="61">
        <f t="shared" si="3"/>
        <v>0</v>
      </c>
      <c r="C59" s="61">
        <f t="shared" si="4"/>
        <v>0</v>
      </c>
      <c r="D59" s="61">
        <f t="shared" si="5"/>
        <v>0</v>
      </c>
      <c r="E59" s="61">
        <f t="shared" si="6"/>
        <v>0</v>
      </c>
      <c r="H59" s="5" t="s">
        <v>125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126</v>
      </c>
      <c r="B60" s="61">
        <f t="shared" si="3"/>
        <v>0</v>
      </c>
      <c r="C60" s="61">
        <f t="shared" si="4"/>
        <v>0</v>
      </c>
      <c r="D60" s="61">
        <f t="shared" si="5"/>
        <v>0</v>
      </c>
      <c r="E60" s="61">
        <f t="shared" si="6"/>
        <v>0</v>
      </c>
      <c r="H60" s="5" t="s">
        <v>126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127</v>
      </c>
      <c r="B61" s="61">
        <f t="shared" si="3"/>
        <v>0</v>
      </c>
      <c r="C61" s="61">
        <f t="shared" si="4"/>
        <v>0</v>
      </c>
      <c r="D61" s="61">
        <f t="shared" si="5"/>
        <v>0</v>
      </c>
      <c r="E61" s="61">
        <f t="shared" si="6"/>
        <v>0</v>
      </c>
      <c r="H61" s="5" t="s">
        <v>127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296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282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281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288</v>
      </c>
      <c r="B66" s="61">
        <f>B17*J66</f>
        <v>0</v>
      </c>
      <c r="C66" s="61">
        <f>C17*K66</f>
        <v>11.4</v>
      </c>
      <c r="D66" s="61">
        <f>D17*L66</f>
        <v>0</v>
      </c>
      <c r="E66" s="61">
        <f>E17*M66</f>
        <v>0</v>
      </c>
      <c r="F66"/>
      <c r="G66"/>
      <c r="H66" t="s">
        <v>291</v>
      </c>
      <c r="I66" s="17">
        <v>9</v>
      </c>
      <c r="J66" s="76">
        <f>HLOOKUP(J$17,[1]Anx!$C$36:$CO$48,$I66)</f>
        <v>0</v>
      </c>
      <c r="K66" s="76">
        <f>HLOOKUP(K$17,[1]Anx!$C$36:$CO$48,$I66)</f>
        <v>0.6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295</v>
      </c>
      <c r="B67" s="58"/>
      <c r="C67" s="58"/>
      <c r="D67" s="58"/>
      <c r="E67" s="58"/>
      <c r="F67"/>
      <c r="G67"/>
      <c r="H67" t="s">
        <v>297</v>
      </c>
      <c r="I67" s="17">
        <v>11</v>
      </c>
      <c r="J67" s="76">
        <f>HLOOKUP(J$17,[1]Anx!$C$36:$CO$48,$I67)</f>
        <v>5</v>
      </c>
      <c r="K67" s="76">
        <f>HLOOKUP(K$17,[1]Anx!$C$36:$CO$48,$I67)</f>
        <v>5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288</v>
      </c>
      <c r="B68" s="61">
        <f>B66*(1+J67/100)</f>
        <v>0</v>
      </c>
      <c r="C68" s="61">
        <f t="shared" ref="C68:E68" si="7">C66*(1+K67/100)</f>
        <v>11.97</v>
      </c>
      <c r="D68" s="61">
        <f t="shared" si="7"/>
        <v>0</v>
      </c>
      <c r="E68" s="61">
        <f t="shared" si="7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241</v>
      </c>
    </row>
    <row r="72" spans="1:13" x14ac:dyDescent="0.25">
      <c r="A72" t="s">
        <v>227</v>
      </c>
      <c r="B72" s="61">
        <f>B$17*J72</f>
        <v>9667.2000000000007</v>
      </c>
      <c r="C72" s="61">
        <f t="shared" ref="C72:E76" si="8">C$17*K72</f>
        <v>5282</v>
      </c>
      <c r="D72" s="61">
        <f t="shared" si="8"/>
        <v>0</v>
      </c>
      <c r="E72" s="61">
        <f t="shared" si="8"/>
        <v>0</v>
      </c>
      <c r="H72" t="s">
        <v>227</v>
      </c>
      <c r="I72" s="17">
        <v>2</v>
      </c>
      <c r="J72" s="76">
        <f>HLOOKUP(J$17,[1]Anx!$C$50:$CO$85,$I72)</f>
        <v>31.8</v>
      </c>
      <c r="K72" s="76">
        <f>HLOOKUP(K$17,[1]Anx!$C$50:$CO$85,$I72)</f>
        <v>278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228</v>
      </c>
      <c r="B73" s="61">
        <f t="shared" ref="B73:B76" si="9">B$17*J73</f>
        <v>20915.2</v>
      </c>
      <c r="C73" s="61">
        <f t="shared" si="8"/>
        <v>2242</v>
      </c>
      <c r="D73" s="61">
        <f t="shared" si="8"/>
        <v>0</v>
      </c>
      <c r="E73" s="61">
        <f t="shared" si="8"/>
        <v>0</v>
      </c>
      <c r="H73" t="s">
        <v>228</v>
      </c>
      <c r="I73" s="17">
        <v>3</v>
      </c>
      <c r="J73" s="76">
        <f>HLOOKUP(J$17,[1]Anx!$C$50:$CO$85,$I73)</f>
        <v>68.8</v>
      </c>
      <c r="K73" s="76">
        <f>HLOOKUP(K$17,[1]Anx!$C$50:$CO$85,$I73)</f>
        <v>118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229</v>
      </c>
      <c r="B74" s="61">
        <f t="shared" si="9"/>
        <v>3404.7999999999997</v>
      </c>
      <c r="C74" s="61">
        <f t="shared" si="8"/>
        <v>0</v>
      </c>
      <c r="D74" s="61">
        <f t="shared" si="8"/>
        <v>0</v>
      </c>
      <c r="E74" s="61">
        <f t="shared" si="8"/>
        <v>0</v>
      </c>
      <c r="H74" t="s">
        <v>229</v>
      </c>
      <c r="I74" s="17">
        <v>4</v>
      </c>
      <c r="J74" s="76">
        <f>HLOOKUP(J$17,[1]Anx!$C$50:$CO$85,$I74)</f>
        <v>11.2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354</v>
      </c>
      <c r="B75" s="61">
        <f t="shared" si="9"/>
        <v>0</v>
      </c>
      <c r="C75" s="61">
        <f t="shared" si="8"/>
        <v>0</v>
      </c>
      <c r="D75" s="61">
        <f t="shared" si="8"/>
        <v>0</v>
      </c>
      <c r="E75" s="61">
        <f t="shared" si="8"/>
        <v>0</v>
      </c>
      <c r="H75" t="s">
        <v>230</v>
      </c>
      <c r="I75" s="17">
        <v>5</v>
      </c>
      <c r="J75" s="76">
        <f>HLOOKUP(J$17,[1]Anx!$C$50:$CO$85,$I75)</f>
        <v>0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355</v>
      </c>
      <c r="B76" s="61">
        <f t="shared" si="9"/>
        <v>0</v>
      </c>
      <c r="C76" s="61">
        <f t="shared" si="8"/>
        <v>0</v>
      </c>
      <c r="D76" s="61">
        <f t="shared" si="8"/>
        <v>0</v>
      </c>
      <c r="E76" s="61">
        <f t="shared" si="8"/>
        <v>0</v>
      </c>
      <c r="H76" t="s">
        <v>231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230</v>
      </c>
      <c r="B77" s="61">
        <f>B$22*J77</f>
        <v>6660</v>
      </c>
      <c r="C77" s="61">
        <f t="shared" ref="C77:E81" si="10">C$22*K77</f>
        <v>0</v>
      </c>
      <c r="D77" s="61">
        <f t="shared" si="10"/>
        <v>0</v>
      </c>
      <c r="E77" s="61">
        <f t="shared" si="10"/>
        <v>0</v>
      </c>
      <c r="H77" t="s">
        <v>236</v>
      </c>
      <c r="I77" s="17">
        <v>7</v>
      </c>
      <c r="J77" s="76">
        <f>HLOOKUP(J$17,[1]Anx!$C$50:$CO$85,$I77)</f>
        <v>111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231</v>
      </c>
      <c r="B78" s="61">
        <f t="shared" ref="B78:B81" si="11">B$22*J78</f>
        <v>780</v>
      </c>
      <c r="C78" s="61">
        <f t="shared" si="10"/>
        <v>0</v>
      </c>
      <c r="D78" s="61">
        <f t="shared" si="10"/>
        <v>0</v>
      </c>
      <c r="E78" s="61">
        <f t="shared" si="10"/>
        <v>0</v>
      </c>
      <c r="H78" t="s">
        <v>237</v>
      </c>
      <c r="I78" s="17">
        <v>8</v>
      </c>
      <c r="J78" s="76">
        <f>HLOOKUP(J$17,[1]Anx!$C$50:$CO$85,$I78)</f>
        <v>13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356</v>
      </c>
      <c r="B79" s="61">
        <f t="shared" si="11"/>
        <v>0</v>
      </c>
      <c r="C79" s="61">
        <f t="shared" si="10"/>
        <v>0</v>
      </c>
      <c r="D79" s="61">
        <f t="shared" si="10"/>
        <v>0</v>
      </c>
      <c r="E79" s="61">
        <f t="shared" si="10"/>
        <v>0</v>
      </c>
      <c r="H79" t="s">
        <v>239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357</v>
      </c>
      <c r="B80" s="61">
        <f t="shared" si="11"/>
        <v>0</v>
      </c>
      <c r="C80" s="61">
        <f t="shared" si="10"/>
        <v>0</v>
      </c>
      <c r="D80" s="61">
        <f t="shared" si="10"/>
        <v>0</v>
      </c>
      <c r="E80" s="61">
        <f t="shared" si="10"/>
        <v>0</v>
      </c>
      <c r="H80" t="s">
        <v>238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358</v>
      </c>
      <c r="B81" s="61">
        <f t="shared" si="11"/>
        <v>0</v>
      </c>
      <c r="C81" s="61">
        <f t="shared" si="10"/>
        <v>0</v>
      </c>
      <c r="D81" s="61">
        <f t="shared" si="10"/>
        <v>0</v>
      </c>
      <c r="E81" s="61">
        <f t="shared" si="10"/>
        <v>0</v>
      </c>
      <c r="H81" t="s">
        <v>240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236</v>
      </c>
      <c r="B82" s="61">
        <f>(B$21/2)*J82</f>
        <v>0</v>
      </c>
      <c r="C82" s="61">
        <f t="shared" ref="C82:E91" si="12">(C$21/2)*K82</f>
        <v>0</v>
      </c>
      <c r="D82" s="61">
        <f t="shared" si="12"/>
        <v>0</v>
      </c>
      <c r="E82" s="61">
        <f t="shared" si="12"/>
        <v>0</v>
      </c>
      <c r="H82" t="s">
        <v>232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237</v>
      </c>
      <c r="B83" s="61">
        <f t="shared" ref="B83:B91" si="13">(B$21/2)*J83</f>
        <v>0</v>
      </c>
      <c r="C83" s="61">
        <f t="shared" si="12"/>
        <v>0</v>
      </c>
      <c r="D83" s="61">
        <f t="shared" si="12"/>
        <v>0</v>
      </c>
      <c r="E83" s="61">
        <f t="shared" si="12"/>
        <v>0</v>
      </c>
      <c r="H83" t="s">
        <v>233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359</v>
      </c>
      <c r="B84" s="61">
        <f t="shared" si="13"/>
        <v>0</v>
      </c>
      <c r="C84" s="61">
        <f t="shared" si="12"/>
        <v>0</v>
      </c>
      <c r="D84" s="61">
        <f t="shared" si="12"/>
        <v>0</v>
      </c>
      <c r="E84" s="61">
        <f t="shared" si="12"/>
        <v>0</v>
      </c>
      <c r="H84" t="s">
        <v>234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360</v>
      </c>
      <c r="B85" s="61">
        <f t="shared" si="13"/>
        <v>0</v>
      </c>
      <c r="C85" s="61">
        <f t="shared" si="12"/>
        <v>0</v>
      </c>
      <c r="D85" s="61">
        <f t="shared" si="12"/>
        <v>0</v>
      </c>
      <c r="E85" s="61">
        <f t="shared" si="12"/>
        <v>0</v>
      </c>
      <c r="H85" t="s">
        <v>235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361</v>
      </c>
      <c r="B86" s="61">
        <f t="shared" si="13"/>
        <v>0</v>
      </c>
      <c r="C86" s="61">
        <f t="shared" si="12"/>
        <v>0</v>
      </c>
      <c r="D86" s="61">
        <f t="shared" si="12"/>
        <v>0</v>
      </c>
      <c r="E86" s="61">
        <f t="shared" si="12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239</v>
      </c>
      <c r="B87" s="61">
        <f t="shared" si="13"/>
        <v>0</v>
      </c>
      <c r="C87" s="61">
        <f t="shared" si="12"/>
        <v>0</v>
      </c>
      <c r="D87" s="61">
        <f t="shared" si="12"/>
        <v>0</v>
      </c>
      <c r="E87" s="61">
        <f t="shared" si="12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238</v>
      </c>
      <c r="B88" s="61">
        <f t="shared" si="13"/>
        <v>0</v>
      </c>
      <c r="C88" s="61">
        <f t="shared" si="12"/>
        <v>0</v>
      </c>
      <c r="D88" s="61">
        <f t="shared" si="12"/>
        <v>0</v>
      </c>
      <c r="E88" s="61">
        <f t="shared" si="12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362</v>
      </c>
      <c r="B89" s="61">
        <f t="shared" si="13"/>
        <v>0</v>
      </c>
      <c r="C89" s="61">
        <f t="shared" si="12"/>
        <v>0</v>
      </c>
      <c r="D89" s="61">
        <f t="shared" si="12"/>
        <v>0</v>
      </c>
      <c r="E89" s="61">
        <f t="shared" si="12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363</v>
      </c>
      <c r="B90" s="61">
        <f t="shared" si="13"/>
        <v>0</v>
      </c>
      <c r="C90" s="61">
        <f t="shared" si="12"/>
        <v>0</v>
      </c>
      <c r="D90" s="61">
        <f t="shared" si="12"/>
        <v>0</v>
      </c>
      <c r="E90" s="61">
        <f t="shared" si="12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364</v>
      </c>
      <c r="B91" s="61">
        <f t="shared" si="13"/>
        <v>0</v>
      </c>
      <c r="C91" s="61">
        <f t="shared" si="12"/>
        <v>0</v>
      </c>
      <c r="D91" s="61">
        <f t="shared" si="12"/>
        <v>0</v>
      </c>
      <c r="E91" s="61">
        <f t="shared" si="12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365</v>
      </c>
      <c r="B92" s="61">
        <f>B$26*J92</f>
        <v>0</v>
      </c>
      <c r="C92" s="61">
        <f t="shared" ref="C92:E92" si="14">C$26*K92</f>
        <v>0</v>
      </c>
      <c r="D92" s="61">
        <f t="shared" si="14"/>
        <v>0</v>
      </c>
      <c r="E92" s="61">
        <f t="shared" si="14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366</v>
      </c>
      <c r="B93" s="61">
        <f>B$26*J93</f>
        <v>0</v>
      </c>
      <c r="C93" s="61">
        <f t="shared" ref="C93:E96" si="15">C$26*K93</f>
        <v>0</v>
      </c>
      <c r="D93" s="61">
        <f t="shared" si="15"/>
        <v>0</v>
      </c>
      <c r="E93" s="61">
        <f t="shared" si="15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367</v>
      </c>
      <c r="B94" s="61">
        <f t="shared" ref="B94:B96" si="16">B$26*J94</f>
        <v>0</v>
      </c>
      <c r="C94" s="61">
        <f t="shared" si="15"/>
        <v>0</v>
      </c>
      <c r="D94" s="61">
        <f t="shared" si="15"/>
        <v>0</v>
      </c>
      <c r="E94" s="61">
        <f t="shared" si="15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368</v>
      </c>
      <c r="B95" s="61">
        <f t="shared" si="16"/>
        <v>0</v>
      </c>
      <c r="C95" s="61">
        <f t="shared" si="15"/>
        <v>0</v>
      </c>
      <c r="D95" s="61">
        <f t="shared" si="15"/>
        <v>0</v>
      </c>
      <c r="E95" s="61">
        <f t="shared" si="15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369</v>
      </c>
      <c r="B96" s="61">
        <f t="shared" si="16"/>
        <v>0</v>
      </c>
      <c r="C96" s="61">
        <f t="shared" si="15"/>
        <v>0</v>
      </c>
      <c r="D96" s="61">
        <f t="shared" si="15"/>
        <v>0</v>
      </c>
      <c r="E96" s="61">
        <f t="shared" si="15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232</v>
      </c>
      <c r="B97" s="61">
        <f>B$30*J97</f>
        <v>0</v>
      </c>
      <c r="C97" s="61">
        <f t="shared" ref="C97:E101" si="17">C$30*K97</f>
        <v>0</v>
      </c>
      <c r="D97" s="61">
        <f t="shared" si="17"/>
        <v>0</v>
      </c>
      <c r="E97" s="61">
        <f t="shared" si="17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233</v>
      </c>
      <c r="B98" s="61">
        <f t="shared" ref="B98:B101" si="18">B$30*J98</f>
        <v>0</v>
      </c>
      <c r="C98" s="61">
        <f t="shared" si="17"/>
        <v>0</v>
      </c>
      <c r="D98" s="61">
        <f t="shared" si="17"/>
        <v>0</v>
      </c>
      <c r="E98" s="61">
        <f t="shared" si="17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370</v>
      </c>
      <c r="B99" s="61">
        <f t="shared" si="18"/>
        <v>0</v>
      </c>
      <c r="C99" s="61">
        <f t="shared" si="17"/>
        <v>0</v>
      </c>
      <c r="D99" s="61">
        <f t="shared" si="17"/>
        <v>0</v>
      </c>
      <c r="E99" s="61">
        <f t="shared" si="17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371</v>
      </c>
      <c r="B100" s="61">
        <f t="shared" si="18"/>
        <v>0</v>
      </c>
      <c r="C100" s="61">
        <f t="shared" si="17"/>
        <v>0</v>
      </c>
      <c r="D100" s="61">
        <f t="shared" si="17"/>
        <v>0</v>
      </c>
      <c r="E100" s="61">
        <f t="shared" si="17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372</v>
      </c>
      <c r="B101" s="61">
        <f t="shared" si="18"/>
        <v>0</v>
      </c>
      <c r="C101" s="61">
        <f t="shared" si="17"/>
        <v>0</v>
      </c>
      <c r="D101" s="61">
        <f t="shared" si="17"/>
        <v>0</v>
      </c>
      <c r="E101" s="61">
        <f t="shared" si="17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234</v>
      </c>
      <c r="B102" s="61">
        <f>B$27*J102</f>
        <v>0</v>
      </c>
      <c r="C102" s="61">
        <f t="shared" ref="C102:E106" si="19">C$27*K102</f>
        <v>0</v>
      </c>
      <c r="D102" s="61">
        <f t="shared" si="19"/>
        <v>0</v>
      </c>
      <c r="E102" s="61">
        <f t="shared" si="19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235</v>
      </c>
      <c r="B103" s="61">
        <f t="shared" ref="B103:B106" si="20">B$27*J103</f>
        <v>0</v>
      </c>
      <c r="C103" s="61">
        <f t="shared" si="19"/>
        <v>0</v>
      </c>
      <c r="D103" s="61">
        <f t="shared" si="19"/>
        <v>0</v>
      </c>
      <c r="E103" s="61">
        <f t="shared" si="19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373</v>
      </c>
      <c r="B104" s="61">
        <f t="shared" si="20"/>
        <v>0</v>
      </c>
      <c r="C104" s="61">
        <f t="shared" si="19"/>
        <v>0</v>
      </c>
      <c r="D104" s="61">
        <f t="shared" si="19"/>
        <v>0</v>
      </c>
      <c r="E104" s="61">
        <f t="shared" si="19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374</v>
      </c>
      <c r="B105" s="61">
        <f t="shared" si="20"/>
        <v>0</v>
      </c>
      <c r="C105" s="61">
        <f t="shared" si="19"/>
        <v>0</v>
      </c>
      <c r="D105" s="61">
        <f t="shared" si="19"/>
        <v>0</v>
      </c>
      <c r="E105" s="61">
        <f t="shared" si="19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375</v>
      </c>
      <c r="B106" s="61">
        <f t="shared" si="20"/>
        <v>0</v>
      </c>
      <c r="C106" s="61">
        <f t="shared" si="19"/>
        <v>0</v>
      </c>
      <c r="D106" s="61">
        <f t="shared" si="19"/>
        <v>0</v>
      </c>
      <c r="E106" s="61">
        <f t="shared" si="19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zoomScaleNormal="100" workbookViewId="0">
      <pane ySplit="1" topLeftCell="A40" activePane="bottomLeft" state="frozen"/>
      <selection pane="bottomLeft" activeCell="J55" sqref="B55:J55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428</v>
      </c>
      <c r="B1" s="296" t="s">
        <v>2</v>
      </c>
      <c r="C1" s="296"/>
      <c r="D1" s="296" t="s">
        <v>0</v>
      </c>
      <c r="E1" s="296"/>
      <c r="F1" s="296" t="s">
        <v>1</v>
      </c>
      <c r="G1" s="296"/>
      <c r="H1" s="296" t="s">
        <v>3</v>
      </c>
      <c r="I1" s="296"/>
      <c r="J1" s="296" t="s">
        <v>4</v>
      </c>
      <c r="K1" s="296"/>
      <c r="L1" s="296" t="s">
        <v>5</v>
      </c>
      <c r="M1" s="296"/>
      <c r="N1" s="296" t="s">
        <v>6</v>
      </c>
      <c r="O1" s="296"/>
      <c r="P1" s="296" t="s">
        <v>7</v>
      </c>
      <c r="Q1" s="296"/>
      <c r="R1" s="296" t="s">
        <v>8</v>
      </c>
      <c r="S1" s="296"/>
      <c r="T1" s="296" t="s">
        <v>9</v>
      </c>
      <c r="U1" s="296"/>
      <c r="V1" s="296" t="s">
        <v>10</v>
      </c>
      <c r="W1" s="296"/>
      <c r="X1" s="296" t="s">
        <v>11</v>
      </c>
      <c r="Y1" s="296"/>
      <c r="Z1" s="21"/>
      <c r="AA1" t="s">
        <v>176</v>
      </c>
      <c r="AK1" t="s">
        <v>1428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1429</v>
      </c>
      <c r="AI2" s="1">
        <v>230</v>
      </c>
      <c r="AK2" s="50" t="s">
        <v>226</v>
      </c>
      <c r="AL2" s="60">
        <v>200</v>
      </c>
      <c r="AM2" s="60">
        <v>198</v>
      </c>
      <c r="AN2" s="60">
        <v>196</v>
      </c>
      <c r="AO2" s="60">
        <v>195</v>
      </c>
      <c r="AP2" s="60">
        <v>194</v>
      </c>
      <c r="AQ2" s="60">
        <v>193</v>
      </c>
      <c r="AR2" s="60">
        <v>192</v>
      </c>
      <c r="AS2" s="60">
        <v>191</v>
      </c>
      <c r="AT2" s="60">
        <v>189</v>
      </c>
      <c r="AU2" s="60">
        <v>193</v>
      </c>
      <c r="AV2" s="60">
        <v>193</v>
      </c>
      <c r="AW2" s="60">
        <v>193</v>
      </c>
      <c r="AX2" s="60">
        <v>193</v>
      </c>
      <c r="AY2" s="60">
        <v>193</v>
      </c>
      <c r="AZ2" s="60">
        <v>193</v>
      </c>
      <c r="BA2" s="60">
        <v>193</v>
      </c>
      <c r="BB2" s="60">
        <v>193</v>
      </c>
      <c r="BC2" s="60">
        <v>193</v>
      </c>
      <c r="BD2" s="60">
        <v>193</v>
      </c>
      <c r="BE2" s="60">
        <f>193-9-9-6+42</f>
        <v>211</v>
      </c>
      <c r="BF2" s="60">
        <v>211</v>
      </c>
      <c r="BG2" s="60">
        <f>211-11</f>
        <v>200</v>
      </c>
      <c r="BH2" s="60">
        <f t="shared" ref="BH2:BI2" si="0">211-11</f>
        <v>200</v>
      </c>
      <c r="BI2" s="60">
        <f t="shared" si="0"/>
        <v>200</v>
      </c>
    </row>
    <row r="3" spans="1:61" x14ac:dyDescent="0.25">
      <c r="A3" t="s">
        <v>175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19</v>
      </c>
      <c r="AM3" s="60">
        <v>19</v>
      </c>
      <c r="AN3" s="60">
        <v>19</v>
      </c>
      <c r="AO3" s="60">
        <v>19</v>
      </c>
      <c r="AP3" s="60">
        <v>19</v>
      </c>
      <c r="AQ3" s="60">
        <v>19</v>
      </c>
      <c r="AR3" s="60">
        <v>19</v>
      </c>
      <c r="AS3" s="60">
        <v>19</v>
      </c>
      <c r="AT3" s="60">
        <v>19</v>
      </c>
      <c r="AU3" s="60">
        <v>0</v>
      </c>
      <c r="AV3" s="60">
        <v>0</v>
      </c>
      <c r="AW3" s="60">
        <v>0</v>
      </c>
      <c r="AX3" s="60">
        <v>0</v>
      </c>
      <c r="AY3" s="60">
        <v>0</v>
      </c>
      <c r="AZ3" s="60">
        <v>0</v>
      </c>
      <c r="BA3" s="60">
        <v>0</v>
      </c>
      <c r="BB3" s="60">
        <v>0</v>
      </c>
      <c r="BC3" s="60">
        <v>0</v>
      </c>
      <c r="BD3" s="60">
        <v>0</v>
      </c>
      <c r="BE3" s="60">
        <f>9+10</f>
        <v>19</v>
      </c>
      <c r="BF3" s="60">
        <f>9+10</f>
        <v>19</v>
      </c>
      <c r="BG3" s="60">
        <v>19</v>
      </c>
      <c r="BH3" s="60">
        <v>19</v>
      </c>
      <c r="BI3" s="60">
        <v>19</v>
      </c>
    </row>
    <row r="4" spans="1:61" x14ac:dyDescent="0.25">
      <c r="A4" s="2" t="s">
        <v>327</v>
      </c>
      <c r="AC4" t="s">
        <v>181</v>
      </c>
      <c r="AF4" s="289">
        <f>Troupeau!J17</f>
        <v>8</v>
      </c>
      <c r="AK4" s="50" t="s">
        <v>156</v>
      </c>
      <c r="AL4" s="60">
        <v>52</v>
      </c>
      <c r="AM4" s="60">
        <v>52</v>
      </c>
      <c r="AN4" s="60">
        <v>52</v>
      </c>
      <c r="AO4" s="60">
        <v>52</v>
      </c>
      <c r="AP4" s="60">
        <v>52</v>
      </c>
      <c r="AQ4" s="60">
        <v>52</v>
      </c>
      <c r="AR4" s="60">
        <v>52</v>
      </c>
      <c r="AS4" s="60">
        <v>52</v>
      </c>
      <c r="AT4" s="60">
        <v>52</v>
      </c>
      <c r="AU4" s="60">
        <v>52</v>
      </c>
      <c r="AV4" s="60">
        <v>52</v>
      </c>
      <c r="AW4" s="60">
        <v>52</v>
      </c>
      <c r="AX4" s="60">
        <v>52</v>
      </c>
      <c r="AY4" s="60">
        <v>52</v>
      </c>
      <c r="AZ4" s="60">
        <v>52</v>
      </c>
      <c r="BA4" s="60">
        <v>52</v>
      </c>
      <c r="BB4" s="60">
        <v>52</v>
      </c>
      <c r="BC4" s="60">
        <v>52</v>
      </c>
      <c r="BD4" s="60">
        <v>52</v>
      </c>
      <c r="BE4" s="60">
        <v>0</v>
      </c>
      <c r="BF4" s="60">
        <v>0</v>
      </c>
      <c r="BG4" s="60">
        <v>52</v>
      </c>
      <c r="BH4" s="60">
        <v>52</v>
      </c>
      <c r="BI4" s="60">
        <v>52</v>
      </c>
    </row>
    <row r="5" spans="1:61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>
        <v>1</v>
      </c>
      <c r="L5" s="60">
        <v>1</v>
      </c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>
        <v>1</v>
      </c>
      <c r="S5" s="60">
        <v>1</v>
      </c>
      <c r="T5" s="60">
        <v>1</v>
      </c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4.5999999999999996</v>
      </c>
      <c r="AG5" s="5"/>
      <c r="AK5" s="50" t="s">
        <v>157</v>
      </c>
      <c r="AL5" s="60">
        <v>6</v>
      </c>
      <c r="AM5" s="60">
        <v>6</v>
      </c>
      <c r="AN5" s="60">
        <v>6</v>
      </c>
      <c r="AO5" s="60">
        <v>6</v>
      </c>
      <c r="AP5" s="60">
        <v>6</v>
      </c>
      <c r="AQ5" s="60">
        <v>6</v>
      </c>
      <c r="AR5" s="60">
        <v>6</v>
      </c>
      <c r="AS5" s="60">
        <v>6</v>
      </c>
      <c r="AT5" s="60">
        <v>6</v>
      </c>
      <c r="AU5" s="60">
        <v>0</v>
      </c>
      <c r="AV5" s="60">
        <v>0</v>
      </c>
      <c r="AW5" s="60">
        <v>0</v>
      </c>
      <c r="AX5" s="60">
        <v>0</v>
      </c>
      <c r="AY5" s="60">
        <v>0</v>
      </c>
      <c r="AZ5" s="60">
        <v>0</v>
      </c>
      <c r="BA5" s="60">
        <v>0</v>
      </c>
      <c r="BB5" s="60">
        <v>0</v>
      </c>
      <c r="BC5" s="60">
        <v>0</v>
      </c>
      <c r="BD5" s="60">
        <v>0</v>
      </c>
      <c r="BE5" s="60">
        <v>6</v>
      </c>
      <c r="BF5" s="60">
        <v>6</v>
      </c>
      <c r="BG5" s="60">
        <v>6</v>
      </c>
      <c r="BH5" s="60">
        <v>6</v>
      </c>
      <c r="BI5" s="60">
        <v>6</v>
      </c>
    </row>
    <row r="6" spans="1:61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10.07</v>
      </c>
      <c r="AG6" t="s">
        <v>192</v>
      </c>
      <c r="AK6" s="50" t="s">
        <v>158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16.190000000000001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/>
      <c r="N8" s="60"/>
      <c r="O8" s="60"/>
      <c r="P8" s="60"/>
      <c r="Q8" s="60"/>
      <c r="R8" s="60"/>
      <c r="S8" s="60"/>
      <c r="T8" s="60"/>
      <c r="U8" s="60"/>
      <c r="V8" s="60"/>
      <c r="W8" s="60">
        <v>1</v>
      </c>
      <c r="X8" s="60">
        <v>1</v>
      </c>
      <c r="Y8" s="60">
        <v>1</v>
      </c>
      <c r="Z8" s="52"/>
      <c r="AC8" t="s">
        <v>199</v>
      </c>
      <c r="AD8">
        <v>3</v>
      </c>
      <c r="AE8" s="17">
        <v>5</v>
      </c>
      <c r="AF8" s="125">
        <f>HLOOKUP(AF$4,[1]Anx!$C$36:$CO$48,AE8)</f>
        <v>7.91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437</v>
      </c>
      <c r="B9" s="60"/>
      <c r="C9" s="60"/>
      <c r="D9" s="60"/>
      <c r="E9" s="60"/>
      <c r="F9" s="60"/>
      <c r="G9" s="60"/>
      <c r="H9" s="60"/>
      <c r="I9" s="60"/>
      <c r="J9" s="60">
        <v>1</v>
      </c>
      <c r="K9" s="60">
        <v>1</v>
      </c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14.3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10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438</v>
      </c>
      <c r="B15" s="60">
        <f>CdTrp1!AL2*Troupeau!$B$17/CdTrp1!$AI$2</f>
        <v>264.3478260869565</v>
      </c>
      <c r="C15" s="60">
        <f>CdTrp1!AM2*Troupeau!$B$17/CdTrp1!$AI$2</f>
        <v>261.70434782608697</v>
      </c>
      <c r="D15" s="60">
        <f>CdTrp1!AN2*Troupeau!$B$17/CdTrp1!$AI$2</f>
        <v>259.06086956521739</v>
      </c>
      <c r="E15" s="60">
        <f>CdTrp1!AO2*Troupeau!$B$17/CdTrp1!$AI$2</f>
        <v>257.73913043478262</v>
      </c>
      <c r="F15" s="60">
        <f>CdTrp1!AP2*Troupeau!$B$17/CdTrp1!$AI$2</f>
        <v>256.4173913043478</v>
      </c>
      <c r="G15" s="60">
        <f>CdTrp1!AQ2*Troupeau!$B$17/CdTrp1!$AI$2</f>
        <v>255.09565217391304</v>
      </c>
      <c r="H15" s="60">
        <f>CdTrp1!AR2*Troupeau!$B$17/CdTrp1!$AI$2</f>
        <v>253.77391304347827</v>
      </c>
      <c r="I15" s="60">
        <f>CdTrp1!AS2*Troupeau!$B$17/CdTrp1!$AI$2</f>
        <v>252.45217391304348</v>
      </c>
      <c r="J15" s="60">
        <f>CdTrp1!AT2*Troupeau!$B$17/CdTrp1!$AI$2</f>
        <v>249.80869565217392</v>
      </c>
      <c r="K15" s="60">
        <f>CdTrp1!AU2*Troupeau!$B$17/CdTrp1!$AI$2</f>
        <v>255.09565217391304</v>
      </c>
      <c r="L15" s="60">
        <f>CdTrp1!AV2*Troupeau!$B$17/CdTrp1!$AI$2</f>
        <v>255.09565217391304</v>
      </c>
      <c r="M15" s="60">
        <f>CdTrp1!AW2*Troupeau!$B$17/CdTrp1!$AI$2</f>
        <v>255.09565217391304</v>
      </c>
      <c r="N15" s="60">
        <f>CdTrp1!AX2*Troupeau!$B$17/CdTrp1!$AI$2</f>
        <v>255.09565217391304</v>
      </c>
      <c r="O15" s="60">
        <f>CdTrp1!AY2*Troupeau!$B$17/CdTrp1!$AI$2</f>
        <v>255.09565217391304</v>
      </c>
      <c r="P15" s="60">
        <f>CdTrp1!AZ2*Troupeau!$B$17/CdTrp1!$AI$2</f>
        <v>255.09565217391304</v>
      </c>
      <c r="Q15" s="60">
        <f>CdTrp1!BA2*Troupeau!$B$17/CdTrp1!$AI$2</f>
        <v>255.09565217391304</v>
      </c>
      <c r="R15" s="60">
        <f>CdTrp1!BB2*Troupeau!$B$17/CdTrp1!$AI$2</f>
        <v>255.09565217391304</v>
      </c>
      <c r="S15" s="60">
        <f>CdTrp1!BC2*Troupeau!$B$17/CdTrp1!$AI$2</f>
        <v>255.09565217391304</v>
      </c>
      <c r="T15" s="60">
        <f>CdTrp1!BD2*Troupeau!$B$17/CdTrp1!$AI$2</f>
        <v>255.09565217391304</v>
      </c>
      <c r="U15" s="60">
        <f>CdTrp1!BE2*Troupeau!$B$17/CdTrp1!$AI$2</f>
        <v>278.88695652173914</v>
      </c>
      <c r="V15" s="60">
        <f>CdTrp1!BF2*Troupeau!$B$17/CdTrp1!$AI$2</f>
        <v>278.88695652173914</v>
      </c>
      <c r="W15" s="60">
        <f>CdTrp1!BG2*Troupeau!$B$17/CdTrp1!$AI$2</f>
        <v>264.3478260869565</v>
      </c>
      <c r="X15" s="60">
        <f>CdTrp1!BH2*Troupeau!$B$17/CdTrp1!$AI$2</f>
        <v>264.3478260869565</v>
      </c>
      <c r="Y15" s="60">
        <f>CdTrp1!BI2*Troupeau!$B$17/CdTrp1!$AI$2</f>
        <v>264.3478260869565</v>
      </c>
      <c r="Z15" s="52"/>
    </row>
    <row r="16" spans="1:61" x14ac:dyDescent="0.25">
      <c r="A16" s="50" t="s">
        <v>439</v>
      </c>
      <c r="B16" s="60">
        <f>CdTrp1!AL3*Troupeau!$B$17/CdTrp1!$AI$2</f>
        <v>25.11304347826087</v>
      </c>
      <c r="C16" s="60">
        <f>CdTrp1!AM3*Troupeau!$B$17/CdTrp1!$AI$2</f>
        <v>25.11304347826087</v>
      </c>
      <c r="D16" s="60">
        <f>CdTrp1!AN3*Troupeau!$B$17/CdTrp1!$AI$2</f>
        <v>25.11304347826087</v>
      </c>
      <c r="E16" s="60">
        <f>CdTrp1!AO3*Troupeau!$B$17/CdTrp1!$AI$2</f>
        <v>25.11304347826087</v>
      </c>
      <c r="F16" s="60">
        <f>CdTrp1!AP3*Troupeau!$B$17/CdTrp1!$AI$2</f>
        <v>25.11304347826087</v>
      </c>
      <c r="G16" s="60">
        <f>CdTrp1!AQ3*Troupeau!$B$17/CdTrp1!$AI$2</f>
        <v>25.11304347826087</v>
      </c>
      <c r="H16" s="60">
        <f>CdTrp1!AR3*Troupeau!$B$17/CdTrp1!$AI$2</f>
        <v>25.11304347826087</v>
      </c>
      <c r="I16" s="60">
        <f>CdTrp1!AS3*Troupeau!$B$17/CdTrp1!$AI$2</f>
        <v>25.11304347826087</v>
      </c>
      <c r="J16" s="60">
        <f>CdTrp1!AT3*Troupeau!$B$17/CdTrp1!$AI$2</f>
        <v>25.11304347826087</v>
      </c>
      <c r="K16" s="60">
        <f>CdTrp1!AU3*Troupeau!$B$17/CdTrp1!$AI$2</f>
        <v>0</v>
      </c>
      <c r="L16" s="60">
        <f>CdTrp1!AV3*Troupeau!$B$17/CdTrp1!$AI$2</f>
        <v>0</v>
      </c>
      <c r="M16" s="60">
        <f>CdTrp1!AW3*Troupeau!$B$17/CdTrp1!$AI$2</f>
        <v>0</v>
      </c>
      <c r="N16" s="60">
        <f>CdTrp1!AX3*Troupeau!$B$17/CdTrp1!$AI$2</f>
        <v>0</v>
      </c>
      <c r="O16" s="60">
        <f>CdTrp1!AY3*Troupeau!$B$17/CdTrp1!$AI$2</f>
        <v>0</v>
      </c>
      <c r="P16" s="60">
        <f>CdTrp1!AZ3*Troupeau!$B$17/CdTrp1!$AI$2</f>
        <v>0</v>
      </c>
      <c r="Q16" s="60">
        <f>CdTrp1!BA3*Troupeau!$B$17/CdTrp1!$AI$2</f>
        <v>0</v>
      </c>
      <c r="R16" s="60">
        <f>CdTrp1!BB3*Troupeau!$B$17/CdTrp1!$AI$2</f>
        <v>0</v>
      </c>
      <c r="S16" s="60">
        <f>CdTrp1!BC3*Troupeau!$B$17/CdTrp1!$AI$2</f>
        <v>0</v>
      </c>
      <c r="T16" s="60">
        <f>CdTrp1!BD3*Troupeau!$B$17/CdTrp1!$AI$2</f>
        <v>0</v>
      </c>
      <c r="U16" s="60">
        <f>CdTrp1!BE3*Troupeau!$B$17/CdTrp1!$AI$2</f>
        <v>25.11304347826087</v>
      </c>
      <c r="V16" s="60">
        <f>CdTrp1!BF3*Troupeau!$B$17/CdTrp1!$AI$2</f>
        <v>25.11304347826087</v>
      </c>
      <c r="W16" s="60">
        <f>CdTrp1!BG3*Troupeau!$B$17/CdTrp1!$AI$2</f>
        <v>25.11304347826087</v>
      </c>
      <c r="X16" s="60">
        <f>CdTrp1!BH3*Troupeau!$B$17/CdTrp1!$AI$2</f>
        <v>25.11304347826087</v>
      </c>
      <c r="Y16" s="60">
        <f>CdTrp1!BI3*Troupeau!$B$17/CdTrp1!$AI$2</f>
        <v>25.11304347826087</v>
      </c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440</v>
      </c>
      <c r="B17" s="60">
        <f>CdTrp1!AL4*Troupeau!$B$17/CdTrp1!$AI$2</f>
        <v>68.730434782608697</v>
      </c>
      <c r="C17" s="60">
        <f>CdTrp1!AM4*Troupeau!$B$17/CdTrp1!$AI$2</f>
        <v>68.730434782608697</v>
      </c>
      <c r="D17" s="60">
        <f>CdTrp1!AN4*Troupeau!$B$17/CdTrp1!$AI$2</f>
        <v>68.730434782608697</v>
      </c>
      <c r="E17" s="60">
        <f>CdTrp1!AO4*Troupeau!$B$17/CdTrp1!$AI$2</f>
        <v>68.730434782608697</v>
      </c>
      <c r="F17" s="60">
        <f>CdTrp1!AP4*Troupeau!$B$17/CdTrp1!$AI$2</f>
        <v>68.730434782608697</v>
      </c>
      <c r="G17" s="60">
        <f>CdTrp1!AQ4*Troupeau!$B$17/CdTrp1!$AI$2</f>
        <v>68.730434782608697</v>
      </c>
      <c r="H17" s="60">
        <f>CdTrp1!AR4*Troupeau!$B$17/CdTrp1!$AI$2</f>
        <v>68.730434782608697</v>
      </c>
      <c r="I17" s="60">
        <f>CdTrp1!AS4*Troupeau!$B$17/CdTrp1!$AI$2</f>
        <v>68.730434782608697</v>
      </c>
      <c r="J17" s="60">
        <f>CdTrp1!AT4*Troupeau!$B$17/CdTrp1!$AI$2</f>
        <v>68.730434782608697</v>
      </c>
      <c r="K17" s="60">
        <f>CdTrp1!AU4*Troupeau!$B$17/CdTrp1!$AI$2</f>
        <v>68.730434782608697</v>
      </c>
      <c r="L17" s="60">
        <f>CdTrp1!AV4*Troupeau!$B$17/CdTrp1!$AI$2</f>
        <v>68.730434782608697</v>
      </c>
      <c r="M17" s="60">
        <f>CdTrp1!AW4*Troupeau!$B$17/CdTrp1!$AI$2</f>
        <v>68.730434782608697</v>
      </c>
      <c r="N17" s="60">
        <f>CdTrp1!AX4*Troupeau!$B$17/CdTrp1!$AI$2</f>
        <v>68.730434782608697</v>
      </c>
      <c r="O17" s="60">
        <f>CdTrp1!AY4*Troupeau!$B$17/CdTrp1!$AI$2</f>
        <v>68.730434782608697</v>
      </c>
      <c r="P17" s="60">
        <f>CdTrp1!AZ4*Troupeau!$B$17/CdTrp1!$AI$2</f>
        <v>68.730434782608697</v>
      </c>
      <c r="Q17" s="60">
        <f>CdTrp1!BA4*Troupeau!$B$17/CdTrp1!$AI$2</f>
        <v>68.730434782608697</v>
      </c>
      <c r="R17" s="60">
        <f>CdTrp1!BB4*Troupeau!$B$17/CdTrp1!$AI$2</f>
        <v>68.730434782608697</v>
      </c>
      <c r="S17" s="60">
        <f>CdTrp1!BC4*Troupeau!$B$17/CdTrp1!$AI$2</f>
        <v>68.730434782608697</v>
      </c>
      <c r="T17" s="60">
        <f>CdTrp1!BD4*Troupeau!$B$17/CdTrp1!$AI$2</f>
        <v>68.730434782608697</v>
      </c>
      <c r="U17" s="60">
        <f>CdTrp1!BE4*Troupeau!$B$17/CdTrp1!$AI$2</f>
        <v>0</v>
      </c>
      <c r="V17" s="60">
        <f>CdTrp1!BF4*Troupeau!$B$17/CdTrp1!$AI$2</f>
        <v>0</v>
      </c>
      <c r="W17" s="60">
        <f>CdTrp1!BG4*Troupeau!$B$17/CdTrp1!$AI$2</f>
        <v>68.730434782608697</v>
      </c>
      <c r="X17" s="60">
        <f>CdTrp1!BH4*Troupeau!$B$17/CdTrp1!$AI$2</f>
        <v>68.730434782608697</v>
      </c>
      <c r="Y17" s="60">
        <f>CdTrp1!BI4*Troupeau!$B$17/CdTrp1!$AI$2</f>
        <v>68.730434782608697</v>
      </c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441</v>
      </c>
      <c r="B18" s="60">
        <f>CdTrp1!AL5*Troupeau!$B$17/CdTrp1!$AI$2</f>
        <v>7.9304347826086961</v>
      </c>
      <c r="C18" s="60">
        <f>CdTrp1!AM5*Troupeau!$B$17/CdTrp1!$AI$2</f>
        <v>7.9304347826086961</v>
      </c>
      <c r="D18" s="60">
        <f>CdTrp1!AN5*Troupeau!$B$17/CdTrp1!$AI$2</f>
        <v>7.9304347826086961</v>
      </c>
      <c r="E18" s="60">
        <f>CdTrp1!AO5*Troupeau!$B$17/CdTrp1!$AI$2</f>
        <v>7.9304347826086961</v>
      </c>
      <c r="F18" s="60">
        <f>CdTrp1!AP5*Troupeau!$B$17/CdTrp1!$AI$2</f>
        <v>7.9304347826086961</v>
      </c>
      <c r="G18" s="60">
        <f>CdTrp1!AQ5*Troupeau!$B$17/CdTrp1!$AI$2</f>
        <v>7.9304347826086961</v>
      </c>
      <c r="H18" s="60">
        <f>CdTrp1!AR5*Troupeau!$B$17/CdTrp1!$AI$2</f>
        <v>7.9304347826086961</v>
      </c>
      <c r="I18" s="60">
        <f>CdTrp1!AS5*Troupeau!$B$17/CdTrp1!$AI$2</f>
        <v>7.9304347826086961</v>
      </c>
      <c r="J18" s="60">
        <f>CdTrp1!AT5*Troupeau!$B$17/CdTrp1!$AI$2</f>
        <v>7.9304347826086961</v>
      </c>
      <c r="K18" s="60">
        <f>CdTrp1!AU5*Troupeau!$B$17/CdTrp1!$AI$2</f>
        <v>0</v>
      </c>
      <c r="L18" s="60">
        <f>CdTrp1!AV5*Troupeau!$B$17/CdTrp1!$AI$2</f>
        <v>0</v>
      </c>
      <c r="M18" s="60">
        <f>CdTrp1!AW5*Troupeau!$B$17/CdTrp1!$AI$2</f>
        <v>0</v>
      </c>
      <c r="N18" s="60">
        <f>CdTrp1!AX5*Troupeau!$B$17/CdTrp1!$AI$2</f>
        <v>0</v>
      </c>
      <c r="O18" s="60">
        <f>CdTrp1!AY5*Troupeau!$B$17/CdTrp1!$AI$2</f>
        <v>0</v>
      </c>
      <c r="P18" s="60">
        <f>CdTrp1!AZ5*Troupeau!$B$17/CdTrp1!$AI$2</f>
        <v>0</v>
      </c>
      <c r="Q18" s="60">
        <f>CdTrp1!BA5*Troupeau!$B$17/CdTrp1!$AI$2</f>
        <v>0</v>
      </c>
      <c r="R18" s="60">
        <f>CdTrp1!BB5*Troupeau!$B$17/CdTrp1!$AI$2</f>
        <v>0</v>
      </c>
      <c r="S18" s="60">
        <f>CdTrp1!BC5*Troupeau!$B$17/CdTrp1!$AI$2</f>
        <v>0</v>
      </c>
      <c r="T18" s="60">
        <f>CdTrp1!BD5*Troupeau!$B$17/CdTrp1!$AI$2</f>
        <v>0</v>
      </c>
      <c r="U18" s="60">
        <f>CdTrp1!BE5*Troupeau!$B$17/CdTrp1!$AI$2</f>
        <v>7.9304347826086961</v>
      </c>
      <c r="V18" s="60">
        <f>CdTrp1!BF5*Troupeau!$B$17/CdTrp1!$AI$2</f>
        <v>7.9304347826086961</v>
      </c>
      <c r="W18" s="60">
        <f>CdTrp1!BG5*Troupeau!$B$17/CdTrp1!$AI$2</f>
        <v>7.9304347826086961</v>
      </c>
      <c r="X18" s="60">
        <f>CdTrp1!BH5*Troupeau!$B$17/CdTrp1!$AI$2</f>
        <v>7.9304347826086961</v>
      </c>
      <c r="Y18" s="60">
        <f>CdTrp1!BI5*Troupeau!$B$17/CdTrp1!$AI$2</f>
        <v>7.9304347826086961</v>
      </c>
      <c r="Z18" s="52"/>
      <c r="AC18" t="s">
        <v>376</v>
      </c>
      <c r="AE18" s="17">
        <v>2</v>
      </c>
      <c r="AG18" s="126" t="str">
        <f>HLOOKUP(AF$4,[1]Anx!$C$86:$CO$121,AE18)</f>
        <v xml:space="preserve">11 -correcteur N brebis lait </v>
      </c>
      <c r="AH18" s="61">
        <f>VALUE(LEFT(AG18,2))</f>
        <v>11</v>
      </c>
      <c r="AI18" s="129">
        <f>Troupeau!B72</f>
        <v>9667.2000000000007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1">IF($AH18=AN$17,ROUND($AI18/1000,1),0)</f>
        <v>0</v>
      </c>
      <c r="AO18" s="54">
        <f t="shared" si="1"/>
        <v>0</v>
      </c>
      <c r="AP18" s="54">
        <f t="shared" si="1"/>
        <v>0</v>
      </c>
      <c r="AQ18" s="54">
        <f t="shared" si="1"/>
        <v>0</v>
      </c>
      <c r="AR18" s="54">
        <f t="shared" si="1"/>
        <v>0</v>
      </c>
      <c r="AS18" s="54">
        <f t="shared" si="1"/>
        <v>0</v>
      </c>
      <c r="AT18" s="54">
        <f t="shared" si="1"/>
        <v>0</v>
      </c>
      <c r="AU18" s="54">
        <f t="shared" si="1"/>
        <v>9.6999999999999993</v>
      </c>
      <c r="AV18" s="54">
        <f t="shared" si="1"/>
        <v>0</v>
      </c>
      <c r="AW18" s="54">
        <f t="shared" si="1"/>
        <v>0</v>
      </c>
      <c r="AX18" s="54">
        <f t="shared" si="1"/>
        <v>0</v>
      </c>
      <c r="AY18" s="54">
        <f t="shared" si="1"/>
        <v>0</v>
      </c>
      <c r="AZ18" s="54">
        <f t="shared" si="1"/>
        <v>0</v>
      </c>
      <c r="BA18" s="54">
        <f t="shared" si="1"/>
        <v>0</v>
      </c>
      <c r="BB18" s="54">
        <f t="shared" si="1"/>
        <v>0</v>
      </c>
      <c r="BC18" s="54">
        <f t="shared" si="1"/>
        <v>0</v>
      </c>
      <c r="BD18" s="54">
        <f t="shared" ref="BC18:CE26" si="2">IF($AH18=BD$17,ROUND($AI18/1000,1),0)</f>
        <v>0</v>
      </c>
      <c r="BE18" s="54">
        <f t="shared" si="2"/>
        <v>0</v>
      </c>
      <c r="BF18" s="54">
        <f t="shared" si="2"/>
        <v>0</v>
      </c>
      <c r="BG18" s="54">
        <f t="shared" si="2"/>
        <v>0</v>
      </c>
      <c r="BH18" s="54">
        <f t="shared" si="2"/>
        <v>0</v>
      </c>
      <c r="BI18" s="54">
        <f t="shared" si="2"/>
        <v>0</v>
      </c>
      <c r="BJ18" s="54">
        <f t="shared" si="2"/>
        <v>0</v>
      </c>
      <c r="BK18" s="54">
        <f t="shared" si="2"/>
        <v>0</v>
      </c>
      <c r="BL18" s="54">
        <f t="shared" si="2"/>
        <v>0</v>
      </c>
      <c r="BM18" s="54">
        <f t="shared" si="2"/>
        <v>0</v>
      </c>
      <c r="BN18" s="54">
        <f t="shared" si="2"/>
        <v>0</v>
      </c>
      <c r="BO18" s="54">
        <f t="shared" si="2"/>
        <v>0</v>
      </c>
      <c r="BP18" s="54">
        <f t="shared" si="2"/>
        <v>0</v>
      </c>
      <c r="BQ18" s="54">
        <f t="shared" si="2"/>
        <v>0</v>
      </c>
      <c r="BR18" s="54">
        <f t="shared" si="2"/>
        <v>0</v>
      </c>
      <c r="BS18" s="54">
        <f t="shared" si="2"/>
        <v>0</v>
      </c>
      <c r="BT18" s="54">
        <f t="shared" si="2"/>
        <v>0</v>
      </c>
      <c r="BU18" s="54">
        <f t="shared" si="2"/>
        <v>0</v>
      </c>
      <c r="BV18" s="54">
        <f t="shared" si="2"/>
        <v>0</v>
      </c>
      <c r="BW18" s="54">
        <f t="shared" si="2"/>
        <v>0</v>
      </c>
      <c r="BX18" s="54">
        <f t="shared" si="2"/>
        <v>0</v>
      </c>
      <c r="BY18" s="54">
        <f t="shared" si="2"/>
        <v>0</v>
      </c>
      <c r="BZ18" s="54">
        <f t="shared" si="2"/>
        <v>0</v>
      </c>
      <c r="CA18" s="54">
        <f t="shared" si="2"/>
        <v>0</v>
      </c>
      <c r="CB18" s="54">
        <f t="shared" si="2"/>
        <v>0</v>
      </c>
      <c r="CC18" s="54">
        <f t="shared" si="2"/>
        <v>0</v>
      </c>
      <c r="CD18" s="54">
        <f t="shared" si="2"/>
        <v>0</v>
      </c>
      <c r="CE18" s="54">
        <f t="shared" si="2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 t="str">
        <f>HLOOKUP(AF$4,[1]Anx!$C$86:$CO$121,AE19)</f>
        <v>1 -maïs-grain</v>
      </c>
      <c r="AH19" s="61">
        <f t="shared" ref="AH19:AH52" si="3">VALUE(LEFT(AG19,2))</f>
        <v>1</v>
      </c>
      <c r="AI19" s="129">
        <f>Troupeau!B73</f>
        <v>20915.2</v>
      </c>
      <c r="AK19" s="54">
        <f t="shared" ref="AK19:AK52" si="4">IF($AH19=AK$17,ROUND($AI19/1000,1),0)</f>
        <v>20.9</v>
      </c>
      <c r="AL19" s="54">
        <f t="shared" ref="AL19:BA34" si="5">IF($AH19=AL$17,ROUND($AI19/1000,1),0)</f>
        <v>0</v>
      </c>
      <c r="AM19" s="54">
        <f t="shared" si="5"/>
        <v>0</v>
      </c>
      <c r="AN19" s="54">
        <f t="shared" si="1"/>
        <v>0</v>
      </c>
      <c r="AO19" s="54">
        <f t="shared" si="1"/>
        <v>0</v>
      </c>
      <c r="AP19" s="54">
        <f t="shared" si="1"/>
        <v>0</v>
      </c>
      <c r="AQ19" s="54">
        <f t="shared" si="1"/>
        <v>0</v>
      </c>
      <c r="AR19" s="54">
        <f t="shared" si="1"/>
        <v>0</v>
      </c>
      <c r="AS19" s="54">
        <f t="shared" si="1"/>
        <v>0</v>
      </c>
      <c r="AT19" s="54">
        <f t="shared" si="1"/>
        <v>0</v>
      </c>
      <c r="AU19" s="54">
        <f t="shared" si="1"/>
        <v>0</v>
      </c>
      <c r="AV19" s="54">
        <f t="shared" si="1"/>
        <v>0</v>
      </c>
      <c r="AW19" s="54">
        <f t="shared" si="1"/>
        <v>0</v>
      </c>
      <c r="AX19" s="54">
        <f t="shared" si="1"/>
        <v>0</v>
      </c>
      <c r="AY19" s="54">
        <f t="shared" si="1"/>
        <v>0</v>
      </c>
      <c r="AZ19" s="54">
        <f t="shared" si="1"/>
        <v>0</v>
      </c>
      <c r="BA19" s="54">
        <f t="shared" si="1"/>
        <v>0</v>
      </c>
      <c r="BB19" s="54">
        <f t="shared" si="1"/>
        <v>0</v>
      </c>
      <c r="BC19" s="54">
        <f t="shared" si="2"/>
        <v>0</v>
      </c>
      <c r="BD19" s="54">
        <f t="shared" si="2"/>
        <v>0</v>
      </c>
      <c r="BE19" s="54">
        <f t="shared" si="2"/>
        <v>0</v>
      </c>
      <c r="BF19" s="54">
        <f t="shared" si="2"/>
        <v>0</v>
      </c>
      <c r="BG19" s="54">
        <f t="shared" si="2"/>
        <v>0</v>
      </c>
      <c r="BH19" s="54">
        <f t="shared" si="2"/>
        <v>0</v>
      </c>
      <c r="BI19" s="54">
        <f t="shared" si="2"/>
        <v>0</v>
      </c>
      <c r="BJ19" s="54">
        <f t="shared" si="2"/>
        <v>0</v>
      </c>
      <c r="BK19" s="54">
        <f t="shared" si="2"/>
        <v>0</v>
      </c>
      <c r="BL19" s="54">
        <f t="shared" si="2"/>
        <v>0</v>
      </c>
      <c r="BM19" s="54">
        <f t="shared" si="2"/>
        <v>0</v>
      </c>
      <c r="BN19" s="54">
        <f t="shared" si="2"/>
        <v>0</v>
      </c>
      <c r="BO19" s="54">
        <f t="shared" si="2"/>
        <v>0</v>
      </c>
      <c r="BP19" s="54">
        <f t="shared" si="2"/>
        <v>0</v>
      </c>
      <c r="BQ19" s="54">
        <f t="shared" si="2"/>
        <v>0</v>
      </c>
      <c r="BR19" s="54">
        <f t="shared" si="2"/>
        <v>0</v>
      </c>
      <c r="BS19" s="54">
        <f t="shared" si="2"/>
        <v>0</v>
      </c>
      <c r="BT19" s="54">
        <f t="shared" si="2"/>
        <v>0</v>
      </c>
      <c r="BU19" s="54">
        <f t="shared" si="2"/>
        <v>0</v>
      </c>
      <c r="BV19" s="54">
        <f t="shared" si="2"/>
        <v>0</v>
      </c>
      <c r="BW19" s="54">
        <f t="shared" si="2"/>
        <v>0</v>
      </c>
      <c r="BX19" s="54">
        <f t="shared" si="2"/>
        <v>0</v>
      </c>
      <c r="BY19" s="54">
        <f t="shared" si="2"/>
        <v>0</v>
      </c>
      <c r="BZ19" s="54">
        <f t="shared" si="2"/>
        <v>0</v>
      </c>
      <c r="CA19" s="54">
        <f t="shared" si="2"/>
        <v>0</v>
      </c>
      <c r="CB19" s="54">
        <f t="shared" si="2"/>
        <v>0</v>
      </c>
      <c r="CC19" s="54">
        <f t="shared" si="2"/>
        <v>0</v>
      </c>
      <c r="CD19" s="54">
        <f t="shared" si="2"/>
        <v>0</v>
      </c>
      <c r="CE19" s="54">
        <f t="shared" si="2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 t="str">
        <f>HLOOKUP(AF$4,[1]Anx!$C$86:$CO$121,AE20)</f>
        <v>13 -aliment complet brebis lait</v>
      </c>
      <c r="AH20" s="61">
        <f t="shared" si="3"/>
        <v>13</v>
      </c>
      <c r="AI20" s="129">
        <f>Troupeau!B74</f>
        <v>3404.7999999999997</v>
      </c>
      <c r="AK20" s="54">
        <f t="shared" si="4"/>
        <v>0</v>
      </c>
      <c r="AL20" s="54">
        <f t="shared" si="5"/>
        <v>0</v>
      </c>
      <c r="AM20" s="54">
        <f t="shared" si="5"/>
        <v>0</v>
      </c>
      <c r="AN20" s="54">
        <f t="shared" si="1"/>
        <v>0</v>
      </c>
      <c r="AO20" s="54">
        <f t="shared" si="1"/>
        <v>0</v>
      </c>
      <c r="AP20" s="54">
        <f t="shared" si="1"/>
        <v>0</v>
      </c>
      <c r="AQ20" s="54">
        <f t="shared" si="1"/>
        <v>0</v>
      </c>
      <c r="AR20" s="54">
        <f t="shared" si="1"/>
        <v>0</v>
      </c>
      <c r="AS20" s="54">
        <f t="shared" si="1"/>
        <v>0</v>
      </c>
      <c r="AT20" s="54">
        <f t="shared" si="1"/>
        <v>0</v>
      </c>
      <c r="AU20" s="54">
        <f t="shared" si="1"/>
        <v>0</v>
      </c>
      <c r="AV20" s="54">
        <f t="shared" si="1"/>
        <v>0</v>
      </c>
      <c r="AW20" s="54">
        <f t="shared" si="1"/>
        <v>3.4</v>
      </c>
      <c r="AX20" s="54">
        <f t="shared" si="1"/>
        <v>0</v>
      </c>
      <c r="AY20" s="54">
        <f t="shared" si="1"/>
        <v>0</v>
      </c>
      <c r="AZ20" s="54">
        <f t="shared" si="1"/>
        <v>0</v>
      </c>
      <c r="BA20" s="54">
        <f t="shared" si="1"/>
        <v>0</v>
      </c>
      <c r="BB20" s="54">
        <f t="shared" si="1"/>
        <v>0</v>
      </c>
      <c r="BC20" s="54">
        <f t="shared" si="2"/>
        <v>0</v>
      </c>
      <c r="BD20" s="54">
        <f t="shared" si="2"/>
        <v>0</v>
      </c>
      <c r="BE20" s="54">
        <f t="shared" si="2"/>
        <v>0</v>
      </c>
      <c r="BF20" s="54">
        <f t="shared" si="2"/>
        <v>0</v>
      </c>
      <c r="BG20" s="54">
        <f t="shared" si="2"/>
        <v>0</v>
      </c>
      <c r="BH20" s="54">
        <f t="shared" si="2"/>
        <v>0</v>
      </c>
      <c r="BI20" s="54">
        <f t="shared" si="2"/>
        <v>0</v>
      </c>
      <c r="BJ20" s="54">
        <f t="shared" si="2"/>
        <v>0</v>
      </c>
      <c r="BK20" s="54">
        <f t="shared" si="2"/>
        <v>0</v>
      </c>
      <c r="BL20" s="54">
        <f t="shared" si="2"/>
        <v>0</v>
      </c>
      <c r="BM20" s="54">
        <f t="shared" si="2"/>
        <v>0</v>
      </c>
      <c r="BN20" s="54">
        <f t="shared" si="2"/>
        <v>0</v>
      </c>
      <c r="BO20" s="54">
        <f t="shared" si="2"/>
        <v>0</v>
      </c>
      <c r="BP20" s="54">
        <f t="shared" si="2"/>
        <v>0</v>
      </c>
      <c r="BQ20" s="54">
        <f t="shared" si="2"/>
        <v>0</v>
      </c>
      <c r="BR20" s="54">
        <f t="shared" si="2"/>
        <v>0</v>
      </c>
      <c r="BS20" s="54">
        <f t="shared" si="2"/>
        <v>0</v>
      </c>
      <c r="BT20" s="54">
        <f t="shared" si="2"/>
        <v>0</v>
      </c>
      <c r="BU20" s="54">
        <f t="shared" si="2"/>
        <v>0</v>
      </c>
      <c r="BV20" s="54">
        <f t="shared" si="2"/>
        <v>0</v>
      </c>
      <c r="BW20" s="54">
        <f t="shared" si="2"/>
        <v>0</v>
      </c>
      <c r="BX20" s="54">
        <f t="shared" si="2"/>
        <v>0</v>
      </c>
      <c r="BY20" s="54">
        <f t="shared" si="2"/>
        <v>0</v>
      </c>
      <c r="BZ20" s="54">
        <f t="shared" si="2"/>
        <v>0</v>
      </c>
      <c r="CA20" s="54">
        <f t="shared" si="2"/>
        <v>0</v>
      </c>
      <c r="CB20" s="54">
        <f t="shared" si="2"/>
        <v>0</v>
      </c>
      <c r="CC20" s="54">
        <f t="shared" si="2"/>
        <v>0</v>
      </c>
      <c r="CD20" s="54">
        <f t="shared" si="2"/>
        <v>0</v>
      </c>
      <c r="CE20" s="54">
        <f t="shared" si="2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3"/>
        <v>0</v>
      </c>
      <c r="AI21" s="129">
        <f>Troupeau!B75</f>
        <v>0</v>
      </c>
      <c r="AK21" s="54">
        <f t="shared" si="4"/>
        <v>0</v>
      </c>
      <c r="AL21" s="54">
        <f t="shared" si="5"/>
        <v>0</v>
      </c>
      <c r="AM21" s="54">
        <f t="shared" si="5"/>
        <v>0</v>
      </c>
      <c r="AN21" s="54">
        <f t="shared" si="1"/>
        <v>0</v>
      </c>
      <c r="AO21" s="54">
        <f t="shared" si="1"/>
        <v>0</v>
      </c>
      <c r="AP21" s="54">
        <f t="shared" si="1"/>
        <v>0</v>
      </c>
      <c r="AQ21" s="54">
        <f t="shared" si="1"/>
        <v>0</v>
      </c>
      <c r="AR21" s="54">
        <f t="shared" si="1"/>
        <v>0</v>
      </c>
      <c r="AS21" s="54">
        <f t="shared" si="1"/>
        <v>0</v>
      </c>
      <c r="AT21" s="54">
        <f t="shared" si="1"/>
        <v>0</v>
      </c>
      <c r="AU21" s="54">
        <f t="shared" si="1"/>
        <v>0</v>
      </c>
      <c r="AV21" s="54">
        <f t="shared" si="1"/>
        <v>0</v>
      </c>
      <c r="AW21" s="54">
        <f t="shared" si="1"/>
        <v>0</v>
      </c>
      <c r="AX21" s="54">
        <f t="shared" si="1"/>
        <v>0</v>
      </c>
      <c r="AY21" s="54">
        <f t="shared" si="1"/>
        <v>0</v>
      </c>
      <c r="AZ21" s="54">
        <f t="shared" si="1"/>
        <v>0</v>
      </c>
      <c r="BA21" s="54">
        <f t="shared" si="1"/>
        <v>0</v>
      </c>
      <c r="BB21" s="54">
        <f t="shared" si="1"/>
        <v>0</v>
      </c>
      <c r="BC21" s="54">
        <f t="shared" si="2"/>
        <v>0</v>
      </c>
      <c r="BD21" s="54">
        <f t="shared" si="2"/>
        <v>0</v>
      </c>
      <c r="BE21" s="54">
        <f t="shared" si="2"/>
        <v>0</v>
      </c>
      <c r="BF21" s="54">
        <f t="shared" si="2"/>
        <v>0</v>
      </c>
      <c r="BG21" s="54">
        <f t="shared" si="2"/>
        <v>0</v>
      </c>
      <c r="BH21" s="54">
        <f t="shared" si="2"/>
        <v>0</v>
      </c>
      <c r="BI21" s="54">
        <f t="shared" si="2"/>
        <v>0</v>
      </c>
      <c r="BJ21" s="54">
        <f t="shared" si="2"/>
        <v>0</v>
      </c>
      <c r="BK21" s="54">
        <f t="shared" si="2"/>
        <v>0</v>
      </c>
      <c r="BL21" s="54">
        <f t="shared" si="2"/>
        <v>0</v>
      </c>
      <c r="BM21" s="54">
        <f t="shared" si="2"/>
        <v>0</v>
      </c>
      <c r="BN21" s="54">
        <f t="shared" si="2"/>
        <v>0</v>
      </c>
      <c r="BO21" s="54">
        <f t="shared" si="2"/>
        <v>0</v>
      </c>
      <c r="BP21" s="54">
        <f t="shared" si="2"/>
        <v>0</v>
      </c>
      <c r="BQ21" s="54">
        <f t="shared" si="2"/>
        <v>0</v>
      </c>
      <c r="BR21" s="54">
        <f t="shared" si="2"/>
        <v>0</v>
      </c>
      <c r="BS21" s="54">
        <f t="shared" si="2"/>
        <v>0</v>
      </c>
      <c r="BT21" s="54">
        <f t="shared" si="2"/>
        <v>0</v>
      </c>
      <c r="BU21" s="54">
        <f t="shared" si="2"/>
        <v>0</v>
      </c>
      <c r="BV21" s="54">
        <f t="shared" si="2"/>
        <v>0</v>
      </c>
      <c r="BW21" s="54">
        <f t="shared" si="2"/>
        <v>0</v>
      </c>
      <c r="BX21" s="54">
        <f t="shared" si="2"/>
        <v>0</v>
      </c>
      <c r="BY21" s="54">
        <f t="shared" si="2"/>
        <v>0</v>
      </c>
      <c r="BZ21" s="54">
        <f t="shared" si="2"/>
        <v>0</v>
      </c>
      <c r="CA21" s="54">
        <f t="shared" si="2"/>
        <v>0</v>
      </c>
      <c r="CB21" s="54">
        <f t="shared" si="2"/>
        <v>0</v>
      </c>
      <c r="CC21" s="54">
        <f t="shared" si="2"/>
        <v>0</v>
      </c>
      <c r="CD21" s="54">
        <f t="shared" si="2"/>
        <v>0</v>
      </c>
      <c r="CE21" s="54">
        <f t="shared" si="2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3"/>
        <v>0</v>
      </c>
      <c r="AI22" s="129">
        <f>Troupeau!B76</f>
        <v>0</v>
      </c>
      <c r="AK22" s="54">
        <f t="shared" si="4"/>
        <v>0</v>
      </c>
      <c r="AL22" s="54">
        <f t="shared" si="5"/>
        <v>0</v>
      </c>
      <c r="AM22" s="54">
        <f t="shared" si="5"/>
        <v>0</v>
      </c>
      <c r="AN22" s="54">
        <f t="shared" si="1"/>
        <v>0</v>
      </c>
      <c r="AO22" s="54">
        <f t="shared" si="1"/>
        <v>0</v>
      </c>
      <c r="AP22" s="54">
        <f t="shared" si="1"/>
        <v>0</v>
      </c>
      <c r="AQ22" s="54">
        <f t="shared" si="1"/>
        <v>0</v>
      </c>
      <c r="AR22" s="54">
        <f t="shared" si="1"/>
        <v>0</v>
      </c>
      <c r="AS22" s="54">
        <f t="shared" si="1"/>
        <v>0</v>
      </c>
      <c r="AT22" s="54">
        <f t="shared" si="1"/>
        <v>0</v>
      </c>
      <c r="AU22" s="54">
        <f t="shared" si="1"/>
        <v>0</v>
      </c>
      <c r="AV22" s="54">
        <f t="shared" si="1"/>
        <v>0</v>
      </c>
      <c r="AW22" s="54">
        <f t="shared" si="1"/>
        <v>0</v>
      </c>
      <c r="AX22" s="54">
        <f t="shared" si="1"/>
        <v>0</v>
      </c>
      <c r="AY22" s="54">
        <f t="shared" si="1"/>
        <v>0</v>
      </c>
      <c r="AZ22" s="54">
        <f t="shared" si="1"/>
        <v>0</v>
      </c>
      <c r="BA22" s="54">
        <f t="shared" si="1"/>
        <v>0</v>
      </c>
      <c r="BB22" s="54">
        <f t="shared" si="1"/>
        <v>0</v>
      </c>
      <c r="BC22" s="54">
        <f t="shared" si="2"/>
        <v>0</v>
      </c>
      <c r="BD22" s="54">
        <f t="shared" si="2"/>
        <v>0</v>
      </c>
      <c r="BE22" s="54">
        <f t="shared" si="2"/>
        <v>0</v>
      </c>
      <c r="BF22" s="54">
        <f t="shared" si="2"/>
        <v>0</v>
      </c>
      <c r="BG22" s="54">
        <f t="shared" si="2"/>
        <v>0</v>
      </c>
      <c r="BH22" s="54">
        <f t="shared" si="2"/>
        <v>0</v>
      </c>
      <c r="BI22" s="54">
        <f t="shared" si="2"/>
        <v>0</v>
      </c>
      <c r="BJ22" s="54">
        <f t="shared" si="2"/>
        <v>0</v>
      </c>
      <c r="BK22" s="54">
        <f t="shared" si="2"/>
        <v>0</v>
      </c>
      <c r="BL22" s="54">
        <f t="shared" si="2"/>
        <v>0</v>
      </c>
      <c r="BM22" s="54">
        <f t="shared" si="2"/>
        <v>0</v>
      </c>
      <c r="BN22" s="54">
        <f t="shared" si="2"/>
        <v>0</v>
      </c>
      <c r="BO22" s="54">
        <f t="shared" si="2"/>
        <v>0</v>
      </c>
      <c r="BP22" s="54">
        <f t="shared" si="2"/>
        <v>0</v>
      </c>
      <c r="BQ22" s="54">
        <f t="shared" si="2"/>
        <v>0</v>
      </c>
      <c r="BR22" s="54">
        <f t="shared" si="2"/>
        <v>0</v>
      </c>
      <c r="BS22" s="54">
        <f t="shared" si="2"/>
        <v>0</v>
      </c>
      <c r="BT22" s="54">
        <f t="shared" si="2"/>
        <v>0</v>
      </c>
      <c r="BU22" s="54">
        <f t="shared" si="2"/>
        <v>0</v>
      </c>
      <c r="BV22" s="54">
        <f t="shared" si="2"/>
        <v>0</v>
      </c>
      <c r="BW22" s="54">
        <f t="shared" si="2"/>
        <v>0</v>
      </c>
      <c r="BX22" s="54">
        <f t="shared" si="2"/>
        <v>0</v>
      </c>
      <c r="BY22" s="54">
        <f t="shared" si="2"/>
        <v>0</v>
      </c>
      <c r="BZ22" s="54">
        <f t="shared" si="2"/>
        <v>0</v>
      </c>
      <c r="CA22" s="54">
        <f t="shared" si="2"/>
        <v>0</v>
      </c>
      <c r="CB22" s="54">
        <f t="shared" si="2"/>
        <v>0</v>
      </c>
      <c r="CC22" s="54">
        <f t="shared" si="2"/>
        <v>0</v>
      </c>
      <c r="CD22" s="54">
        <f t="shared" si="2"/>
        <v>0</v>
      </c>
      <c r="CE22" s="54">
        <f t="shared" si="2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 t="str">
        <f>HLOOKUP(AF$4,[1]Anx!$C$86:$CO$121,AE23)</f>
        <v xml:space="preserve">14 -concentré agnelle lait </v>
      </c>
      <c r="AH23" s="61">
        <f t="shared" si="3"/>
        <v>14</v>
      </c>
      <c r="AI23" s="129">
        <f>Troupeau!B77</f>
        <v>6660</v>
      </c>
      <c r="AK23" s="54">
        <f t="shared" si="4"/>
        <v>0</v>
      </c>
      <c r="AL23" s="54">
        <f t="shared" si="5"/>
        <v>0</v>
      </c>
      <c r="AM23" s="54">
        <f t="shared" si="5"/>
        <v>0</v>
      </c>
      <c r="AN23" s="54">
        <f t="shared" si="1"/>
        <v>0</v>
      </c>
      <c r="AO23" s="54">
        <f t="shared" si="1"/>
        <v>0</v>
      </c>
      <c r="AP23" s="54">
        <f t="shared" si="1"/>
        <v>0</v>
      </c>
      <c r="AQ23" s="54">
        <f t="shared" si="1"/>
        <v>0</v>
      </c>
      <c r="AR23" s="54">
        <f t="shared" si="1"/>
        <v>0</v>
      </c>
      <c r="AS23" s="54">
        <f t="shared" si="1"/>
        <v>0</v>
      </c>
      <c r="AT23" s="54">
        <f t="shared" si="1"/>
        <v>0</v>
      </c>
      <c r="AU23" s="54">
        <f t="shared" si="1"/>
        <v>0</v>
      </c>
      <c r="AV23" s="54">
        <f t="shared" si="1"/>
        <v>0</v>
      </c>
      <c r="AW23" s="54">
        <f t="shared" si="1"/>
        <v>0</v>
      </c>
      <c r="AX23" s="54">
        <f t="shared" si="1"/>
        <v>6.7</v>
      </c>
      <c r="AY23" s="54">
        <f t="shared" si="1"/>
        <v>0</v>
      </c>
      <c r="AZ23" s="54">
        <f t="shared" si="1"/>
        <v>0</v>
      </c>
      <c r="BA23" s="54">
        <f t="shared" si="1"/>
        <v>0</v>
      </c>
      <c r="BB23" s="54">
        <f t="shared" si="1"/>
        <v>0</v>
      </c>
      <c r="BC23" s="54">
        <f t="shared" si="2"/>
        <v>0</v>
      </c>
      <c r="BD23" s="54">
        <f t="shared" si="2"/>
        <v>0</v>
      </c>
      <c r="BE23" s="54">
        <f t="shared" si="2"/>
        <v>0</v>
      </c>
      <c r="BF23" s="54">
        <f t="shared" si="2"/>
        <v>0</v>
      </c>
      <c r="BG23" s="54">
        <f t="shared" si="2"/>
        <v>0</v>
      </c>
      <c r="BH23" s="54">
        <f t="shared" si="2"/>
        <v>0</v>
      </c>
      <c r="BI23" s="54">
        <f t="shared" si="2"/>
        <v>0</v>
      </c>
      <c r="BJ23" s="54">
        <f t="shared" si="2"/>
        <v>0</v>
      </c>
      <c r="BK23" s="54">
        <f t="shared" si="2"/>
        <v>0</v>
      </c>
      <c r="BL23" s="54">
        <f t="shared" si="2"/>
        <v>0</v>
      </c>
      <c r="BM23" s="54">
        <f t="shared" si="2"/>
        <v>0</v>
      </c>
      <c r="BN23" s="54">
        <f t="shared" si="2"/>
        <v>0</v>
      </c>
      <c r="BO23" s="54">
        <f t="shared" si="2"/>
        <v>0</v>
      </c>
      <c r="BP23" s="54">
        <f t="shared" si="2"/>
        <v>0</v>
      </c>
      <c r="BQ23" s="54">
        <f t="shared" si="2"/>
        <v>0</v>
      </c>
      <c r="BR23" s="54">
        <f t="shared" si="2"/>
        <v>0</v>
      </c>
      <c r="BS23" s="54">
        <f t="shared" si="2"/>
        <v>0</v>
      </c>
      <c r="BT23" s="54">
        <f t="shared" si="2"/>
        <v>0</v>
      </c>
      <c r="BU23" s="54">
        <f t="shared" si="2"/>
        <v>0</v>
      </c>
      <c r="BV23" s="54">
        <f t="shared" si="2"/>
        <v>0</v>
      </c>
      <c r="BW23" s="54">
        <f t="shared" si="2"/>
        <v>0</v>
      </c>
      <c r="BX23" s="54">
        <f t="shared" si="2"/>
        <v>0</v>
      </c>
      <c r="BY23" s="54">
        <f t="shared" si="2"/>
        <v>0</v>
      </c>
      <c r="BZ23" s="54">
        <f t="shared" si="2"/>
        <v>0</v>
      </c>
      <c r="CA23" s="54">
        <f t="shared" si="2"/>
        <v>0</v>
      </c>
      <c r="CB23" s="54">
        <f t="shared" si="2"/>
        <v>0</v>
      </c>
      <c r="CC23" s="54">
        <f t="shared" si="2"/>
        <v>0</v>
      </c>
      <c r="CD23" s="54">
        <f t="shared" si="2"/>
        <v>0</v>
      </c>
      <c r="CE23" s="54">
        <f t="shared" si="2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 t="str">
        <f>HLOOKUP(AF$4,[1]Anx!$C$86:$CO$121,AE24)</f>
        <v>1 -maïs-grain</v>
      </c>
      <c r="AH24" s="61">
        <f t="shared" si="3"/>
        <v>1</v>
      </c>
      <c r="AI24" s="129">
        <f>Troupeau!B78</f>
        <v>780</v>
      </c>
      <c r="AK24" s="54">
        <f t="shared" si="4"/>
        <v>0.8</v>
      </c>
      <c r="AL24" s="54">
        <f t="shared" si="5"/>
        <v>0</v>
      </c>
      <c r="AM24" s="54">
        <f t="shared" si="5"/>
        <v>0</v>
      </c>
      <c r="AN24" s="54">
        <f t="shared" si="1"/>
        <v>0</v>
      </c>
      <c r="AO24" s="54">
        <f t="shared" si="1"/>
        <v>0</v>
      </c>
      <c r="AP24" s="54">
        <f t="shared" si="1"/>
        <v>0</v>
      </c>
      <c r="AQ24" s="54">
        <f t="shared" si="1"/>
        <v>0</v>
      </c>
      <c r="AR24" s="54">
        <f t="shared" si="1"/>
        <v>0</v>
      </c>
      <c r="AS24" s="54">
        <f t="shared" si="1"/>
        <v>0</v>
      </c>
      <c r="AT24" s="54">
        <f t="shared" si="1"/>
        <v>0</v>
      </c>
      <c r="AU24" s="54">
        <f t="shared" si="1"/>
        <v>0</v>
      </c>
      <c r="AV24" s="54">
        <f t="shared" si="1"/>
        <v>0</v>
      </c>
      <c r="AW24" s="54">
        <f t="shared" si="1"/>
        <v>0</v>
      </c>
      <c r="AX24" s="54">
        <f t="shared" si="1"/>
        <v>0</v>
      </c>
      <c r="AY24" s="54">
        <f t="shared" si="1"/>
        <v>0</v>
      </c>
      <c r="AZ24" s="54">
        <f t="shared" si="1"/>
        <v>0</v>
      </c>
      <c r="BA24" s="54">
        <f t="shared" si="1"/>
        <v>0</v>
      </c>
      <c r="BB24" s="54">
        <f t="shared" si="1"/>
        <v>0</v>
      </c>
      <c r="BC24" s="54">
        <f t="shared" si="2"/>
        <v>0</v>
      </c>
      <c r="BD24" s="54">
        <f t="shared" si="2"/>
        <v>0</v>
      </c>
      <c r="BE24" s="54">
        <f t="shared" si="2"/>
        <v>0</v>
      </c>
      <c r="BF24" s="54">
        <f t="shared" si="2"/>
        <v>0</v>
      </c>
      <c r="BG24" s="54">
        <f t="shared" si="2"/>
        <v>0</v>
      </c>
      <c r="BH24" s="54">
        <f t="shared" si="2"/>
        <v>0</v>
      </c>
      <c r="BI24" s="54">
        <f t="shared" si="2"/>
        <v>0</v>
      </c>
      <c r="BJ24" s="54">
        <f t="shared" si="2"/>
        <v>0</v>
      </c>
      <c r="BK24" s="54">
        <f t="shared" si="2"/>
        <v>0</v>
      </c>
      <c r="BL24" s="54">
        <f t="shared" si="2"/>
        <v>0</v>
      </c>
      <c r="BM24" s="54">
        <f t="shared" si="2"/>
        <v>0</v>
      </c>
      <c r="BN24" s="54">
        <f t="shared" si="2"/>
        <v>0</v>
      </c>
      <c r="BO24" s="54">
        <f t="shared" si="2"/>
        <v>0</v>
      </c>
      <c r="BP24" s="54">
        <f t="shared" si="2"/>
        <v>0</v>
      </c>
      <c r="BQ24" s="54">
        <f t="shared" si="2"/>
        <v>0</v>
      </c>
      <c r="BR24" s="54">
        <f t="shared" si="2"/>
        <v>0</v>
      </c>
      <c r="BS24" s="54">
        <f t="shared" si="2"/>
        <v>0</v>
      </c>
      <c r="BT24" s="54">
        <f t="shared" si="2"/>
        <v>0</v>
      </c>
      <c r="BU24" s="54">
        <f t="shared" si="2"/>
        <v>0</v>
      </c>
      <c r="BV24" s="54">
        <f t="shared" si="2"/>
        <v>0</v>
      </c>
      <c r="BW24" s="54">
        <f t="shared" si="2"/>
        <v>0</v>
      </c>
      <c r="BX24" s="54">
        <f t="shared" si="2"/>
        <v>0</v>
      </c>
      <c r="BY24" s="54">
        <f t="shared" si="2"/>
        <v>0</v>
      </c>
      <c r="BZ24" s="54">
        <f t="shared" si="2"/>
        <v>0</v>
      </c>
      <c r="CA24" s="54">
        <f t="shared" si="2"/>
        <v>0</v>
      </c>
      <c r="CB24" s="54">
        <f t="shared" si="2"/>
        <v>0</v>
      </c>
      <c r="CC24" s="54">
        <f t="shared" si="2"/>
        <v>0</v>
      </c>
      <c r="CD24" s="54">
        <f t="shared" si="2"/>
        <v>0</v>
      </c>
      <c r="CE24" s="54">
        <f t="shared" si="2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3"/>
        <v>0</v>
      </c>
      <c r="AI25" s="129">
        <f>Troupeau!B79</f>
        <v>0</v>
      </c>
      <c r="AK25" s="54">
        <f t="shared" si="4"/>
        <v>0</v>
      </c>
      <c r="AL25" s="54">
        <f t="shared" si="5"/>
        <v>0</v>
      </c>
      <c r="AM25" s="54">
        <f t="shared" si="5"/>
        <v>0</v>
      </c>
      <c r="AN25" s="54">
        <f t="shared" si="1"/>
        <v>0</v>
      </c>
      <c r="AO25" s="54">
        <f t="shared" si="1"/>
        <v>0</v>
      </c>
      <c r="AP25" s="54">
        <f t="shared" si="1"/>
        <v>0</v>
      </c>
      <c r="AQ25" s="54">
        <f t="shared" si="1"/>
        <v>0</v>
      </c>
      <c r="AR25" s="54">
        <f t="shared" si="1"/>
        <v>0</v>
      </c>
      <c r="AS25" s="54">
        <f t="shared" si="1"/>
        <v>0</v>
      </c>
      <c r="AT25" s="54">
        <f t="shared" si="1"/>
        <v>0</v>
      </c>
      <c r="AU25" s="54">
        <f t="shared" si="1"/>
        <v>0</v>
      </c>
      <c r="AV25" s="54">
        <f t="shared" si="1"/>
        <v>0</v>
      </c>
      <c r="AW25" s="54">
        <f t="shared" si="1"/>
        <v>0</v>
      </c>
      <c r="AX25" s="54">
        <f t="shared" si="1"/>
        <v>0</v>
      </c>
      <c r="AY25" s="54">
        <f t="shared" si="1"/>
        <v>0</v>
      </c>
      <c r="AZ25" s="54">
        <f t="shared" si="1"/>
        <v>0</v>
      </c>
      <c r="BA25" s="54">
        <f t="shared" si="1"/>
        <v>0</v>
      </c>
      <c r="BB25" s="54">
        <f t="shared" si="1"/>
        <v>0</v>
      </c>
      <c r="BC25" s="54">
        <f t="shared" si="2"/>
        <v>0</v>
      </c>
      <c r="BD25" s="54">
        <f t="shared" si="2"/>
        <v>0</v>
      </c>
      <c r="BE25" s="54">
        <f t="shared" si="2"/>
        <v>0</v>
      </c>
      <c r="BF25" s="54">
        <f t="shared" si="2"/>
        <v>0</v>
      </c>
      <c r="BG25" s="54">
        <f t="shared" si="2"/>
        <v>0</v>
      </c>
      <c r="BH25" s="54">
        <f t="shared" si="2"/>
        <v>0</v>
      </c>
      <c r="BI25" s="54">
        <f t="shared" si="2"/>
        <v>0</v>
      </c>
      <c r="BJ25" s="54">
        <f t="shared" si="2"/>
        <v>0</v>
      </c>
      <c r="BK25" s="54">
        <f t="shared" si="2"/>
        <v>0</v>
      </c>
      <c r="BL25" s="54">
        <f t="shared" si="2"/>
        <v>0</v>
      </c>
      <c r="BM25" s="54">
        <f t="shared" si="2"/>
        <v>0</v>
      </c>
      <c r="BN25" s="54">
        <f t="shared" si="2"/>
        <v>0</v>
      </c>
      <c r="BO25" s="54">
        <f t="shared" si="2"/>
        <v>0</v>
      </c>
      <c r="BP25" s="54">
        <f t="shared" si="2"/>
        <v>0</v>
      </c>
      <c r="BQ25" s="54">
        <f t="shared" si="2"/>
        <v>0</v>
      </c>
      <c r="BR25" s="54">
        <f t="shared" si="2"/>
        <v>0</v>
      </c>
      <c r="BS25" s="54">
        <f t="shared" si="2"/>
        <v>0</v>
      </c>
      <c r="BT25" s="54">
        <f t="shared" si="2"/>
        <v>0</v>
      </c>
      <c r="BU25" s="54">
        <f t="shared" si="2"/>
        <v>0</v>
      </c>
      <c r="BV25" s="54">
        <f t="shared" si="2"/>
        <v>0</v>
      </c>
      <c r="BW25" s="54">
        <f t="shared" si="2"/>
        <v>0</v>
      </c>
      <c r="BX25" s="54">
        <f t="shared" si="2"/>
        <v>0</v>
      </c>
      <c r="BY25" s="54">
        <f t="shared" si="2"/>
        <v>0</v>
      </c>
      <c r="BZ25" s="54">
        <f t="shared" si="2"/>
        <v>0</v>
      </c>
      <c r="CA25" s="54">
        <f t="shared" si="2"/>
        <v>0</v>
      </c>
      <c r="CB25" s="54">
        <f t="shared" si="2"/>
        <v>0</v>
      </c>
      <c r="CC25" s="54">
        <f t="shared" si="2"/>
        <v>0</v>
      </c>
      <c r="CD25" s="54">
        <f t="shared" si="2"/>
        <v>0</v>
      </c>
      <c r="CE25" s="54">
        <f t="shared" si="2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3"/>
        <v>0</v>
      </c>
      <c r="AI26" s="129">
        <f>Troupeau!B80</f>
        <v>0</v>
      </c>
      <c r="AK26" s="54">
        <f t="shared" si="4"/>
        <v>0</v>
      </c>
      <c r="AL26" s="54">
        <f t="shared" si="5"/>
        <v>0</v>
      </c>
      <c r="AM26" s="54">
        <f t="shared" si="5"/>
        <v>0</v>
      </c>
      <c r="AN26" s="54">
        <f t="shared" si="1"/>
        <v>0</v>
      </c>
      <c r="AO26" s="54">
        <f t="shared" si="1"/>
        <v>0</v>
      </c>
      <c r="AP26" s="54">
        <f t="shared" si="1"/>
        <v>0</v>
      </c>
      <c r="AQ26" s="54">
        <f t="shared" si="1"/>
        <v>0</v>
      </c>
      <c r="AR26" s="54">
        <f t="shared" si="1"/>
        <v>0</v>
      </c>
      <c r="AS26" s="54">
        <f t="shared" si="1"/>
        <v>0</v>
      </c>
      <c r="AT26" s="54">
        <f t="shared" si="1"/>
        <v>0</v>
      </c>
      <c r="AU26" s="54">
        <f t="shared" si="1"/>
        <v>0</v>
      </c>
      <c r="AV26" s="54">
        <f t="shared" si="1"/>
        <v>0</v>
      </c>
      <c r="AW26" s="54">
        <f t="shared" si="1"/>
        <v>0</v>
      </c>
      <c r="AX26" s="54">
        <f t="shared" si="1"/>
        <v>0</v>
      </c>
      <c r="AY26" s="54">
        <f t="shared" si="1"/>
        <v>0</v>
      </c>
      <c r="AZ26" s="54">
        <f t="shared" si="1"/>
        <v>0</v>
      </c>
      <c r="BA26" s="54">
        <f t="shared" si="1"/>
        <v>0</v>
      </c>
      <c r="BB26" s="54">
        <f t="shared" si="1"/>
        <v>0</v>
      </c>
      <c r="BC26" s="54">
        <f t="shared" si="2"/>
        <v>0</v>
      </c>
      <c r="BD26" s="54">
        <f t="shared" si="2"/>
        <v>0</v>
      </c>
      <c r="BE26" s="54">
        <f t="shared" si="2"/>
        <v>0</v>
      </c>
      <c r="BF26" s="54">
        <f t="shared" si="2"/>
        <v>0</v>
      </c>
      <c r="BG26" s="54">
        <f t="shared" si="2"/>
        <v>0</v>
      </c>
      <c r="BH26" s="54">
        <f t="shared" si="2"/>
        <v>0</v>
      </c>
      <c r="BI26" s="54">
        <f t="shared" si="2"/>
        <v>0</v>
      </c>
      <c r="BJ26" s="54">
        <f t="shared" si="2"/>
        <v>0</v>
      </c>
      <c r="BK26" s="54">
        <f t="shared" si="2"/>
        <v>0</v>
      </c>
      <c r="BL26" s="54">
        <f t="shared" si="2"/>
        <v>0</v>
      </c>
      <c r="BM26" s="54">
        <f t="shared" si="2"/>
        <v>0</v>
      </c>
      <c r="BN26" s="54">
        <f t="shared" si="2"/>
        <v>0</v>
      </c>
      <c r="BO26" s="54">
        <f t="shared" si="2"/>
        <v>0</v>
      </c>
      <c r="BP26" s="54">
        <f t="shared" si="2"/>
        <v>0</v>
      </c>
      <c r="BQ26" s="54">
        <f t="shared" si="2"/>
        <v>0</v>
      </c>
      <c r="BR26" s="54">
        <f t="shared" si="2"/>
        <v>0</v>
      </c>
      <c r="BS26" s="54">
        <f t="shared" si="2"/>
        <v>0</v>
      </c>
      <c r="BT26" s="54">
        <f t="shared" si="2"/>
        <v>0</v>
      </c>
      <c r="BU26" s="54">
        <f t="shared" si="2"/>
        <v>0</v>
      </c>
      <c r="BV26" s="54">
        <f t="shared" si="2"/>
        <v>0</v>
      </c>
      <c r="BW26" s="54">
        <f t="shared" si="2"/>
        <v>0</v>
      </c>
      <c r="BX26" s="54">
        <f t="shared" si="2"/>
        <v>0</v>
      </c>
      <c r="BY26" s="54">
        <f t="shared" si="2"/>
        <v>0</v>
      </c>
      <c r="BZ26" s="54">
        <f t="shared" si="2"/>
        <v>0</v>
      </c>
      <c r="CA26" s="54">
        <f t="shared" ref="BC26:CE35" si="6">IF($AH26=CA$17,ROUND($AI26/1000,1),0)</f>
        <v>0</v>
      </c>
      <c r="CB26" s="54">
        <f t="shared" si="6"/>
        <v>0</v>
      </c>
      <c r="CC26" s="54">
        <f t="shared" si="6"/>
        <v>0</v>
      </c>
      <c r="CD26" s="54">
        <f t="shared" si="6"/>
        <v>0</v>
      </c>
      <c r="CE26" s="54">
        <f t="shared" si="6"/>
        <v>0</v>
      </c>
    </row>
    <row r="27" spans="1:83" x14ac:dyDescent="0.25">
      <c r="A27" s="127" t="str">
        <f>A$15</f>
        <v>brebis</v>
      </c>
      <c r="B27" s="60">
        <v>0.14000000000000001</v>
      </c>
      <c r="C27" s="60">
        <v>0.14000000000000001</v>
      </c>
      <c r="D27" s="60">
        <v>0.14000000000000001</v>
      </c>
      <c r="E27" s="60">
        <v>0.14000000000000001</v>
      </c>
      <c r="F27" s="60">
        <v>0.14000000000000001</v>
      </c>
      <c r="G27" s="60">
        <v>0.14000000000000001</v>
      </c>
      <c r="H27" s="60">
        <v>0.14000000000000001</v>
      </c>
      <c r="I27" s="60">
        <v>0.14000000000000001</v>
      </c>
      <c r="J27" s="60">
        <v>0.14000000000000001</v>
      </c>
      <c r="K27" s="60">
        <v>0.14000000000000001</v>
      </c>
      <c r="L27" s="60">
        <v>0.14000000000000001</v>
      </c>
      <c r="M27" s="60">
        <v>0.14000000000000001</v>
      </c>
      <c r="N27" s="60">
        <v>0.14000000000000001</v>
      </c>
      <c r="O27" s="60">
        <v>0.14000000000000001</v>
      </c>
      <c r="P27" s="60">
        <v>0.14000000000000001</v>
      </c>
      <c r="Q27" s="60">
        <v>0.14000000000000001</v>
      </c>
      <c r="R27" s="60">
        <v>0.14000000000000001</v>
      </c>
      <c r="S27" s="60">
        <v>0.14000000000000001</v>
      </c>
      <c r="T27" s="60">
        <v>0.14000000000000001</v>
      </c>
      <c r="U27" s="60">
        <v>0.14000000000000001</v>
      </c>
      <c r="V27" s="60">
        <v>0.14000000000000001</v>
      </c>
      <c r="W27" s="60">
        <v>0.14000000000000001</v>
      </c>
      <c r="X27" s="60">
        <v>0.14000000000000001</v>
      </c>
      <c r="Y27" s="60">
        <v>0.14000000000000001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3"/>
        <v>0</v>
      </c>
      <c r="AI27" s="129">
        <f>Troupeau!B81</f>
        <v>0</v>
      </c>
      <c r="AK27" s="54">
        <f t="shared" si="4"/>
        <v>0</v>
      </c>
      <c r="AL27" s="54">
        <f t="shared" si="5"/>
        <v>0</v>
      </c>
      <c r="AM27" s="54">
        <f t="shared" si="5"/>
        <v>0</v>
      </c>
      <c r="AN27" s="54">
        <f t="shared" si="1"/>
        <v>0</v>
      </c>
      <c r="AO27" s="54">
        <f t="shared" si="1"/>
        <v>0</v>
      </c>
      <c r="AP27" s="54">
        <f t="shared" si="1"/>
        <v>0</v>
      </c>
      <c r="AQ27" s="54">
        <f t="shared" si="1"/>
        <v>0</v>
      </c>
      <c r="AR27" s="54">
        <f t="shared" si="1"/>
        <v>0</v>
      </c>
      <c r="AS27" s="54">
        <f t="shared" si="1"/>
        <v>0</v>
      </c>
      <c r="AT27" s="54">
        <f t="shared" si="1"/>
        <v>0</v>
      </c>
      <c r="AU27" s="54">
        <f t="shared" si="1"/>
        <v>0</v>
      </c>
      <c r="AV27" s="54">
        <f t="shared" si="1"/>
        <v>0</v>
      </c>
      <c r="AW27" s="54">
        <f t="shared" si="1"/>
        <v>0</v>
      </c>
      <c r="AX27" s="54">
        <f t="shared" si="1"/>
        <v>0</v>
      </c>
      <c r="AY27" s="54">
        <f t="shared" si="1"/>
        <v>0</v>
      </c>
      <c r="AZ27" s="54">
        <f t="shared" si="1"/>
        <v>0</v>
      </c>
      <c r="BA27" s="54">
        <f t="shared" si="1"/>
        <v>0</v>
      </c>
      <c r="BB27" s="54">
        <f t="shared" si="1"/>
        <v>0</v>
      </c>
      <c r="BC27" s="54">
        <f t="shared" si="6"/>
        <v>0</v>
      </c>
      <c r="BD27" s="54">
        <f t="shared" si="6"/>
        <v>0</v>
      </c>
      <c r="BE27" s="54">
        <f t="shared" si="6"/>
        <v>0</v>
      </c>
      <c r="BF27" s="54">
        <f t="shared" si="6"/>
        <v>0</v>
      </c>
      <c r="BG27" s="54">
        <f t="shared" si="6"/>
        <v>0</v>
      </c>
      <c r="BH27" s="54">
        <f t="shared" si="6"/>
        <v>0</v>
      </c>
      <c r="BI27" s="54">
        <f t="shared" si="6"/>
        <v>0</v>
      </c>
      <c r="BJ27" s="54">
        <f t="shared" si="6"/>
        <v>0</v>
      </c>
      <c r="BK27" s="54">
        <f t="shared" si="6"/>
        <v>0</v>
      </c>
      <c r="BL27" s="54">
        <f t="shared" si="6"/>
        <v>0</v>
      </c>
      <c r="BM27" s="54">
        <f t="shared" si="6"/>
        <v>0</v>
      </c>
      <c r="BN27" s="54">
        <f t="shared" si="6"/>
        <v>0</v>
      </c>
      <c r="BO27" s="54">
        <f t="shared" si="6"/>
        <v>0</v>
      </c>
      <c r="BP27" s="54">
        <f t="shared" si="6"/>
        <v>0</v>
      </c>
      <c r="BQ27" s="54">
        <f t="shared" si="6"/>
        <v>0</v>
      </c>
      <c r="BR27" s="54">
        <f t="shared" si="6"/>
        <v>0</v>
      </c>
      <c r="BS27" s="54">
        <f t="shared" si="6"/>
        <v>0</v>
      </c>
      <c r="BT27" s="54">
        <f t="shared" si="6"/>
        <v>0</v>
      </c>
      <c r="BU27" s="54">
        <f t="shared" si="6"/>
        <v>0</v>
      </c>
      <c r="BV27" s="54">
        <f t="shared" si="6"/>
        <v>0</v>
      </c>
      <c r="BW27" s="54">
        <f t="shared" si="6"/>
        <v>0</v>
      </c>
      <c r="BX27" s="54">
        <f t="shared" si="6"/>
        <v>0</v>
      </c>
      <c r="BY27" s="54">
        <f t="shared" si="6"/>
        <v>0</v>
      </c>
      <c r="BZ27" s="54">
        <f t="shared" si="6"/>
        <v>0</v>
      </c>
      <c r="CA27" s="54">
        <f t="shared" si="6"/>
        <v>0</v>
      </c>
      <c r="CB27" s="54">
        <f t="shared" si="6"/>
        <v>0</v>
      </c>
      <c r="CC27" s="54">
        <f t="shared" si="6"/>
        <v>0</v>
      </c>
      <c r="CD27" s="54">
        <f t="shared" si="6"/>
        <v>0</v>
      </c>
      <c r="CE27" s="54">
        <f t="shared" si="6"/>
        <v>0</v>
      </c>
    </row>
    <row r="28" spans="1:83" x14ac:dyDescent="0.25">
      <c r="A28" s="128" t="str">
        <f>A$16</f>
        <v>vides</v>
      </c>
      <c r="B28" s="60">
        <v>0.14000000000000001</v>
      </c>
      <c r="C28" s="60">
        <v>0.14000000000000001</v>
      </c>
      <c r="D28" s="60">
        <v>0.14000000000000001</v>
      </c>
      <c r="E28" s="60">
        <v>0.14000000000000001</v>
      </c>
      <c r="F28" s="60">
        <v>0.14000000000000001</v>
      </c>
      <c r="G28" s="60">
        <v>0.14000000000000001</v>
      </c>
      <c r="H28" s="60">
        <v>0.14000000000000001</v>
      </c>
      <c r="I28" s="60">
        <v>0.14000000000000001</v>
      </c>
      <c r="J28" s="60">
        <v>0.14000000000000001</v>
      </c>
      <c r="K28" s="60">
        <v>0.14000000000000001</v>
      </c>
      <c r="L28" s="60">
        <v>0.14000000000000001</v>
      </c>
      <c r="M28" s="60">
        <v>0.14000000000000001</v>
      </c>
      <c r="N28" s="60">
        <v>0.14000000000000001</v>
      </c>
      <c r="O28" s="60">
        <v>0.14000000000000001</v>
      </c>
      <c r="P28" s="60">
        <v>0.14000000000000001</v>
      </c>
      <c r="Q28" s="60">
        <v>0.14000000000000001</v>
      </c>
      <c r="R28" s="60">
        <v>0.14000000000000001</v>
      </c>
      <c r="S28" s="60">
        <v>0.14000000000000001</v>
      </c>
      <c r="T28" s="60">
        <v>0.14000000000000001</v>
      </c>
      <c r="U28" s="60">
        <v>0.14000000000000001</v>
      </c>
      <c r="V28" s="60">
        <v>0.14000000000000001</v>
      </c>
      <c r="W28" s="60">
        <v>0.14000000000000001</v>
      </c>
      <c r="X28" s="60">
        <v>0.14000000000000001</v>
      </c>
      <c r="Y28" s="60">
        <v>0.14000000000000001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3"/>
        <v>0</v>
      </c>
      <c r="AI28" s="129">
        <f>Troupeau!B82</f>
        <v>0</v>
      </c>
      <c r="AK28" s="54">
        <f t="shared" si="4"/>
        <v>0</v>
      </c>
      <c r="AL28" s="54">
        <f t="shared" si="5"/>
        <v>0</v>
      </c>
      <c r="AM28" s="54">
        <f t="shared" si="5"/>
        <v>0</v>
      </c>
      <c r="AN28" s="54">
        <f t="shared" si="1"/>
        <v>0</v>
      </c>
      <c r="AO28" s="54">
        <f t="shared" si="1"/>
        <v>0</v>
      </c>
      <c r="AP28" s="54">
        <f t="shared" si="1"/>
        <v>0</v>
      </c>
      <c r="AQ28" s="54">
        <f t="shared" si="1"/>
        <v>0</v>
      </c>
      <c r="AR28" s="54">
        <f t="shared" si="1"/>
        <v>0</v>
      </c>
      <c r="AS28" s="54">
        <f t="shared" si="1"/>
        <v>0</v>
      </c>
      <c r="AT28" s="54">
        <f t="shared" si="1"/>
        <v>0</v>
      </c>
      <c r="AU28" s="54">
        <f t="shared" si="1"/>
        <v>0</v>
      </c>
      <c r="AV28" s="54">
        <f t="shared" si="1"/>
        <v>0</v>
      </c>
      <c r="AW28" s="54">
        <f t="shared" si="1"/>
        <v>0</v>
      </c>
      <c r="AX28" s="54">
        <f t="shared" si="1"/>
        <v>0</v>
      </c>
      <c r="AY28" s="54">
        <f t="shared" si="1"/>
        <v>0</v>
      </c>
      <c r="AZ28" s="54">
        <f t="shared" si="1"/>
        <v>0</v>
      </c>
      <c r="BA28" s="54">
        <f t="shared" si="1"/>
        <v>0</v>
      </c>
      <c r="BB28" s="54">
        <f t="shared" si="1"/>
        <v>0</v>
      </c>
      <c r="BC28" s="54">
        <f t="shared" si="6"/>
        <v>0</v>
      </c>
      <c r="BD28" s="54">
        <f t="shared" si="6"/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agnelles</v>
      </c>
      <c r="B29" s="60">
        <v>2.8000000000000001E-2</v>
      </c>
      <c r="C29" s="60">
        <v>2.8000000000000001E-2</v>
      </c>
      <c r="D29" s="60">
        <v>2.8000000000000001E-2</v>
      </c>
      <c r="E29" s="60">
        <v>2.8000000000000001E-2</v>
      </c>
      <c r="F29" s="60">
        <v>2.8000000000000001E-2</v>
      </c>
      <c r="G29" s="60">
        <v>2.8000000000000001E-2</v>
      </c>
      <c r="H29" s="60">
        <v>2.8000000000000001E-2</v>
      </c>
      <c r="I29" s="60">
        <v>2.8000000000000001E-2</v>
      </c>
      <c r="J29" s="60">
        <v>7.0000000000000007E-2</v>
      </c>
      <c r="K29" s="60">
        <v>7.0000000000000007E-2</v>
      </c>
      <c r="L29" s="60">
        <v>7.0000000000000007E-2</v>
      </c>
      <c r="M29" s="60">
        <v>7.0000000000000007E-2</v>
      </c>
      <c r="N29" s="60">
        <v>7.0000000000000007E-2</v>
      </c>
      <c r="O29" s="60">
        <v>7.0000000000000007E-2</v>
      </c>
      <c r="P29" s="60">
        <v>7.0000000000000007E-2</v>
      </c>
      <c r="Q29" s="60">
        <v>7.0000000000000007E-2</v>
      </c>
      <c r="R29" s="60">
        <v>7.0000000000000007E-2</v>
      </c>
      <c r="S29" s="60">
        <v>7.0000000000000007E-2</v>
      </c>
      <c r="T29" s="60">
        <v>7.0000000000000007E-2</v>
      </c>
      <c r="U29" s="60">
        <v>2.8000000000000001E-2</v>
      </c>
      <c r="V29" s="60">
        <v>2.8000000000000001E-2</v>
      </c>
      <c r="W29" s="60">
        <v>2.8000000000000001E-2</v>
      </c>
      <c r="X29" s="60">
        <v>2.8000000000000001E-2</v>
      </c>
      <c r="Y29" s="60">
        <v>2.8000000000000001E-2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3"/>
        <v>0</v>
      </c>
      <c r="AI29" s="129">
        <f>Troupeau!B83</f>
        <v>0</v>
      </c>
      <c r="AK29" s="54">
        <f t="shared" si="4"/>
        <v>0</v>
      </c>
      <c r="AL29" s="54">
        <f t="shared" si="5"/>
        <v>0</v>
      </c>
      <c r="AM29" s="54">
        <f t="shared" si="5"/>
        <v>0</v>
      </c>
      <c r="AN29" s="54">
        <f t="shared" si="1"/>
        <v>0</v>
      </c>
      <c r="AO29" s="54">
        <f t="shared" si="1"/>
        <v>0</v>
      </c>
      <c r="AP29" s="54">
        <f t="shared" si="1"/>
        <v>0</v>
      </c>
      <c r="AQ29" s="54">
        <f t="shared" si="1"/>
        <v>0</v>
      </c>
      <c r="AR29" s="54">
        <f t="shared" si="1"/>
        <v>0</v>
      </c>
      <c r="AS29" s="54">
        <f t="shared" si="1"/>
        <v>0</v>
      </c>
      <c r="AT29" s="54">
        <f t="shared" si="1"/>
        <v>0</v>
      </c>
      <c r="AU29" s="54">
        <f t="shared" si="1"/>
        <v>0</v>
      </c>
      <c r="AV29" s="54">
        <f t="shared" si="1"/>
        <v>0</v>
      </c>
      <c r="AW29" s="54">
        <f t="shared" si="1"/>
        <v>0</v>
      </c>
      <c r="AX29" s="54">
        <f t="shared" si="1"/>
        <v>0</v>
      </c>
      <c r="AY29" s="54">
        <f t="shared" si="1"/>
        <v>0</v>
      </c>
      <c r="AZ29" s="54">
        <f t="shared" si="1"/>
        <v>0</v>
      </c>
      <c r="BA29" s="54">
        <f t="shared" si="1"/>
        <v>0</v>
      </c>
      <c r="BB29" s="54">
        <f t="shared" si="1"/>
        <v>0</v>
      </c>
      <c r="BC29" s="54">
        <f t="shared" si="6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beliers</v>
      </c>
      <c r="B30" s="60">
        <v>0.14000000000000001</v>
      </c>
      <c r="C30" s="60">
        <v>0.14000000000000001</v>
      </c>
      <c r="D30" s="60">
        <v>0.14000000000000001</v>
      </c>
      <c r="E30" s="60">
        <v>0.14000000000000001</v>
      </c>
      <c r="F30" s="60">
        <v>0.14000000000000001</v>
      </c>
      <c r="G30" s="60">
        <v>0.14000000000000001</v>
      </c>
      <c r="H30" s="60">
        <v>0.14000000000000001</v>
      </c>
      <c r="I30" s="60">
        <v>0.14000000000000001</v>
      </c>
      <c r="J30" s="60">
        <v>0.14000000000000001</v>
      </c>
      <c r="K30" s="60">
        <v>0.14000000000000001</v>
      </c>
      <c r="L30" s="60">
        <v>0.14000000000000001</v>
      </c>
      <c r="M30" s="60">
        <v>0.14000000000000001</v>
      </c>
      <c r="N30" s="60">
        <v>0.14000000000000001</v>
      </c>
      <c r="O30" s="60">
        <v>0.14000000000000001</v>
      </c>
      <c r="P30" s="60">
        <v>0.14000000000000001</v>
      </c>
      <c r="Q30" s="60">
        <v>0.14000000000000001</v>
      </c>
      <c r="R30" s="60">
        <v>0.14000000000000001</v>
      </c>
      <c r="S30" s="60">
        <v>0.14000000000000001</v>
      </c>
      <c r="T30" s="60">
        <v>0.14000000000000001</v>
      </c>
      <c r="U30" s="60">
        <v>0.14000000000000001</v>
      </c>
      <c r="V30" s="60">
        <v>0.14000000000000001</v>
      </c>
      <c r="W30" s="60">
        <v>0.14000000000000001</v>
      </c>
      <c r="X30" s="60">
        <v>0.14000000000000001</v>
      </c>
      <c r="Y30" s="60">
        <v>0.14000000000000001</v>
      </c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3"/>
        <v>0</v>
      </c>
      <c r="AI30" s="129">
        <f>Troupeau!B84</f>
        <v>0</v>
      </c>
      <c r="AK30" s="54">
        <f t="shared" si="4"/>
        <v>0</v>
      </c>
      <c r="AL30" s="54">
        <f t="shared" si="5"/>
        <v>0</v>
      </c>
      <c r="AM30" s="54">
        <f t="shared" si="5"/>
        <v>0</v>
      </c>
      <c r="AN30" s="54">
        <f t="shared" si="1"/>
        <v>0</v>
      </c>
      <c r="AO30" s="54">
        <f t="shared" si="1"/>
        <v>0</v>
      </c>
      <c r="AP30" s="54">
        <f t="shared" si="1"/>
        <v>0</v>
      </c>
      <c r="AQ30" s="54">
        <f t="shared" si="1"/>
        <v>0</v>
      </c>
      <c r="AR30" s="54">
        <f t="shared" si="1"/>
        <v>0</v>
      </c>
      <c r="AS30" s="54">
        <f t="shared" si="1"/>
        <v>0</v>
      </c>
      <c r="AT30" s="54">
        <f t="shared" si="1"/>
        <v>0</v>
      </c>
      <c r="AU30" s="54">
        <f t="shared" si="1"/>
        <v>0</v>
      </c>
      <c r="AV30" s="54">
        <f t="shared" si="1"/>
        <v>0</v>
      </c>
      <c r="AW30" s="54">
        <f t="shared" si="1"/>
        <v>0</v>
      </c>
      <c r="AX30" s="54">
        <f t="shared" si="1"/>
        <v>0</v>
      </c>
      <c r="AY30" s="54">
        <f t="shared" si="1"/>
        <v>0</v>
      </c>
      <c r="AZ30" s="54">
        <f t="shared" si="1"/>
        <v>0</v>
      </c>
      <c r="BA30" s="54">
        <f t="shared" si="1"/>
        <v>0</v>
      </c>
      <c r="BB30" s="54">
        <f t="shared" si="1"/>
        <v>0</v>
      </c>
      <c r="BC30" s="54">
        <f t="shared" si="6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3"/>
        <v>0</v>
      </c>
      <c r="AI31" s="129">
        <f>Troupeau!B85</f>
        <v>0</v>
      </c>
      <c r="AK31" s="54">
        <f t="shared" si="4"/>
        <v>0</v>
      </c>
      <c r="AL31" s="54">
        <f t="shared" si="5"/>
        <v>0</v>
      </c>
      <c r="AM31" s="54">
        <f t="shared" si="5"/>
        <v>0</v>
      </c>
      <c r="AN31" s="54">
        <f t="shared" si="1"/>
        <v>0</v>
      </c>
      <c r="AO31" s="54">
        <f t="shared" si="1"/>
        <v>0</v>
      </c>
      <c r="AP31" s="54">
        <f t="shared" si="1"/>
        <v>0</v>
      </c>
      <c r="AQ31" s="54">
        <f t="shared" si="1"/>
        <v>0</v>
      </c>
      <c r="AR31" s="54">
        <f t="shared" si="1"/>
        <v>0</v>
      </c>
      <c r="AS31" s="54">
        <f t="shared" si="1"/>
        <v>0</v>
      </c>
      <c r="AT31" s="54">
        <f t="shared" si="1"/>
        <v>0</v>
      </c>
      <c r="AU31" s="54">
        <f t="shared" si="1"/>
        <v>0</v>
      </c>
      <c r="AV31" s="54">
        <f t="shared" si="1"/>
        <v>0</v>
      </c>
      <c r="AW31" s="54">
        <f t="shared" si="1"/>
        <v>0</v>
      </c>
      <c r="AX31" s="54">
        <f t="shared" si="1"/>
        <v>0</v>
      </c>
      <c r="AY31" s="54">
        <f t="shared" si="1"/>
        <v>0</v>
      </c>
      <c r="AZ31" s="54">
        <f t="shared" si="1"/>
        <v>0</v>
      </c>
      <c r="BA31" s="54">
        <f t="shared" si="1"/>
        <v>0</v>
      </c>
      <c r="BB31" s="54">
        <f t="shared" si="1"/>
        <v>0</v>
      </c>
      <c r="BC31" s="54">
        <f t="shared" si="6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3"/>
        <v>0</v>
      </c>
      <c r="AI32" s="129">
        <f>Troupeau!B86</f>
        <v>0</v>
      </c>
      <c r="AK32" s="54">
        <f t="shared" si="4"/>
        <v>0</v>
      </c>
      <c r="AL32" s="54">
        <f t="shared" si="5"/>
        <v>0</v>
      </c>
      <c r="AM32" s="54">
        <f t="shared" si="5"/>
        <v>0</v>
      </c>
      <c r="AN32" s="54">
        <f t="shared" si="1"/>
        <v>0</v>
      </c>
      <c r="AO32" s="54">
        <f t="shared" si="1"/>
        <v>0</v>
      </c>
      <c r="AP32" s="54">
        <f t="shared" si="1"/>
        <v>0</v>
      </c>
      <c r="AQ32" s="54">
        <f t="shared" si="1"/>
        <v>0</v>
      </c>
      <c r="AR32" s="54">
        <f t="shared" si="1"/>
        <v>0</v>
      </c>
      <c r="AS32" s="54">
        <f t="shared" si="1"/>
        <v>0</v>
      </c>
      <c r="AT32" s="54">
        <f t="shared" si="1"/>
        <v>0</v>
      </c>
      <c r="AU32" s="54">
        <f t="shared" si="1"/>
        <v>0</v>
      </c>
      <c r="AV32" s="54">
        <f t="shared" si="1"/>
        <v>0</v>
      </c>
      <c r="AW32" s="54">
        <f t="shared" si="1"/>
        <v>0</v>
      </c>
      <c r="AX32" s="54">
        <f t="shared" si="1"/>
        <v>0</v>
      </c>
      <c r="AY32" s="54">
        <f t="shared" si="1"/>
        <v>0</v>
      </c>
      <c r="AZ32" s="54">
        <f t="shared" si="1"/>
        <v>0</v>
      </c>
      <c r="BA32" s="54">
        <f t="shared" si="1"/>
        <v>0</v>
      </c>
      <c r="BB32" s="54">
        <f t="shared" si="1"/>
        <v>0</v>
      </c>
      <c r="BC32" s="54">
        <f t="shared" si="6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3"/>
        <v>0</v>
      </c>
      <c r="AI33" s="129">
        <f>Troupeau!B87</f>
        <v>0</v>
      </c>
      <c r="AK33" s="54">
        <f t="shared" si="4"/>
        <v>0</v>
      </c>
      <c r="AL33" s="54">
        <f t="shared" si="5"/>
        <v>0</v>
      </c>
      <c r="AM33" s="54">
        <f t="shared" si="5"/>
        <v>0</v>
      </c>
      <c r="AN33" s="54">
        <f t="shared" si="1"/>
        <v>0</v>
      </c>
      <c r="AO33" s="54">
        <f t="shared" si="1"/>
        <v>0</v>
      </c>
      <c r="AP33" s="54">
        <f t="shared" si="1"/>
        <v>0</v>
      </c>
      <c r="AQ33" s="54">
        <f t="shared" si="1"/>
        <v>0</v>
      </c>
      <c r="AR33" s="54">
        <f t="shared" si="1"/>
        <v>0</v>
      </c>
      <c r="AS33" s="54">
        <f t="shared" si="1"/>
        <v>0</v>
      </c>
      <c r="AT33" s="54">
        <f t="shared" si="1"/>
        <v>0</v>
      </c>
      <c r="AU33" s="54">
        <f t="shared" si="1"/>
        <v>0</v>
      </c>
      <c r="AV33" s="54">
        <f t="shared" si="1"/>
        <v>0</v>
      </c>
      <c r="AW33" s="54">
        <f t="shared" si="1"/>
        <v>0</v>
      </c>
      <c r="AX33" s="54">
        <f t="shared" si="1"/>
        <v>0</v>
      </c>
      <c r="AY33" s="54">
        <f t="shared" si="1"/>
        <v>0</v>
      </c>
      <c r="AZ33" s="54">
        <f t="shared" si="1"/>
        <v>0</v>
      </c>
      <c r="BA33" s="54">
        <f t="shared" si="1"/>
        <v>0</v>
      </c>
      <c r="BB33" s="54">
        <f t="shared" si="1"/>
        <v>0</v>
      </c>
      <c r="BC33" s="54">
        <f t="shared" si="6"/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3"/>
        <v>0</v>
      </c>
      <c r="AI34" s="129">
        <f>Troupeau!B88</f>
        <v>0</v>
      </c>
      <c r="AK34" s="54">
        <f t="shared" si="4"/>
        <v>0</v>
      </c>
      <c r="AL34" s="54">
        <f t="shared" si="5"/>
        <v>0</v>
      </c>
      <c r="AM34" s="54">
        <f t="shared" si="5"/>
        <v>0</v>
      </c>
      <c r="AN34" s="54">
        <f t="shared" si="5"/>
        <v>0</v>
      </c>
      <c r="AO34" s="54">
        <f t="shared" si="5"/>
        <v>0</v>
      </c>
      <c r="AP34" s="54">
        <f t="shared" si="5"/>
        <v>0</v>
      </c>
      <c r="AQ34" s="54">
        <f t="shared" si="5"/>
        <v>0</v>
      </c>
      <c r="AR34" s="54">
        <f t="shared" si="5"/>
        <v>0</v>
      </c>
      <c r="AS34" s="54">
        <f t="shared" si="5"/>
        <v>0</v>
      </c>
      <c r="AT34" s="54">
        <f t="shared" si="5"/>
        <v>0</v>
      </c>
      <c r="AU34" s="54">
        <f t="shared" si="5"/>
        <v>0</v>
      </c>
      <c r="AV34" s="54">
        <f t="shared" si="5"/>
        <v>0</v>
      </c>
      <c r="AW34" s="54">
        <f t="shared" si="5"/>
        <v>0</v>
      </c>
      <c r="AX34" s="54">
        <f t="shared" si="5"/>
        <v>0</v>
      </c>
      <c r="AY34" s="54">
        <f t="shared" si="5"/>
        <v>0</v>
      </c>
      <c r="AZ34" s="54">
        <f t="shared" si="5"/>
        <v>0</v>
      </c>
      <c r="BA34" s="54">
        <f t="shared" si="5"/>
        <v>0</v>
      </c>
      <c r="BB34" s="54">
        <f t="shared" ref="AN34:BC50" si="7">IF($AH34=BB$17,ROUND($AI34/1000,1),0)</f>
        <v>0</v>
      </c>
      <c r="BC34" s="54">
        <f t="shared" si="6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3"/>
        <v>0</v>
      </c>
      <c r="AI35" s="129">
        <f>Troupeau!B89</f>
        <v>0</v>
      </c>
      <c r="AK35" s="54">
        <f t="shared" si="4"/>
        <v>0</v>
      </c>
      <c r="AL35" s="54">
        <f t="shared" ref="AL35:BA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6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ref="BU35:CE35" si="9">IF($AH35=BU$17,ROUND($AI35/1000,1),0)</f>
        <v>0</v>
      </c>
      <c r="BV35" s="54">
        <f t="shared" si="9"/>
        <v>0</v>
      </c>
      <c r="BW35" s="54">
        <f t="shared" si="9"/>
        <v>0</v>
      </c>
      <c r="BX35" s="54">
        <f t="shared" si="9"/>
        <v>0</v>
      </c>
      <c r="BY35" s="54">
        <f t="shared" si="9"/>
        <v>0</v>
      </c>
      <c r="BZ35" s="54">
        <f t="shared" si="9"/>
        <v>0</v>
      </c>
      <c r="CA35" s="54">
        <f t="shared" si="9"/>
        <v>0</v>
      </c>
      <c r="CB35" s="54">
        <f t="shared" si="9"/>
        <v>0</v>
      </c>
      <c r="CC35" s="54">
        <f t="shared" si="9"/>
        <v>0</v>
      </c>
      <c r="CD35" s="54">
        <f t="shared" si="9"/>
        <v>0</v>
      </c>
      <c r="CE35" s="54">
        <f t="shared" si="9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3"/>
        <v>0</v>
      </c>
      <c r="AI36" s="129">
        <f>Troupeau!B90</f>
        <v>0</v>
      </c>
      <c r="AK36" s="54">
        <f t="shared" si="4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ref="BD36:BS52" si="10">IF($AH36=BD$17,ROUND($AI36/1000,1),0)</f>
        <v>0</v>
      </c>
      <c r="BE36" s="54">
        <f t="shared" si="10"/>
        <v>0</v>
      </c>
      <c r="BF36" s="54">
        <f t="shared" si="10"/>
        <v>0</v>
      </c>
      <c r="BG36" s="54">
        <f t="shared" si="10"/>
        <v>0</v>
      </c>
      <c r="BH36" s="54">
        <f t="shared" si="10"/>
        <v>0</v>
      </c>
      <c r="BI36" s="54">
        <f t="shared" si="10"/>
        <v>0</v>
      </c>
      <c r="BJ36" s="54">
        <f t="shared" si="10"/>
        <v>0</v>
      </c>
      <c r="BK36" s="54">
        <f t="shared" si="10"/>
        <v>0</v>
      </c>
      <c r="BL36" s="54">
        <f t="shared" si="10"/>
        <v>0</v>
      </c>
      <c r="BM36" s="54">
        <f t="shared" si="10"/>
        <v>0</v>
      </c>
      <c r="BN36" s="54">
        <f t="shared" si="10"/>
        <v>0</v>
      </c>
      <c r="BO36" s="54">
        <f t="shared" si="10"/>
        <v>0</v>
      </c>
      <c r="BP36" s="54">
        <f t="shared" si="10"/>
        <v>0</v>
      </c>
      <c r="BQ36" s="54">
        <f t="shared" si="10"/>
        <v>0</v>
      </c>
      <c r="BR36" s="54">
        <f t="shared" si="10"/>
        <v>0</v>
      </c>
      <c r="BS36" s="54">
        <f t="shared" si="10"/>
        <v>0</v>
      </c>
      <c r="BT36" s="54">
        <f t="shared" ref="BT36:CE52" si="11">IF($AH36=BT$17,ROUND($AI36/1000,1),0)</f>
        <v>0</v>
      </c>
      <c r="BU36" s="54">
        <f t="shared" si="11"/>
        <v>0</v>
      </c>
      <c r="BV36" s="54">
        <f t="shared" si="11"/>
        <v>0</v>
      </c>
      <c r="BW36" s="54">
        <f t="shared" si="11"/>
        <v>0</v>
      </c>
      <c r="BX36" s="54">
        <f t="shared" si="11"/>
        <v>0</v>
      </c>
      <c r="BY36" s="54">
        <f t="shared" si="11"/>
        <v>0</v>
      </c>
      <c r="BZ36" s="54">
        <f t="shared" si="11"/>
        <v>0</v>
      </c>
      <c r="CA36" s="54">
        <f t="shared" si="11"/>
        <v>0</v>
      </c>
      <c r="CB36" s="54">
        <f t="shared" si="11"/>
        <v>0</v>
      </c>
      <c r="CC36" s="54">
        <f t="shared" si="11"/>
        <v>0</v>
      </c>
      <c r="CD36" s="54">
        <f t="shared" si="11"/>
        <v>0</v>
      </c>
      <c r="CE36" s="54">
        <f t="shared" si="11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3"/>
        <v>0</v>
      </c>
      <c r="AI37" s="129">
        <f>Troupeau!B91</f>
        <v>0</v>
      </c>
      <c r="AK37" s="54">
        <f t="shared" si="4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10"/>
        <v>0</v>
      </c>
      <c r="BE37" s="54">
        <f t="shared" si="10"/>
        <v>0</v>
      </c>
      <c r="BF37" s="54">
        <f t="shared" si="10"/>
        <v>0</v>
      </c>
      <c r="BG37" s="54">
        <f t="shared" si="10"/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1"/>
        <v>0</v>
      </c>
      <c r="BU37" s="54">
        <f t="shared" si="11"/>
        <v>0</v>
      </c>
      <c r="BV37" s="54">
        <f t="shared" si="11"/>
        <v>0</v>
      </c>
      <c r="BW37" s="54">
        <f t="shared" si="11"/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3"/>
        <v>0</v>
      </c>
      <c r="AI38" s="129">
        <f>Troupeau!B92</f>
        <v>0</v>
      </c>
      <c r="AK38" s="54">
        <f t="shared" si="4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si="10"/>
        <v>0</v>
      </c>
      <c r="BE38" s="54">
        <f t="shared" si="10"/>
        <v>0</v>
      </c>
      <c r="BF38" s="54">
        <f t="shared" si="10"/>
        <v>0</v>
      </c>
      <c r="BG38" s="54">
        <f t="shared" si="10"/>
        <v>0</v>
      </c>
      <c r="BH38" s="54">
        <f t="shared" si="10"/>
        <v>0</v>
      </c>
      <c r="BI38" s="54">
        <f t="shared" si="10"/>
        <v>0</v>
      </c>
      <c r="BJ38" s="54">
        <f t="shared" si="10"/>
        <v>0</v>
      </c>
      <c r="BK38" s="54">
        <f t="shared" si="10"/>
        <v>0</v>
      </c>
      <c r="BL38" s="54">
        <f t="shared" si="10"/>
        <v>0</v>
      </c>
      <c r="BM38" s="54">
        <f t="shared" si="10"/>
        <v>0</v>
      </c>
      <c r="BN38" s="54">
        <f t="shared" si="10"/>
        <v>0</v>
      </c>
      <c r="BO38" s="54">
        <f t="shared" si="10"/>
        <v>0</v>
      </c>
      <c r="BP38" s="54">
        <f t="shared" si="10"/>
        <v>0</v>
      </c>
      <c r="BQ38" s="54">
        <f t="shared" si="10"/>
        <v>0</v>
      </c>
      <c r="BR38" s="54">
        <f t="shared" si="10"/>
        <v>0</v>
      </c>
      <c r="BS38" s="54">
        <f t="shared" si="10"/>
        <v>0</v>
      </c>
      <c r="BT38" s="54">
        <f t="shared" si="11"/>
        <v>0</v>
      </c>
      <c r="BU38" s="54">
        <f t="shared" si="11"/>
        <v>0</v>
      </c>
      <c r="BV38" s="54">
        <f t="shared" si="11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brebis</v>
      </c>
      <c r="B39" s="61">
        <f>B15*B27</f>
        <v>37.008695652173913</v>
      </c>
      <c r="C39" s="61">
        <f t="shared" ref="C39:Y48" si="12">C15*C27</f>
        <v>36.638608695652181</v>
      </c>
      <c r="D39" s="61">
        <f t="shared" si="12"/>
        <v>36.268521739130435</v>
      </c>
      <c r="E39" s="61">
        <f t="shared" si="12"/>
        <v>36.083478260869569</v>
      </c>
      <c r="F39" s="61">
        <f t="shared" si="12"/>
        <v>35.898434782608696</v>
      </c>
      <c r="G39" s="61">
        <f t="shared" si="12"/>
        <v>35.71339130434783</v>
      </c>
      <c r="H39" s="61">
        <f t="shared" si="12"/>
        <v>35.528347826086964</v>
      </c>
      <c r="I39" s="61">
        <f t="shared" si="12"/>
        <v>35.343304347826091</v>
      </c>
      <c r="J39" s="61">
        <f t="shared" si="12"/>
        <v>34.973217391304352</v>
      </c>
      <c r="K39" s="61">
        <f t="shared" si="12"/>
        <v>35.71339130434783</v>
      </c>
      <c r="L39" s="61">
        <f t="shared" si="12"/>
        <v>35.71339130434783</v>
      </c>
      <c r="M39" s="61">
        <f t="shared" si="12"/>
        <v>35.71339130434783</v>
      </c>
      <c r="N39" s="61">
        <f t="shared" si="12"/>
        <v>35.71339130434783</v>
      </c>
      <c r="O39" s="61">
        <f t="shared" si="12"/>
        <v>35.71339130434783</v>
      </c>
      <c r="P39" s="61">
        <f t="shared" si="12"/>
        <v>35.71339130434783</v>
      </c>
      <c r="Q39" s="61">
        <f t="shared" si="12"/>
        <v>35.71339130434783</v>
      </c>
      <c r="R39" s="61">
        <f t="shared" si="12"/>
        <v>35.71339130434783</v>
      </c>
      <c r="S39" s="61">
        <f t="shared" si="12"/>
        <v>35.71339130434783</v>
      </c>
      <c r="T39" s="61">
        <f t="shared" si="12"/>
        <v>35.71339130434783</v>
      </c>
      <c r="U39" s="61">
        <f t="shared" si="12"/>
        <v>39.04417391304348</v>
      </c>
      <c r="V39" s="61">
        <f t="shared" si="12"/>
        <v>39.04417391304348</v>
      </c>
      <c r="W39" s="61">
        <f t="shared" si="12"/>
        <v>37.008695652173913</v>
      </c>
      <c r="X39" s="61">
        <f t="shared" si="12"/>
        <v>37.008695652173913</v>
      </c>
      <c r="Y39" s="61">
        <f t="shared" si="12"/>
        <v>37.008695652173913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3"/>
        <v>0</v>
      </c>
      <c r="AI39" s="129">
        <f>Troupeau!B93</f>
        <v>0</v>
      </c>
      <c r="AK39" s="54">
        <f t="shared" si="4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0"/>
        <v>0</v>
      </c>
      <c r="BE39" s="54">
        <f t="shared" si="10"/>
        <v>0</v>
      </c>
      <c r="BF39" s="54">
        <f t="shared" si="10"/>
        <v>0</v>
      </c>
      <c r="BG39" s="54">
        <f t="shared" si="10"/>
        <v>0</v>
      </c>
      <c r="BH39" s="54">
        <f t="shared" si="10"/>
        <v>0</v>
      </c>
      <c r="BI39" s="54">
        <f t="shared" si="10"/>
        <v>0</v>
      </c>
      <c r="BJ39" s="54">
        <f t="shared" si="10"/>
        <v>0</v>
      </c>
      <c r="BK39" s="54">
        <f t="shared" si="10"/>
        <v>0</v>
      </c>
      <c r="BL39" s="54">
        <f t="shared" si="10"/>
        <v>0</v>
      </c>
      <c r="BM39" s="54">
        <f t="shared" si="10"/>
        <v>0</v>
      </c>
      <c r="BN39" s="54">
        <f t="shared" si="10"/>
        <v>0</v>
      </c>
      <c r="BO39" s="54">
        <f t="shared" si="10"/>
        <v>0</v>
      </c>
      <c r="BP39" s="54">
        <f t="shared" si="10"/>
        <v>0</v>
      </c>
      <c r="BQ39" s="54">
        <f t="shared" si="10"/>
        <v>0</v>
      </c>
      <c r="BR39" s="54">
        <f t="shared" si="10"/>
        <v>0</v>
      </c>
      <c r="BS39" s="54">
        <f t="shared" si="10"/>
        <v>0</v>
      </c>
      <c r="BT39" s="54">
        <f t="shared" si="11"/>
        <v>0</v>
      </c>
      <c r="BU39" s="54">
        <f t="shared" si="11"/>
        <v>0</v>
      </c>
      <c r="BV39" s="54">
        <f t="shared" si="11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vides</v>
      </c>
      <c r="B40" s="61">
        <f t="shared" ref="B40:Q48" si="13">B16*B28</f>
        <v>3.5158260869565221</v>
      </c>
      <c r="C40" s="61">
        <f t="shared" si="13"/>
        <v>3.5158260869565221</v>
      </c>
      <c r="D40" s="61">
        <f t="shared" si="13"/>
        <v>3.5158260869565221</v>
      </c>
      <c r="E40" s="61">
        <f t="shared" si="13"/>
        <v>3.5158260869565221</v>
      </c>
      <c r="F40" s="61">
        <f t="shared" si="13"/>
        <v>3.5158260869565221</v>
      </c>
      <c r="G40" s="61">
        <f t="shared" si="13"/>
        <v>3.5158260869565221</v>
      </c>
      <c r="H40" s="61">
        <f t="shared" si="13"/>
        <v>3.5158260869565221</v>
      </c>
      <c r="I40" s="61">
        <f t="shared" si="13"/>
        <v>3.5158260869565221</v>
      </c>
      <c r="J40" s="61">
        <f t="shared" si="13"/>
        <v>3.5158260869565221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3.5158260869565221</v>
      </c>
      <c r="V40" s="61">
        <f t="shared" si="12"/>
        <v>3.5158260869565221</v>
      </c>
      <c r="W40" s="61">
        <f t="shared" si="12"/>
        <v>3.5158260869565221</v>
      </c>
      <c r="X40" s="61">
        <f t="shared" si="12"/>
        <v>3.5158260869565221</v>
      </c>
      <c r="Y40" s="61">
        <f t="shared" si="12"/>
        <v>3.5158260869565221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3"/>
        <v>0</v>
      </c>
      <c r="AI40" s="129">
        <f>Troupeau!B94</f>
        <v>0</v>
      </c>
      <c r="AK40" s="54">
        <f t="shared" si="4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0"/>
        <v>0</v>
      </c>
      <c r="BE40" s="54">
        <f t="shared" si="10"/>
        <v>0</v>
      </c>
      <c r="BF40" s="54">
        <f t="shared" si="10"/>
        <v>0</v>
      </c>
      <c r="BG40" s="54">
        <f t="shared" si="10"/>
        <v>0</v>
      </c>
      <c r="BH40" s="54">
        <f t="shared" si="10"/>
        <v>0</v>
      </c>
      <c r="BI40" s="54">
        <f t="shared" si="10"/>
        <v>0</v>
      </c>
      <c r="BJ40" s="54">
        <f t="shared" si="10"/>
        <v>0</v>
      </c>
      <c r="BK40" s="54">
        <f t="shared" si="10"/>
        <v>0</v>
      </c>
      <c r="BL40" s="54">
        <f t="shared" si="10"/>
        <v>0</v>
      </c>
      <c r="BM40" s="54">
        <f t="shared" si="10"/>
        <v>0</v>
      </c>
      <c r="BN40" s="54">
        <f t="shared" si="10"/>
        <v>0</v>
      </c>
      <c r="BO40" s="54">
        <f t="shared" si="10"/>
        <v>0</v>
      </c>
      <c r="BP40" s="54">
        <f t="shared" si="10"/>
        <v>0</v>
      </c>
      <c r="BQ40" s="54">
        <f t="shared" si="10"/>
        <v>0</v>
      </c>
      <c r="BR40" s="54">
        <f t="shared" si="10"/>
        <v>0</v>
      </c>
      <c r="BS40" s="54">
        <f t="shared" si="10"/>
        <v>0</v>
      </c>
      <c r="BT40" s="54">
        <f t="shared" si="11"/>
        <v>0</v>
      </c>
      <c r="BU40" s="54">
        <f t="shared" si="11"/>
        <v>0</v>
      </c>
      <c r="BV40" s="54">
        <f t="shared" si="11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agnelles</v>
      </c>
      <c r="B41" s="61">
        <f t="shared" si="13"/>
        <v>1.9244521739130436</v>
      </c>
      <c r="C41" s="61">
        <f t="shared" si="12"/>
        <v>1.9244521739130436</v>
      </c>
      <c r="D41" s="61">
        <f t="shared" si="12"/>
        <v>1.9244521739130436</v>
      </c>
      <c r="E41" s="61">
        <f t="shared" si="12"/>
        <v>1.9244521739130436</v>
      </c>
      <c r="F41" s="61">
        <f t="shared" si="12"/>
        <v>1.9244521739130436</v>
      </c>
      <c r="G41" s="61">
        <f t="shared" si="12"/>
        <v>1.9244521739130436</v>
      </c>
      <c r="H41" s="61">
        <f t="shared" si="12"/>
        <v>1.9244521739130436</v>
      </c>
      <c r="I41" s="61">
        <f t="shared" si="12"/>
        <v>1.9244521739130436</v>
      </c>
      <c r="J41" s="61">
        <f t="shared" si="12"/>
        <v>4.8111304347826094</v>
      </c>
      <c r="K41" s="61">
        <f t="shared" si="12"/>
        <v>4.8111304347826094</v>
      </c>
      <c r="L41" s="61">
        <f t="shared" si="12"/>
        <v>4.8111304347826094</v>
      </c>
      <c r="M41" s="61">
        <f t="shared" si="12"/>
        <v>4.8111304347826094</v>
      </c>
      <c r="N41" s="61">
        <f t="shared" si="12"/>
        <v>4.8111304347826094</v>
      </c>
      <c r="O41" s="61">
        <f t="shared" si="12"/>
        <v>4.8111304347826094</v>
      </c>
      <c r="P41" s="61">
        <f t="shared" si="12"/>
        <v>4.8111304347826094</v>
      </c>
      <c r="Q41" s="61">
        <f t="shared" si="12"/>
        <v>4.8111304347826094</v>
      </c>
      <c r="R41" s="61">
        <f t="shared" si="12"/>
        <v>4.8111304347826094</v>
      </c>
      <c r="S41" s="61">
        <f t="shared" si="12"/>
        <v>4.8111304347826094</v>
      </c>
      <c r="T41" s="61">
        <f t="shared" si="12"/>
        <v>4.8111304347826094</v>
      </c>
      <c r="U41" s="61">
        <f t="shared" si="12"/>
        <v>0</v>
      </c>
      <c r="V41" s="61">
        <f t="shared" si="12"/>
        <v>0</v>
      </c>
      <c r="W41" s="61">
        <f t="shared" si="12"/>
        <v>1.9244521739130436</v>
      </c>
      <c r="X41" s="61">
        <f t="shared" si="12"/>
        <v>1.9244521739130436</v>
      </c>
      <c r="Y41" s="61">
        <f t="shared" si="12"/>
        <v>1.9244521739130436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3"/>
        <v>0</v>
      </c>
      <c r="AI41" s="129">
        <f>Troupeau!B95</f>
        <v>0</v>
      </c>
      <c r="AK41" s="54">
        <f t="shared" si="4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0"/>
        <v>0</v>
      </c>
      <c r="BE41" s="54">
        <f t="shared" si="10"/>
        <v>0</v>
      </c>
      <c r="BF41" s="54">
        <f t="shared" si="10"/>
        <v>0</v>
      </c>
      <c r="BG41" s="54">
        <f t="shared" si="10"/>
        <v>0</v>
      </c>
      <c r="BH41" s="54">
        <f t="shared" si="10"/>
        <v>0</v>
      </c>
      <c r="BI41" s="54">
        <f t="shared" si="10"/>
        <v>0</v>
      </c>
      <c r="BJ41" s="54">
        <f t="shared" si="10"/>
        <v>0</v>
      </c>
      <c r="BK41" s="54">
        <f t="shared" si="10"/>
        <v>0</v>
      </c>
      <c r="BL41" s="54">
        <f t="shared" si="10"/>
        <v>0</v>
      </c>
      <c r="BM41" s="54">
        <f t="shared" si="10"/>
        <v>0</v>
      </c>
      <c r="BN41" s="54">
        <f t="shared" si="10"/>
        <v>0</v>
      </c>
      <c r="BO41" s="54">
        <f t="shared" si="10"/>
        <v>0</v>
      </c>
      <c r="BP41" s="54">
        <f t="shared" si="10"/>
        <v>0</v>
      </c>
      <c r="BQ41" s="54">
        <f t="shared" si="10"/>
        <v>0</v>
      </c>
      <c r="BR41" s="54">
        <f t="shared" si="10"/>
        <v>0</v>
      </c>
      <c r="BS41" s="54">
        <f t="shared" si="10"/>
        <v>0</v>
      </c>
      <c r="BT41" s="54">
        <f t="shared" si="11"/>
        <v>0</v>
      </c>
      <c r="BU41" s="54">
        <f t="shared" si="11"/>
        <v>0</v>
      </c>
      <c r="BV41" s="54">
        <f t="shared" si="11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beliers</v>
      </c>
      <c r="B42" s="61">
        <f t="shared" si="13"/>
        <v>1.1102608695652176</v>
      </c>
      <c r="C42" s="61">
        <f t="shared" si="12"/>
        <v>1.1102608695652176</v>
      </c>
      <c r="D42" s="61">
        <f t="shared" si="12"/>
        <v>1.1102608695652176</v>
      </c>
      <c r="E42" s="61">
        <f t="shared" si="12"/>
        <v>1.1102608695652176</v>
      </c>
      <c r="F42" s="61">
        <f t="shared" si="12"/>
        <v>1.1102608695652176</v>
      </c>
      <c r="G42" s="61">
        <f t="shared" si="12"/>
        <v>1.1102608695652176</v>
      </c>
      <c r="H42" s="61">
        <f t="shared" si="12"/>
        <v>1.1102608695652176</v>
      </c>
      <c r="I42" s="61">
        <f t="shared" si="12"/>
        <v>1.1102608695652176</v>
      </c>
      <c r="J42" s="61">
        <f t="shared" si="12"/>
        <v>1.1102608695652176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1.1102608695652176</v>
      </c>
      <c r="V42" s="61">
        <f t="shared" si="12"/>
        <v>1.1102608695652176</v>
      </c>
      <c r="W42" s="61">
        <f t="shared" si="12"/>
        <v>1.1102608695652176</v>
      </c>
      <c r="X42" s="61">
        <f t="shared" si="12"/>
        <v>1.1102608695652176</v>
      </c>
      <c r="Y42" s="61">
        <f t="shared" si="12"/>
        <v>1.1102608695652176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3"/>
        <v>0</v>
      </c>
      <c r="AI42" s="129">
        <f>Troupeau!B96</f>
        <v>0</v>
      </c>
      <c r="AK42" s="54">
        <f t="shared" si="4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0"/>
        <v>0</v>
      </c>
      <c r="BE42" s="54">
        <f t="shared" si="10"/>
        <v>0</v>
      </c>
      <c r="BF42" s="54">
        <f t="shared" si="10"/>
        <v>0</v>
      </c>
      <c r="BG42" s="54">
        <f t="shared" si="10"/>
        <v>0</v>
      </c>
      <c r="BH42" s="54">
        <f t="shared" si="10"/>
        <v>0</v>
      </c>
      <c r="BI42" s="54">
        <f t="shared" si="10"/>
        <v>0</v>
      </c>
      <c r="BJ42" s="54">
        <f t="shared" si="10"/>
        <v>0</v>
      </c>
      <c r="BK42" s="54">
        <f t="shared" si="10"/>
        <v>0</v>
      </c>
      <c r="BL42" s="54">
        <f t="shared" si="10"/>
        <v>0</v>
      </c>
      <c r="BM42" s="54">
        <f t="shared" si="10"/>
        <v>0</v>
      </c>
      <c r="BN42" s="54">
        <f t="shared" si="10"/>
        <v>0</v>
      </c>
      <c r="BO42" s="54">
        <f t="shared" si="10"/>
        <v>0</v>
      </c>
      <c r="BP42" s="54">
        <f t="shared" si="10"/>
        <v>0</v>
      </c>
      <c r="BQ42" s="54">
        <f t="shared" si="10"/>
        <v>0</v>
      </c>
      <c r="BR42" s="54">
        <f t="shared" si="10"/>
        <v>0</v>
      </c>
      <c r="BS42" s="54">
        <f t="shared" si="10"/>
        <v>0</v>
      </c>
      <c r="BT42" s="54">
        <f t="shared" si="11"/>
        <v>0</v>
      </c>
      <c r="BU42" s="54">
        <f t="shared" si="11"/>
        <v>0</v>
      </c>
      <c r="BV42" s="54">
        <f t="shared" si="11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3"/>
        <v>0</v>
      </c>
      <c r="AI43" s="129">
        <f>Troupeau!B97</f>
        <v>0</v>
      </c>
      <c r="AK43" s="54">
        <f t="shared" si="4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0"/>
        <v>0</v>
      </c>
      <c r="BE43" s="54">
        <f t="shared" si="10"/>
        <v>0</v>
      </c>
      <c r="BF43" s="54">
        <f t="shared" si="10"/>
        <v>0</v>
      </c>
      <c r="BG43" s="54">
        <f t="shared" si="10"/>
        <v>0</v>
      </c>
      <c r="BH43" s="54">
        <f t="shared" si="10"/>
        <v>0</v>
      </c>
      <c r="BI43" s="54">
        <f t="shared" si="10"/>
        <v>0</v>
      </c>
      <c r="BJ43" s="54">
        <f t="shared" si="10"/>
        <v>0</v>
      </c>
      <c r="BK43" s="54">
        <f t="shared" si="10"/>
        <v>0</v>
      </c>
      <c r="BL43" s="54">
        <f t="shared" si="10"/>
        <v>0</v>
      </c>
      <c r="BM43" s="54">
        <f t="shared" si="10"/>
        <v>0</v>
      </c>
      <c r="BN43" s="54">
        <f t="shared" si="10"/>
        <v>0</v>
      </c>
      <c r="BO43" s="54">
        <f t="shared" si="10"/>
        <v>0</v>
      </c>
      <c r="BP43" s="54">
        <f t="shared" si="10"/>
        <v>0</v>
      </c>
      <c r="BQ43" s="54">
        <f t="shared" si="10"/>
        <v>0</v>
      </c>
      <c r="BR43" s="54">
        <f t="shared" si="10"/>
        <v>0</v>
      </c>
      <c r="BS43" s="54">
        <f t="shared" si="10"/>
        <v>0</v>
      </c>
      <c r="BT43" s="54">
        <f t="shared" si="11"/>
        <v>0</v>
      </c>
      <c r="BU43" s="54">
        <f t="shared" si="11"/>
        <v>0</v>
      </c>
      <c r="BV43" s="54">
        <f t="shared" si="11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3"/>
        <v>0</v>
      </c>
      <c r="AI44" s="129">
        <f>Troupeau!B98</f>
        <v>0</v>
      </c>
      <c r="AK44" s="54">
        <f t="shared" si="4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0"/>
        <v>0</v>
      </c>
      <c r="BE44" s="54">
        <f t="shared" si="10"/>
        <v>0</v>
      </c>
      <c r="BF44" s="54">
        <f t="shared" si="10"/>
        <v>0</v>
      </c>
      <c r="BG44" s="54">
        <f t="shared" si="10"/>
        <v>0</v>
      </c>
      <c r="BH44" s="54">
        <f t="shared" si="10"/>
        <v>0</v>
      </c>
      <c r="BI44" s="54">
        <f t="shared" si="10"/>
        <v>0</v>
      </c>
      <c r="BJ44" s="54">
        <f t="shared" si="10"/>
        <v>0</v>
      </c>
      <c r="BK44" s="54">
        <f t="shared" si="10"/>
        <v>0</v>
      </c>
      <c r="BL44" s="54">
        <f t="shared" si="10"/>
        <v>0</v>
      </c>
      <c r="BM44" s="54">
        <f t="shared" si="10"/>
        <v>0</v>
      </c>
      <c r="BN44" s="54">
        <f t="shared" si="10"/>
        <v>0</v>
      </c>
      <c r="BO44" s="54">
        <f t="shared" si="10"/>
        <v>0</v>
      </c>
      <c r="BP44" s="54">
        <f t="shared" si="10"/>
        <v>0</v>
      </c>
      <c r="BQ44" s="54">
        <f t="shared" si="10"/>
        <v>0</v>
      </c>
      <c r="BR44" s="54">
        <f t="shared" si="10"/>
        <v>0</v>
      </c>
      <c r="BS44" s="54">
        <f t="shared" si="10"/>
        <v>0</v>
      </c>
      <c r="BT44" s="54">
        <f t="shared" si="11"/>
        <v>0</v>
      </c>
      <c r="BU44" s="54">
        <f t="shared" si="11"/>
        <v>0</v>
      </c>
      <c r="BV44" s="54">
        <f t="shared" si="11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3"/>
        <v>0</v>
      </c>
      <c r="AI45" s="129">
        <f>Troupeau!B99</f>
        <v>0</v>
      </c>
      <c r="AK45" s="54">
        <f t="shared" si="4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0"/>
        <v>0</v>
      </c>
      <c r="BE45" s="54">
        <f t="shared" si="10"/>
        <v>0</v>
      </c>
      <c r="BF45" s="54">
        <f t="shared" si="10"/>
        <v>0</v>
      </c>
      <c r="BG45" s="54">
        <f t="shared" si="10"/>
        <v>0</v>
      </c>
      <c r="BH45" s="54">
        <f t="shared" si="10"/>
        <v>0</v>
      </c>
      <c r="BI45" s="54">
        <f t="shared" si="10"/>
        <v>0</v>
      </c>
      <c r="BJ45" s="54">
        <f t="shared" si="10"/>
        <v>0</v>
      </c>
      <c r="BK45" s="54">
        <f t="shared" si="10"/>
        <v>0</v>
      </c>
      <c r="BL45" s="54">
        <f t="shared" si="10"/>
        <v>0</v>
      </c>
      <c r="BM45" s="54">
        <f t="shared" si="10"/>
        <v>0</v>
      </c>
      <c r="BN45" s="54">
        <f t="shared" si="10"/>
        <v>0</v>
      </c>
      <c r="BO45" s="54">
        <f t="shared" si="10"/>
        <v>0</v>
      </c>
      <c r="BP45" s="54">
        <f t="shared" si="10"/>
        <v>0</v>
      </c>
      <c r="BQ45" s="54">
        <f t="shared" si="10"/>
        <v>0</v>
      </c>
      <c r="BR45" s="54">
        <f t="shared" si="10"/>
        <v>0</v>
      </c>
      <c r="BS45" s="54">
        <f t="shared" si="10"/>
        <v>0</v>
      </c>
      <c r="BT45" s="54">
        <f t="shared" si="11"/>
        <v>0</v>
      </c>
      <c r="BU45" s="54">
        <f t="shared" si="11"/>
        <v>0</v>
      </c>
      <c r="BV45" s="54">
        <f t="shared" si="11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3"/>
        <v>0</v>
      </c>
      <c r="AI46" s="129">
        <f>Troupeau!B100</f>
        <v>0</v>
      </c>
      <c r="AK46" s="54">
        <f t="shared" si="4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0"/>
        <v>0</v>
      </c>
      <c r="BE46" s="54">
        <f t="shared" si="10"/>
        <v>0</v>
      </c>
      <c r="BF46" s="54">
        <f t="shared" si="10"/>
        <v>0</v>
      </c>
      <c r="BG46" s="54">
        <f t="shared" si="10"/>
        <v>0</v>
      </c>
      <c r="BH46" s="54">
        <f t="shared" si="10"/>
        <v>0</v>
      </c>
      <c r="BI46" s="54">
        <f t="shared" si="10"/>
        <v>0</v>
      </c>
      <c r="BJ46" s="54">
        <f t="shared" si="10"/>
        <v>0</v>
      </c>
      <c r="BK46" s="54">
        <f t="shared" si="10"/>
        <v>0</v>
      </c>
      <c r="BL46" s="54">
        <f t="shared" si="10"/>
        <v>0</v>
      </c>
      <c r="BM46" s="54">
        <f t="shared" si="10"/>
        <v>0</v>
      </c>
      <c r="BN46" s="54">
        <f t="shared" si="10"/>
        <v>0</v>
      </c>
      <c r="BO46" s="54">
        <f t="shared" si="10"/>
        <v>0</v>
      </c>
      <c r="BP46" s="54">
        <f t="shared" si="10"/>
        <v>0</v>
      </c>
      <c r="BQ46" s="54">
        <f t="shared" si="10"/>
        <v>0</v>
      </c>
      <c r="BR46" s="54">
        <f t="shared" si="10"/>
        <v>0</v>
      </c>
      <c r="BS46" s="54">
        <f t="shared" si="10"/>
        <v>0</v>
      </c>
      <c r="BT46" s="54">
        <f t="shared" si="11"/>
        <v>0</v>
      </c>
      <c r="BU46" s="54">
        <f t="shared" si="11"/>
        <v>0</v>
      </c>
      <c r="BV46" s="54">
        <f t="shared" si="11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3"/>
        <v>0</v>
      </c>
      <c r="AI47" s="129">
        <f>Troupeau!B101</f>
        <v>0</v>
      </c>
      <c r="AK47" s="54">
        <f t="shared" si="4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0"/>
        <v>0</v>
      </c>
      <c r="BE47" s="54">
        <f t="shared" si="10"/>
        <v>0</v>
      </c>
      <c r="BF47" s="54">
        <f t="shared" si="10"/>
        <v>0</v>
      </c>
      <c r="BG47" s="54">
        <f t="shared" si="10"/>
        <v>0</v>
      </c>
      <c r="BH47" s="54">
        <f t="shared" si="10"/>
        <v>0</v>
      </c>
      <c r="BI47" s="54">
        <f t="shared" si="10"/>
        <v>0</v>
      </c>
      <c r="BJ47" s="54">
        <f t="shared" si="10"/>
        <v>0</v>
      </c>
      <c r="BK47" s="54">
        <f t="shared" si="10"/>
        <v>0</v>
      </c>
      <c r="BL47" s="54">
        <f t="shared" si="10"/>
        <v>0</v>
      </c>
      <c r="BM47" s="54">
        <f t="shared" si="10"/>
        <v>0</v>
      </c>
      <c r="BN47" s="54">
        <f t="shared" si="10"/>
        <v>0</v>
      </c>
      <c r="BO47" s="54">
        <f t="shared" si="10"/>
        <v>0</v>
      </c>
      <c r="BP47" s="54">
        <f t="shared" si="10"/>
        <v>0</v>
      </c>
      <c r="BQ47" s="54">
        <f t="shared" si="10"/>
        <v>0</v>
      </c>
      <c r="BR47" s="54">
        <f t="shared" si="10"/>
        <v>0</v>
      </c>
      <c r="BS47" s="54">
        <f t="shared" si="10"/>
        <v>0</v>
      </c>
      <c r="BT47" s="54">
        <f t="shared" si="11"/>
        <v>0</v>
      </c>
      <c r="BU47" s="54">
        <f t="shared" si="11"/>
        <v>0</v>
      </c>
      <c r="BV47" s="54">
        <f t="shared" si="11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3"/>
        <v>0</v>
      </c>
      <c r="AI48" s="129">
        <f>Troupeau!B102</f>
        <v>0</v>
      </c>
      <c r="AK48" s="54">
        <f t="shared" si="4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0"/>
        <v>0</v>
      </c>
      <c r="BE48" s="54">
        <f t="shared" si="10"/>
        <v>0</v>
      </c>
      <c r="BF48" s="54">
        <f t="shared" si="10"/>
        <v>0</v>
      </c>
      <c r="BG48" s="54">
        <f t="shared" si="10"/>
        <v>0</v>
      </c>
      <c r="BH48" s="54">
        <f t="shared" si="10"/>
        <v>0</v>
      </c>
      <c r="BI48" s="54">
        <f t="shared" si="10"/>
        <v>0</v>
      </c>
      <c r="BJ48" s="54">
        <f t="shared" si="10"/>
        <v>0</v>
      </c>
      <c r="BK48" s="54">
        <f t="shared" si="10"/>
        <v>0</v>
      </c>
      <c r="BL48" s="54">
        <f t="shared" si="10"/>
        <v>0</v>
      </c>
      <c r="BM48" s="54">
        <f t="shared" si="10"/>
        <v>0</v>
      </c>
      <c r="BN48" s="54">
        <f t="shared" si="10"/>
        <v>0</v>
      </c>
      <c r="BO48" s="54">
        <f t="shared" si="10"/>
        <v>0</v>
      </c>
      <c r="BP48" s="54">
        <f t="shared" si="10"/>
        <v>0</v>
      </c>
      <c r="BQ48" s="54">
        <f t="shared" si="10"/>
        <v>0</v>
      </c>
      <c r="BR48" s="54">
        <f t="shared" si="10"/>
        <v>0</v>
      </c>
      <c r="BS48" s="54">
        <f t="shared" si="10"/>
        <v>0</v>
      </c>
      <c r="BT48" s="54">
        <f t="shared" si="11"/>
        <v>0</v>
      </c>
      <c r="BU48" s="54">
        <f t="shared" si="11"/>
        <v>0</v>
      </c>
      <c r="BV48" s="54">
        <f t="shared" si="11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 t="shared" ref="B49:Y49" si="14">SUM(B39:B48)</f>
        <v>43.559234782608698</v>
      </c>
      <c r="C49" s="62">
        <f t="shared" si="14"/>
        <v>43.189147826086966</v>
      </c>
      <c r="D49" s="62">
        <f t="shared" si="14"/>
        <v>42.81906086956522</v>
      </c>
      <c r="E49" s="62">
        <f t="shared" si="14"/>
        <v>42.634017391304354</v>
      </c>
      <c r="F49" s="62">
        <f t="shared" si="14"/>
        <v>42.448973913043481</v>
      </c>
      <c r="G49" s="62">
        <f t="shared" si="14"/>
        <v>42.263930434782615</v>
      </c>
      <c r="H49" s="62">
        <f t="shared" si="14"/>
        <v>42.07888695652175</v>
      </c>
      <c r="I49" s="62">
        <f t="shared" si="14"/>
        <v>41.893843478260877</v>
      </c>
      <c r="J49" s="62">
        <f t="shared" si="14"/>
        <v>44.410434782608704</v>
      </c>
      <c r="K49" s="62">
        <f t="shared" si="14"/>
        <v>40.524521739130442</v>
      </c>
      <c r="L49" s="62">
        <f t="shared" si="14"/>
        <v>40.524521739130442</v>
      </c>
      <c r="M49" s="62">
        <f t="shared" si="14"/>
        <v>40.524521739130442</v>
      </c>
      <c r="N49" s="62">
        <f t="shared" si="14"/>
        <v>40.524521739130442</v>
      </c>
      <c r="O49" s="62">
        <f t="shared" si="14"/>
        <v>40.524521739130442</v>
      </c>
      <c r="P49" s="62">
        <f t="shared" si="14"/>
        <v>40.524521739130442</v>
      </c>
      <c r="Q49" s="62">
        <f t="shared" si="14"/>
        <v>40.524521739130442</v>
      </c>
      <c r="R49" s="62">
        <f t="shared" si="14"/>
        <v>40.524521739130442</v>
      </c>
      <c r="S49" s="62">
        <f t="shared" si="14"/>
        <v>40.524521739130442</v>
      </c>
      <c r="T49" s="62">
        <f t="shared" si="14"/>
        <v>40.524521739130442</v>
      </c>
      <c r="U49" s="62">
        <f t="shared" si="14"/>
        <v>43.670260869565219</v>
      </c>
      <c r="V49" s="62">
        <f t="shared" si="14"/>
        <v>43.670260869565219</v>
      </c>
      <c r="W49" s="62">
        <f t="shared" si="14"/>
        <v>43.559234782608698</v>
      </c>
      <c r="X49" s="62">
        <f t="shared" si="14"/>
        <v>43.559234782608698</v>
      </c>
      <c r="Y49" s="62">
        <f t="shared" si="14"/>
        <v>43.559234782608698</v>
      </c>
      <c r="Z49" s="23"/>
      <c r="AA49" s="46">
        <f>AVERAGE(B49:Y49)</f>
        <v>42.023373913043486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3"/>
        <v>0</v>
      </c>
      <c r="AI49" s="129">
        <f>Troupeau!B103</f>
        <v>0</v>
      </c>
      <c r="AK49" s="54">
        <f t="shared" si="4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si="7"/>
        <v>0</v>
      </c>
      <c r="BC49" s="54">
        <f t="shared" si="7"/>
        <v>0</v>
      </c>
      <c r="BD49" s="54">
        <f t="shared" si="10"/>
        <v>0</v>
      </c>
      <c r="BE49" s="54">
        <f t="shared" si="10"/>
        <v>0</v>
      </c>
      <c r="BF49" s="54">
        <f t="shared" si="10"/>
        <v>0</v>
      </c>
      <c r="BG49" s="54">
        <f t="shared" si="10"/>
        <v>0</v>
      </c>
      <c r="BH49" s="54">
        <f t="shared" si="10"/>
        <v>0</v>
      </c>
      <c r="BI49" s="54">
        <f t="shared" si="10"/>
        <v>0</v>
      </c>
      <c r="BJ49" s="54">
        <f t="shared" si="10"/>
        <v>0</v>
      </c>
      <c r="BK49" s="54">
        <f t="shared" si="10"/>
        <v>0</v>
      </c>
      <c r="BL49" s="54">
        <f t="shared" si="10"/>
        <v>0</v>
      </c>
      <c r="BM49" s="54">
        <f t="shared" si="10"/>
        <v>0</v>
      </c>
      <c r="BN49" s="54">
        <f t="shared" si="10"/>
        <v>0</v>
      </c>
      <c r="BO49" s="54">
        <f t="shared" si="10"/>
        <v>0</v>
      </c>
      <c r="BP49" s="54">
        <f t="shared" si="10"/>
        <v>0</v>
      </c>
      <c r="BQ49" s="54">
        <f t="shared" si="10"/>
        <v>0</v>
      </c>
      <c r="BR49" s="54">
        <f t="shared" si="10"/>
        <v>0</v>
      </c>
      <c r="BS49" s="54">
        <f t="shared" si="10"/>
        <v>0</v>
      </c>
      <c r="BT49" s="54">
        <f t="shared" si="11"/>
        <v>0</v>
      </c>
      <c r="BU49" s="54">
        <f t="shared" si="11"/>
        <v>0</v>
      </c>
      <c r="BV49" s="54">
        <f t="shared" si="11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408</v>
      </c>
      <c r="AE50" s="17">
        <v>34</v>
      </c>
      <c r="AG50" s="126">
        <f>HLOOKUP(AF$4,[1]Anx!$C$86:$CO$121,AE50)</f>
        <v>0</v>
      </c>
      <c r="AH50" s="61">
        <f t="shared" si="3"/>
        <v>0</v>
      </c>
      <c r="AI50" s="129">
        <f>Troupeau!B104</f>
        <v>0</v>
      </c>
      <c r="AK50" s="54">
        <f t="shared" si="4"/>
        <v>0</v>
      </c>
      <c r="AL50" s="54">
        <f t="shared" si="8"/>
        <v>0</v>
      </c>
      <c r="AM50" s="54">
        <f t="shared" si="8"/>
        <v>0</v>
      </c>
      <c r="AN50" s="54">
        <f t="shared" si="7"/>
        <v>0</v>
      </c>
      <c r="AO50" s="54">
        <f t="shared" si="7"/>
        <v>0</v>
      </c>
      <c r="AP50" s="54">
        <f t="shared" si="7"/>
        <v>0</v>
      </c>
      <c r="AQ50" s="54">
        <f t="shared" si="7"/>
        <v>0</v>
      </c>
      <c r="AR50" s="54">
        <f t="shared" si="7"/>
        <v>0</v>
      </c>
      <c r="AS50" s="54">
        <f t="shared" si="7"/>
        <v>0</v>
      </c>
      <c r="AT50" s="54">
        <f t="shared" si="7"/>
        <v>0</v>
      </c>
      <c r="AU50" s="54">
        <f t="shared" si="7"/>
        <v>0</v>
      </c>
      <c r="AV50" s="54">
        <f t="shared" si="7"/>
        <v>0</v>
      </c>
      <c r="AW50" s="54">
        <f t="shared" si="7"/>
        <v>0</v>
      </c>
      <c r="AX50" s="54">
        <f t="shared" si="7"/>
        <v>0</v>
      </c>
      <c r="AY50" s="54">
        <f t="shared" si="7"/>
        <v>0</v>
      </c>
      <c r="AZ50" s="54">
        <f t="shared" si="7"/>
        <v>0</v>
      </c>
      <c r="BA50" s="54">
        <f t="shared" si="7"/>
        <v>0</v>
      </c>
      <c r="BB50" s="54">
        <f t="shared" si="7"/>
        <v>0</v>
      </c>
      <c r="BC50" s="54">
        <f t="shared" ref="BC50:BR52" si="15">IF($AH50=BC$17,ROUND($AI50/1000,1),0)</f>
        <v>0</v>
      </c>
      <c r="BD50" s="54">
        <f t="shared" si="15"/>
        <v>0</v>
      </c>
      <c r="BE50" s="54">
        <f t="shared" si="15"/>
        <v>0</v>
      </c>
      <c r="BF50" s="54">
        <f t="shared" si="15"/>
        <v>0</v>
      </c>
      <c r="BG50" s="54">
        <f t="shared" si="15"/>
        <v>0</v>
      </c>
      <c r="BH50" s="54">
        <f t="shared" si="15"/>
        <v>0</v>
      </c>
      <c r="BI50" s="54">
        <f t="shared" si="15"/>
        <v>0</v>
      </c>
      <c r="BJ50" s="54">
        <f t="shared" si="15"/>
        <v>0</v>
      </c>
      <c r="BK50" s="54">
        <f t="shared" si="15"/>
        <v>0</v>
      </c>
      <c r="BL50" s="54">
        <f t="shared" si="15"/>
        <v>0</v>
      </c>
      <c r="BM50" s="54">
        <f t="shared" si="15"/>
        <v>0</v>
      </c>
      <c r="BN50" s="54">
        <f t="shared" si="15"/>
        <v>0</v>
      </c>
      <c r="BO50" s="54">
        <f t="shared" si="15"/>
        <v>0</v>
      </c>
      <c r="BP50" s="54">
        <f t="shared" si="15"/>
        <v>0</v>
      </c>
      <c r="BQ50" s="54">
        <f t="shared" si="15"/>
        <v>0</v>
      </c>
      <c r="BR50" s="54">
        <f t="shared" si="15"/>
        <v>0</v>
      </c>
      <c r="BS50" s="54">
        <f t="shared" si="10"/>
        <v>0</v>
      </c>
      <c r="BT50" s="54">
        <f t="shared" si="11"/>
        <v>0</v>
      </c>
      <c r="BU50" s="54">
        <f t="shared" si="11"/>
        <v>0</v>
      </c>
      <c r="BV50" s="54">
        <f t="shared" si="11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3"/>
        <v>0</v>
      </c>
      <c r="AI51" s="129">
        <f>Troupeau!B105</f>
        <v>0</v>
      </c>
      <c r="AK51" s="54">
        <f t="shared" si="4"/>
        <v>0</v>
      </c>
      <c r="AL51" s="54">
        <f t="shared" si="8"/>
        <v>0</v>
      </c>
      <c r="AM51" s="54">
        <f t="shared" si="8"/>
        <v>0</v>
      </c>
      <c r="AN51" s="54">
        <f t="shared" si="8"/>
        <v>0</v>
      </c>
      <c r="AO51" s="54">
        <f t="shared" si="8"/>
        <v>0</v>
      </c>
      <c r="AP51" s="54">
        <f t="shared" si="8"/>
        <v>0</v>
      </c>
      <c r="AQ51" s="54">
        <f t="shared" si="8"/>
        <v>0</v>
      </c>
      <c r="AR51" s="54">
        <f t="shared" si="8"/>
        <v>0</v>
      </c>
      <c r="AS51" s="54">
        <f t="shared" si="8"/>
        <v>0</v>
      </c>
      <c r="AT51" s="54">
        <f t="shared" si="8"/>
        <v>0</v>
      </c>
      <c r="AU51" s="54">
        <f t="shared" si="8"/>
        <v>0</v>
      </c>
      <c r="AV51" s="54">
        <f t="shared" si="8"/>
        <v>0</v>
      </c>
      <c r="AW51" s="54">
        <f t="shared" si="8"/>
        <v>0</v>
      </c>
      <c r="AX51" s="54">
        <f t="shared" si="8"/>
        <v>0</v>
      </c>
      <c r="AY51" s="54">
        <f t="shared" si="8"/>
        <v>0</v>
      </c>
      <c r="AZ51" s="54">
        <f t="shared" si="8"/>
        <v>0</v>
      </c>
      <c r="BA51" s="54">
        <f t="shared" si="8"/>
        <v>0</v>
      </c>
      <c r="BB51" s="54">
        <f t="shared" ref="AN51:BB52" si="16">IF($AH51=BB$17,ROUND($AI51/1000,1),0)</f>
        <v>0</v>
      </c>
      <c r="BC51" s="54">
        <f t="shared" si="15"/>
        <v>0</v>
      </c>
      <c r="BD51" s="54">
        <f t="shared" si="15"/>
        <v>0</v>
      </c>
      <c r="BE51" s="54">
        <f t="shared" si="15"/>
        <v>0</v>
      </c>
      <c r="BF51" s="54">
        <f t="shared" si="15"/>
        <v>0</v>
      </c>
      <c r="BG51" s="54">
        <f t="shared" si="15"/>
        <v>0</v>
      </c>
      <c r="BH51" s="54">
        <f t="shared" si="15"/>
        <v>0</v>
      </c>
      <c r="BI51" s="54">
        <f t="shared" si="15"/>
        <v>0</v>
      </c>
      <c r="BJ51" s="54">
        <f t="shared" si="15"/>
        <v>0</v>
      </c>
      <c r="BK51" s="54">
        <f t="shared" si="15"/>
        <v>0</v>
      </c>
      <c r="BL51" s="54">
        <f t="shared" si="15"/>
        <v>0</v>
      </c>
      <c r="BM51" s="54">
        <f t="shared" si="15"/>
        <v>0</v>
      </c>
      <c r="BN51" s="54">
        <f t="shared" si="15"/>
        <v>0</v>
      </c>
      <c r="BO51" s="54">
        <f t="shared" si="15"/>
        <v>0</v>
      </c>
      <c r="BP51" s="54">
        <f t="shared" si="15"/>
        <v>0</v>
      </c>
      <c r="BQ51" s="54">
        <f t="shared" si="15"/>
        <v>0</v>
      </c>
      <c r="BR51" s="54">
        <f t="shared" si="15"/>
        <v>0</v>
      </c>
      <c r="BS51" s="54">
        <f t="shared" si="10"/>
        <v>0</v>
      </c>
      <c r="BT51" s="54">
        <f t="shared" si="11"/>
        <v>0</v>
      </c>
      <c r="BU51" s="54">
        <f t="shared" si="11"/>
        <v>0</v>
      </c>
      <c r="BV51" s="54">
        <f t="shared" si="11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brebis</v>
      </c>
      <c r="B52" s="60">
        <v>1</v>
      </c>
      <c r="C52" s="60">
        <v>1</v>
      </c>
      <c r="D52" s="60">
        <v>1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0.5</v>
      </c>
      <c r="K52" s="60">
        <v>0.5</v>
      </c>
      <c r="L52" s="60">
        <v>0.5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0.5</v>
      </c>
      <c r="U52" s="60">
        <v>0.5</v>
      </c>
      <c r="V52" s="60">
        <v>1</v>
      </c>
      <c r="W52" s="60">
        <v>1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3"/>
        <v>0</v>
      </c>
      <c r="AI52" s="129">
        <f>Troupeau!B106</f>
        <v>0</v>
      </c>
      <c r="AK52" s="54">
        <f t="shared" si="4"/>
        <v>0</v>
      </c>
      <c r="AL52" s="54">
        <f t="shared" si="8"/>
        <v>0</v>
      </c>
      <c r="AM52" s="54">
        <f t="shared" si="8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5"/>
        <v>0</v>
      </c>
      <c r="BD52" s="54">
        <f t="shared" si="15"/>
        <v>0</v>
      </c>
      <c r="BE52" s="54">
        <f t="shared" si="15"/>
        <v>0</v>
      </c>
      <c r="BF52" s="54">
        <f t="shared" si="15"/>
        <v>0</v>
      </c>
      <c r="BG52" s="54">
        <f t="shared" si="15"/>
        <v>0</v>
      </c>
      <c r="BH52" s="54">
        <f t="shared" si="15"/>
        <v>0</v>
      </c>
      <c r="BI52" s="54">
        <f t="shared" si="15"/>
        <v>0</v>
      </c>
      <c r="BJ52" s="54">
        <f t="shared" si="15"/>
        <v>0</v>
      </c>
      <c r="BK52" s="54">
        <f t="shared" si="15"/>
        <v>0</v>
      </c>
      <c r="BL52" s="54">
        <f t="shared" si="15"/>
        <v>0</v>
      </c>
      <c r="BM52" s="54">
        <f t="shared" si="15"/>
        <v>0</v>
      </c>
      <c r="BN52" s="54">
        <f t="shared" si="15"/>
        <v>0</v>
      </c>
      <c r="BO52" s="54">
        <f t="shared" si="15"/>
        <v>0</v>
      </c>
      <c r="BP52" s="54">
        <f t="shared" si="15"/>
        <v>0</v>
      </c>
      <c r="BQ52" s="54">
        <f t="shared" si="15"/>
        <v>0</v>
      </c>
      <c r="BR52" s="54">
        <f t="shared" si="15"/>
        <v>0</v>
      </c>
      <c r="BS52" s="54">
        <f t="shared" si="10"/>
        <v>0</v>
      </c>
      <c r="BT52" s="54">
        <f t="shared" si="11"/>
        <v>0</v>
      </c>
      <c r="BU52" s="54">
        <f t="shared" si="11"/>
        <v>0</v>
      </c>
      <c r="BV52" s="54">
        <f t="shared" si="11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vides</v>
      </c>
      <c r="B53" s="60">
        <v>0.5</v>
      </c>
      <c r="C53" s="60">
        <v>0.5</v>
      </c>
      <c r="D53" s="60">
        <v>0.5</v>
      </c>
      <c r="E53" s="60">
        <v>0.5</v>
      </c>
      <c r="F53" s="60">
        <v>0.5</v>
      </c>
      <c r="G53" s="60">
        <v>0.5</v>
      </c>
      <c r="H53" s="60">
        <v>0.5</v>
      </c>
      <c r="I53" s="60">
        <v>0.5</v>
      </c>
      <c r="J53" s="60">
        <v>0.5</v>
      </c>
      <c r="K53" s="156">
        <v>99</v>
      </c>
      <c r="L53" s="156">
        <v>99</v>
      </c>
      <c r="M53" s="156">
        <v>99</v>
      </c>
      <c r="N53" s="156">
        <v>99</v>
      </c>
      <c r="O53" s="156">
        <v>99</v>
      </c>
      <c r="P53" s="156">
        <v>99</v>
      </c>
      <c r="Q53" s="156">
        <v>99</v>
      </c>
      <c r="R53" s="156">
        <v>99</v>
      </c>
      <c r="S53" s="156">
        <v>99</v>
      </c>
      <c r="T53" s="156">
        <v>99</v>
      </c>
      <c r="U53" s="60">
        <v>0.5</v>
      </c>
      <c r="V53" s="60">
        <v>0.5</v>
      </c>
      <c r="W53" s="60">
        <v>0.5</v>
      </c>
      <c r="X53" s="60">
        <v>0.5</v>
      </c>
      <c r="Y53" s="60">
        <v>0.5</v>
      </c>
      <c r="Z53" s="52"/>
      <c r="AG53" s="5"/>
    </row>
    <row r="54" spans="1:83" x14ac:dyDescent="0.25">
      <c r="A54" s="128" t="str">
        <f>A$17</f>
        <v>agnelles</v>
      </c>
      <c r="B54" s="60">
        <v>1</v>
      </c>
      <c r="C54" s="60">
        <v>1</v>
      </c>
      <c r="D54" s="60">
        <v>1</v>
      </c>
      <c r="E54" s="60">
        <v>1</v>
      </c>
      <c r="F54" s="60">
        <v>1</v>
      </c>
      <c r="G54" s="60">
        <v>0.5</v>
      </c>
      <c r="H54" s="60">
        <v>0.5</v>
      </c>
      <c r="I54" s="60">
        <v>0.5</v>
      </c>
      <c r="J54" s="60">
        <v>0.5</v>
      </c>
      <c r="K54" s="60">
        <v>0.5</v>
      </c>
      <c r="L54" s="60">
        <v>0.5</v>
      </c>
      <c r="M54" s="60">
        <v>0.5</v>
      </c>
      <c r="N54" s="60">
        <v>0.5</v>
      </c>
      <c r="O54" s="60">
        <v>0.5</v>
      </c>
      <c r="P54" s="60">
        <v>0.5</v>
      </c>
      <c r="Q54" s="60">
        <v>0.5</v>
      </c>
      <c r="R54" s="60">
        <v>0.5</v>
      </c>
      <c r="S54" s="60">
        <v>0.5</v>
      </c>
      <c r="T54" s="60">
        <v>0.5</v>
      </c>
      <c r="U54" s="60">
        <v>99</v>
      </c>
      <c r="V54" s="60">
        <v>99</v>
      </c>
      <c r="W54" s="60">
        <v>1</v>
      </c>
      <c r="X54" s="60">
        <v>1</v>
      </c>
      <c r="Y54" s="60">
        <v>1</v>
      </c>
      <c r="Z54" s="52"/>
      <c r="AD54" s="81"/>
      <c r="AG54" s="5"/>
      <c r="AJ54" t="s">
        <v>13</v>
      </c>
      <c r="AK54" s="84">
        <f t="shared" ref="AK54:CD54" si="17">SUM(AK18:AK52)</f>
        <v>21.7</v>
      </c>
      <c r="AL54" s="84">
        <f t="shared" si="17"/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9.6999999999999993</v>
      </c>
      <c r="AV54" s="84">
        <f t="shared" si="17"/>
        <v>0</v>
      </c>
      <c r="AW54" s="84">
        <f t="shared" si="17"/>
        <v>3.4</v>
      </c>
      <c r="AX54" s="84">
        <f t="shared" si="17"/>
        <v>6.7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>SUM(CE18:CE52)</f>
        <v>0</v>
      </c>
    </row>
    <row r="55" spans="1:83" x14ac:dyDescent="0.25">
      <c r="A55" s="127" t="str">
        <f>A$18</f>
        <v>beliers</v>
      </c>
      <c r="B55" s="60">
        <v>0.5</v>
      </c>
      <c r="C55" s="60">
        <v>0.5</v>
      </c>
      <c r="D55" s="60">
        <v>0.5</v>
      </c>
      <c r="E55" s="60">
        <v>0.5</v>
      </c>
      <c r="F55" s="60">
        <v>0.5</v>
      </c>
      <c r="G55" s="60">
        <v>0.5</v>
      </c>
      <c r="H55" s="60">
        <v>0.5</v>
      </c>
      <c r="I55" s="60">
        <v>0.5</v>
      </c>
      <c r="J55" s="60">
        <v>0.5</v>
      </c>
      <c r="K55" s="60">
        <v>99</v>
      </c>
      <c r="L55" s="60">
        <v>99</v>
      </c>
      <c r="M55" s="60">
        <v>99</v>
      </c>
      <c r="N55" s="60">
        <v>99</v>
      </c>
      <c r="O55" s="60">
        <v>99</v>
      </c>
      <c r="P55" s="60">
        <v>99</v>
      </c>
      <c r="Q55" s="60">
        <v>99</v>
      </c>
      <c r="R55" s="60">
        <v>99</v>
      </c>
      <c r="S55" s="60">
        <v>99</v>
      </c>
      <c r="T55" s="60">
        <v>99</v>
      </c>
      <c r="U55" s="60">
        <v>0.5</v>
      </c>
      <c r="V55" s="60">
        <v>0.5</v>
      </c>
      <c r="W55" s="60">
        <v>0.5</v>
      </c>
      <c r="X55" s="60">
        <v>0.5</v>
      </c>
      <c r="Y55" s="60">
        <v>0.5</v>
      </c>
      <c r="Z55" s="52"/>
      <c r="AB55" s="2" t="s">
        <v>179</v>
      </c>
      <c r="AC55" s="2"/>
      <c r="AD55" s="81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4">
        <f>AA73*AF5/1000</f>
        <v>36.068599999999996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4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142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brebis</v>
      </c>
      <c r="B63" s="61">
        <f t="shared" ref="B63:Y63" si="18">B39*B52*B$3</f>
        <v>573.63478260869567</v>
      </c>
      <c r="C63" s="61">
        <f t="shared" si="18"/>
        <v>567.89843478260877</v>
      </c>
      <c r="D63" s="61">
        <f t="shared" si="18"/>
        <v>507.75930434782606</v>
      </c>
      <c r="E63" s="61">
        <f t="shared" si="18"/>
        <v>252.58434782608697</v>
      </c>
      <c r="F63" s="61">
        <f t="shared" si="18"/>
        <v>278.21286956521737</v>
      </c>
      <c r="G63" s="61">
        <f t="shared" si="18"/>
        <v>276.77878260869568</v>
      </c>
      <c r="H63" s="61">
        <f t="shared" si="18"/>
        <v>266.46260869565225</v>
      </c>
      <c r="I63" s="61">
        <f t="shared" si="18"/>
        <v>265.07478260869567</v>
      </c>
      <c r="J63" s="61">
        <f t="shared" si="18"/>
        <v>271.04243478260872</v>
      </c>
      <c r="K63" s="61">
        <f t="shared" si="18"/>
        <v>276.77878260869568</v>
      </c>
      <c r="L63" s="61">
        <f t="shared" si="18"/>
        <v>267.85043478260872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276.77878260869568</v>
      </c>
      <c r="U63" s="61">
        <f t="shared" si="18"/>
        <v>302.59234782608695</v>
      </c>
      <c r="V63" s="61">
        <f t="shared" si="18"/>
        <v>585.66260869565224</v>
      </c>
      <c r="W63" s="61">
        <f t="shared" si="18"/>
        <v>555.13043478260875</v>
      </c>
      <c r="X63" s="61">
        <f t="shared" si="18"/>
        <v>573.63478260869567</v>
      </c>
      <c r="Y63" s="61">
        <f t="shared" si="18"/>
        <v>573.63478260869567</v>
      </c>
      <c r="Z63" s="52"/>
      <c r="AE63" s="86"/>
    </row>
    <row r="64" spans="1:83" s="5" customFormat="1" hidden="1" x14ac:dyDescent="0.25">
      <c r="A64" s="38" t="str">
        <f>A$16</f>
        <v>vides</v>
      </c>
      <c r="B64" s="61">
        <f t="shared" ref="B64:Y64" si="19">B40*B53*B$3</f>
        <v>27.247652173913046</v>
      </c>
      <c r="C64" s="61">
        <f t="shared" si="19"/>
        <v>27.247652173913046</v>
      </c>
      <c r="D64" s="61">
        <f t="shared" si="19"/>
        <v>24.610782608695654</v>
      </c>
      <c r="E64" s="61">
        <f t="shared" si="19"/>
        <v>24.610782608695654</v>
      </c>
      <c r="F64" s="61">
        <f t="shared" si="19"/>
        <v>27.247652173913046</v>
      </c>
      <c r="G64" s="61">
        <f t="shared" si="19"/>
        <v>27.247652173913046</v>
      </c>
      <c r="H64" s="61">
        <f t="shared" si="19"/>
        <v>26.368695652173916</v>
      </c>
      <c r="I64" s="61">
        <f t="shared" si="19"/>
        <v>26.368695652173916</v>
      </c>
      <c r="J64" s="61">
        <f t="shared" si="19"/>
        <v>27.247652173913046</v>
      </c>
      <c r="K64" s="61">
        <f t="shared" si="19"/>
        <v>0</v>
      </c>
      <c r="L64" s="61">
        <f t="shared" si="19"/>
        <v>0</v>
      </c>
      <c r="M64" s="61">
        <f t="shared" si="19"/>
        <v>0</v>
      </c>
      <c r="N64" s="61">
        <f t="shared" si="19"/>
        <v>0</v>
      </c>
      <c r="O64" s="61">
        <f t="shared" si="19"/>
        <v>0</v>
      </c>
      <c r="P64" s="61">
        <f t="shared" si="19"/>
        <v>0</v>
      </c>
      <c r="Q64" s="61">
        <f t="shared" si="19"/>
        <v>0</v>
      </c>
      <c r="R64" s="61">
        <f t="shared" si="19"/>
        <v>0</v>
      </c>
      <c r="S64" s="61">
        <f t="shared" si="19"/>
        <v>0</v>
      </c>
      <c r="T64" s="61">
        <f t="shared" si="19"/>
        <v>0</v>
      </c>
      <c r="U64" s="61">
        <f t="shared" si="19"/>
        <v>27.247652173913046</v>
      </c>
      <c r="V64" s="61">
        <f t="shared" si="19"/>
        <v>26.368695652173916</v>
      </c>
      <c r="W64" s="61">
        <f t="shared" si="19"/>
        <v>26.368695652173916</v>
      </c>
      <c r="X64" s="61">
        <f t="shared" si="19"/>
        <v>27.247652173913046</v>
      </c>
      <c r="Y64" s="61">
        <f t="shared" si="19"/>
        <v>27.247652173913046</v>
      </c>
      <c r="Z64" s="52"/>
      <c r="AE64" s="86"/>
    </row>
    <row r="65" spans="1:33" s="5" customFormat="1" hidden="1" x14ac:dyDescent="0.25">
      <c r="A65" s="38" t="str">
        <f>A$17</f>
        <v>agnelles</v>
      </c>
      <c r="B65" s="61">
        <f t="shared" ref="B65:Y65" si="20">B41*B54*B$3</f>
        <v>29.829008695652174</v>
      </c>
      <c r="C65" s="61">
        <f t="shared" si="20"/>
        <v>29.829008695652174</v>
      </c>
      <c r="D65" s="61">
        <f t="shared" si="20"/>
        <v>26.942330434782612</v>
      </c>
      <c r="E65" s="61">
        <f t="shared" si="20"/>
        <v>26.942330434782612</v>
      </c>
      <c r="F65" s="61">
        <f t="shared" si="20"/>
        <v>29.829008695652174</v>
      </c>
      <c r="G65" s="61">
        <f t="shared" si="20"/>
        <v>14.914504347826087</v>
      </c>
      <c r="H65" s="61">
        <f t="shared" si="20"/>
        <v>14.433391304347827</v>
      </c>
      <c r="I65" s="61">
        <f t="shared" si="20"/>
        <v>14.433391304347827</v>
      </c>
      <c r="J65" s="61">
        <f t="shared" si="20"/>
        <v>37.286260869565226</v>
      </c>
      <c r="K65" s="61">
        <f t="shared" si="20"/>
        <v>37.286260869565226</v>
      </c>
      <c r="L65" s="61">
        <f t="shared" si="20"/>
        <v>36.083478260869569</v>
      </c>
      <c r="M65" s="61">
        <f t="shared" si="20"/>
        <v>36.083478260869569</v>
      </c>
      <c r="N65" s="61">
        <f t="shared" si="20"/>
        <v>37.286260869565226</v>
      </c>
      <c r="O65" s="61">
        <f t="shared" si="20"/>
        <v>37.286260869565226</v>
      </c>
      <c r="P65" s="61">
        <f t="shared" si="20"/>
        <v>37.286260869565226</v>
      </c>
      <c r="Q65" s="61">
        <f t="shared" si="20"/>
        <v>37.286260869565226</v>
      </c>
      <c r="R65" s="61">
        <f t="shared" si="20"/>
        <v>36.083478260869569</v>
      </c>
      <c r="S65" s="61">
        <f t="shared" si="20"/>
        <v>36.083478260869569</v>
      </c>
      <c r="T65" s="61">
        <f t="shared" si="20"/>
        <v>37.286260869565226</v>
      </c>
      <c r="U65" s="61">
        <f t="shared" si="20"/>
        <v>0</v>
      </c>
      <c r="V65" s="61">
        <f t="shared" si="20"/>
        <v>0</v>
      </c>
      <c r="W65" s="61">
        <f t="shared" si="20"/>
        <v>28.866782608695654</v>
      </c>
      <c r="X65" s="61">
        <f t="shared" si="20"/>
        <v>29.829008695652174</v>
      </c>
      <c r="Y65" s="61">
        <f t="shared" si="20"/>
        <v>29.829008695652174</v>
      </c>
      <c r="Z65" s="52"/>
      <c r="AE65" s="86"/>
    </row>
    <row r="66" spans="1:33" s="5" customFormat="1" hidden="1" x14ac:dyDescent="0.25">
      <c r="A66" s="38" t="str">
        <f>A$18</f>
        <v>beliers</v>
      </c>
      <c r="B66" s="61">
        <f t="shared" ref="B66:Y66" si="21">B42*B55*B$3</f>
        <v>8.6045217391304369</v>
      </c>
      <c r="C66" s="61">
        <f t="shared" si="21"/>
        <v>8.6045217391304369</v>
      </c>
      <c r="D66" s="61">
        <f t="shared" si="21"/>
        <v>7.7718260869565237</v>
      </c>
      <c r="E66" s="61">
        <f t="shared" si="21"/>
        <v>7.7718260869565237</v>
      </c>
      <c r="F66" s="61">
        <f t="shared" si="21"/>
        <v>8.6045217391304369</v>
      </c>
      <c r="G66" s="61">
        <f t="shared" si="21"/>
        <v>8.6045217391304369</v>
      </c>
      <c r="H66" s="61">
        <f t="shared" si="21"/>
        <v>8.3269565217391328</v>
      </c>
      <c r="I66" s="61">
        <f t="shared" si="21"/>
        <v>8.3269565217391328</v>
      </c>
      <c r="J66" s="61">
        <f t="shared" si="21"/>
        <v>8.6045217391304369</v>
      </c>
      <c r="K66" s="61">
        <f t="shared" si="21"/>
        <v>0</v>
      </c>
      <c r="L66" s="61">
        <f t="shared" si="21"/>
        <v>0</v>
      </c>
      <c r="M66" s="61">
        <f t="shared" si="21"/>
        <v>0</v>
      </c>
      <c r="N66" s="61">
        <f t="shared" si="21"/>
        <v>0</v>
      </c>
      <c r="O66" s="61">
        <f t="shared" si="21"/>
        <v>0</v>
      </c>
      <c r="P66" s="61">
        <f t="shared" si="21"/>
        <v>0</v>
      </c>
      <c r="Q66" s="61">
        <f t="shared" si="21"/>
        <v>0</v>
      </c>
      <c r="R66" s="61">
        <f t="shared" si="21"/>
        <v>0</v>
      </c>
      <c r="S66" s="61">
        <f t="shared" si="21"/>
        <v>0</v>
      </c>
      <c r="T66" s="61">
        <f t="shared" si="21"/>
        <v>0</v>
      </c>
      <c r="U66" s="61">
        <f t="shared" si="21"/>
        <v>8.6045217391304369</v>
      </c>
      <c r="V66" s="61">
        <f t="shared" si="21"/>
        <v>8.3269565217391328</v>
      </c>
      <c r="W66" s="61">
        <f t="shared" si="21"/>
        <v>8.3269565217391328</v>
      </c>
      <c r="X66" s="61">
        <f t="shared" si="21"/>
        <v>8.6045217391304369</v>
      </c>
      <c r="Y66" s="61">
        <f t="shared" si="21"/>
        <v>8.6045217391304369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ref="B67:Y67" si="22">B43*B56*B$3</f>
        <v>0</v>
      </c>
      <c r="C67" s="61">
        <f t="shared" si="22"/>
        <v>0</v>
      </c>
      <c r="D67" s="61">
        <f t="shared" si="22"/>
        <v>0</v>
      </c>
      <c r="E67" s="61">
        <f t="shared" si="22"/>
        <v>0</v>
      </c>
      <c r="F67" s="61">
        <f t="shared" si="22"/>
        <v>0</v>
      </c>
      <c r="G67" s="61">
        <f t="shared" si="22"/>
        <v>0</v>
      </c>
      <c r="H67" s="61">
        <f t="shared" si="22"/>
        <v>0</v>
      </c>
      <c r="I67" s="61">
        <f t="shared" si="22"/>
        <v>0</v>
      </c>
      <c r="J67" s="61">
        <f t="shared" si="22"/>
        <v>0</v>
      </c>
      <c r="K67" s="61">
        <f t="shared" si="22"/>
        <v>0</v>
      </c>
      <c r="L67" s="61">
        <f t="shared" si="22"/>
        <v>0</v>
      </c>
      <c r="M67" s="61">
        <f t="shared" si="22"/>
        <v>0</v>
      </c>
      <c r="N67" s="61">
        <f t="shared" si="22"/>
        <v>0</v>
      </c>
      <c r="O67" s="61">
        <f t="shared" si="22"/>
        <v>0</v>
      </c>
      <c r="P67" s="61">
        <f t="shared" si="22"/>
        <v>0</v>
      </c>
      <c r="Q67" s="61">
        <f t="shared" si="22"/>
        <v>0</v>
      </c>
      <c r="R67" s="61">
        <f t="shared" si="22"/>
        <v>0</v>
      </c>
      <c r="S67" s="61">
        <f t="shared" si="22"/>
        <v>0</v>
      </c>
      <c r="T67" s="61">
        <f t="shared" si="22"/>
        <v>0</v>
      </c>
      <c r="U67" s="61">
        <f t="shared" si="22"/>
        <v>0</v>
      </c>
      <c r="V67" s="61">
        <f t="shared" si="22"/>
        <v>0</v>
      </c>
      <c r="W67" s="61">
        <f t="shared" si="22"/>
        <v>0</v>
      </c>
      <c r="X67" s="61">
        <f t="shared" si="22"/>
        <v>0</v>
      </c>
      <c r="Y67" s="61">
        <f t="shared" si="22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3">B44*B57*B$3</f>
        <v>0</v>
      </c>
      <c r="C68" s="61">
        <f t="shared" si="23"/>
        <v>0</v>
      </c>
      <c r="D68" s="61">
        <f t="shared" si="23"/>
        <v>0</v>
      </c>
      <c r="E68" s="61">
        <f t="shared" si="23"/>
        <v>0</v>
      </c>
      <c r="F68" s="61">
        <f t="shared" si="23"/>
        <v>0</v>
      </c>
      <c r="G68" s="61">
        <f t="shared" si="23"/>
        <v>0</v>
      </c>
      <c r="H68" s="61">
        <f t="shared" si="23"/>
        <v>0</v>
      </c>
      <c r="I68" s="61">
        <f t="shared" si="23"/>
        <v>0</v>
      </c>
      <c r="J68" s="61">
        <f t="shared" si="23"/>
        <v>0</v>
      </c>
      <c r="K68" s="61">
        <f t="shared" si="23"/>
        <v>0</v>
      </c>
      <c r="L68" s="61">
        <f t="shared" si="23"/>
        <v>0</v>
      </c>
      <c r="M68" s="61">
        <f t="shared" si="23"/>
        <v>0</v>
      </c>
      <c r="N68" s="61">
        <f t="shared" si="23"/>
        <v>0</v>
      </c>
      <c r="O68" s="61">
        <f t="shared" si="23"/>
        <v>0</v>
      </c>
      <c r="P68" s="61">
        <f t="shared" si="23"/>
        <v>0</v>
      </c>
      <c r="Q68" s="61">
        <f t="shared" si="23"/>
        <v>0</v>
      </c>
      <c r="R68" s="61">
        <f t="shared" si="23"/>
        <v>0</v>
      </c>
      <c r="S68" s="61">
        <f t="shared" si="23"/>
        <v>0</v>
      </c>
      <c r="T68" s="61">
        <f t="shared" si="23"/>
        <v>0</v>
      </c>
      <c r="U68" s="61">
        <f t="shared" si="23"/>
        <v>0</v>
      </c>
      <c r="V68" s="61">
        <f t="shared" si="23"/>
        <v>0</v>
      </c>
      <c r="W68" s="61">
        <f t="shared" si="23"/>
        <v>0</v>
      </c>
      <c r="X68" s="61">
        <f t="shared" si="23"/>
        <v>0</v>
      </c>
      <c r="Y68" s="61">
        <f t="shared" si="23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4">B45*B58*B$3</f>
        <v>0</v>
      </c>
      <c r="C69" s="61">
        <f t="shared" si="24"/>
        <v>0</v>
      </c>
      <c r="D69" s="61">
        <f t="shared" si="24"/>
        <v>0</v>
      </c>
      <c r="E69" s="61">
        <f t="shared" si="24"/>
        <v>0</v>
      </c>
      <c r="F69" s="61">
        <f t="shared" si="24"/>
        <v>0</v>
      </c>
      <c r="G69" s="61">
        <f t="shared" si="24"/>
        <v>0</v>
      </c>
      <c r="H69" s="61">
        <f t="shared" si="24"/>
        <v>0</v>
      </c>
      <c r="I69" s="61">
        <f t="shared" si="24"/>
        <v>0</v>
      </c>
      <c r="J69" s="61">
        <f t="shared" si="24"/>
        <v>0</v>
      </c>
      <c r="K69" s="61">
        <f t="shared" si="24"/>
        <v>0</v>
      </c>
      <c r="L69" s="61">
        <f t="shared" si="24"/>
        <v>0</v>
      </c>
      <c r="M69" s="61">
        <f t="shared" si="24"/>
        <v>0</v>
      </c>
      <c r="N69" s="61">
        <f t="shared" si="24"/>
        <v>0</v>
      </c>
      <c r="O69" s="61">
        <f t="shared" si="24"/>
        <v>0</v>
      </c>
      <c r="P69" s="61">
        <f t="shared" si="24"/>
        <v>0</v>
      </c>
      <c r="Q69" s="61">
        <f t="shared" si="24"/>
        <v>0</v>
      </c>
      <c r="R69" s="61">
        <f t="shared" si="24"/>
        <v>0</v>
      </c>
      <c r="S69" s="61">
        <f t="shared" si="24"/>
        <v>0</v>
      </c>
      <c r="T69" s="61">
        <f t="shared" si="24"/>
        <v>0</v>
      </c>
      <c r="U69" s="61">
        <f t="shared" si="24"/>
        <v>0</v>
      </c>
      <c r="V69" s="61">
        <f t="shared" si="24"/>
        <v>0</v>
      </c>
      <c r="W69" s="61">
        <f t="shared" si="24"/>
        <v>0</v>
      </c>
      <c r="X69" s="61">
        <f t="shared" si="24"/>
        <v>0</v>
      </c>
      <c r="Y69" s="61">
        <f t="shared" si="24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5">B46*B59*B$3</f>
        <v>0</v>
      </c>
      <c r="C70" s="61">
        <f t="shared" si="25"/>
        <v>0</v>
      </c>
      <c r="D70" s="61">
        <f t="shared" si="25"/>
        <v>0</v>
      </c>
      <c r="E70" s="61">
        <f t="shared" si="25"/>
        <v>0</v>
      </c>
      <c r="F70" s="61">
        <f t="shared" si="25"/>
        <v>0</v>
      </c>
      <c r="G70" s="61">
        <f t="shared" si="25"/>
        <v>0</v>
      </c>
      <c r="H70" s="61">
        <f t="shared" si="25"/>
        <v>0</v>
      </c>
      <c r="I70" s="61">
        <f t="shared" si="25"/>
        <v>0</v>
      </c>
      <c r="J70" s="61">
        <f t="shared" si="25"/>
        <v>0</v>
      </c>
      <c r="K70" s="61">
        <f t="shared" si="25"/>
        <v>0</v>
      </c>
      <c r="L70" s="61">
        <f t="shared" si="25"/>
        <v>0</v>
      </c>
      <c r="M70" s="61">
        <f t="shared" si="25"/>
        <v>0</v>
      </c>
      <c r="N70" s="61">
        <f t="shared" si="25"/>
        <v>0</v>
      </c>
      <c r="O70" s="61">
        <f t="shared" si="25"/>
        <v>0</v>
      </c>
      <c r="P70" s="61">
        <f t="shared" si="25"/>
        <v>0</v>
      </c>
      <c r="Q70" s="61">
        <f t="shared" si="25"/>
        <v>0</v>
      </c>
      <c r="R70" s="61">
        <f t="shared" si="25"/>
        <v>0</v>
      </c>
      <c r="S70" s="61">
        <f t="shared" si="25"/>
        <v>0</v>
      </c>
      <c r="T70" s="61">
        <f t="shared" si="25"/>
        <v>0</v>
      </c>
      <c r="U70" s="61">
        <f t="shared" si="25"/>
        <v>0</v>
      </c>
      <c r="V70" s="61">
        <f t="shared" si="25"/>
        <v>0</v>
      </c>
      <c r="W70" s="61">
        <f t="shared" si="25"/>
        <v>0</v>
      </c>
      <c r="X70" s="61">
        <f t="shared" si="25"/>
        <v>0</v>
      </c>
      <c r="Y70" s="61">
        <f t="shared" si="25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6">B47*B60*B$3</f>
        <v>0</v>
      </c>
      <c r="C71" s="61">
        <f t="shared" si="26"/>
        <v>0</v>
      </c>
      <c r="D71" s="61">
        <f t="shared" si="26"/>
        <v>0</v>
      </c>
      <c r="E71" s="61">
        <f t="shared" si="26"/>
        <v>0</v>
      </c>
      <c r="F71" s="61">
        <f t="shared" si="26"/>
        <v>0</v>
      </c>
      <c r="G71" s="61">
        <f t="shared" si="26"/>
        <v>0</v>
      </c>
      <c r="H71" s="61">
        <f t="shared" si="26"/>
        <v>0</v>
      </c>
      <c r="I71" s="61">
        <f t="shared" si="26"/>
        <v>0</v>
      </c>
      <c r="J71" s="61">
        <f t="shared" si="26"/>
        <v>0</v>
      </c>
      <c r="K71" s="61">
        <f t="shared" si="26"/>
        <v>0</v>
      </c>
      <c r="L71" s="61">
        <f t="shared" si="26"/>
        <v>0</v>
      </c>
      <c r="M71" s="61">
        <f t="shared" si="26"/>
        <v>0</v>
      </c>
      <c r="N71" s="61">
        <f t="shared" si="26"/>
        <v>0</v>
      </c>
      <c r="O71" s="61">
        <f t="shared" si="26"/>
        <v>0</v>
      </c>
      <c r="P71" s="61">
        <f t="shared" si="26"/>
        <v>0</v>
      </c>
      <c r="Q71" s="61">
        <f t="shared" si="26"/>
        <v>0</v>
      </c>
      <c r="R71" s="61">
        <f t="shared" si="26"/>
        <v>0</v>
      </c>
      <c r="S71" s="61">
        <f t="shared" si="26"/>
        <v>0</v>
      </c>
      <c r="T71" s="61">
        <f t="shared" si="26"/>
        <v>0</v>
      </c>
      <c r="U71" s="61">
        <f t="shared" si="26"/>
        <v>0</v>
      </c>
      <c r="V71" s="61">
        <f t="shared" si="26"/>
        <v>0</v>
      </c>
      <c r="W71" s="61">
        <f t="shared" si="26"/>
        <v>0</v>
      </c>
      <c r="X71" s="61">
        <f t="shared" si="26"/>
        <v>0</v>
      </c>
      <c r="Y71" s="61">
        <f t="shared" si="26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7">B48*B61*B$3</f>
        <v>0</v>
      </c>
      <c r="C72" s="61">
        <f t="shared" si="27"/>
        <v>0</v>
      </c>
      <c r="D72" s="61">
        <f t="shared" si="27"/>
        <v>0</v>
      </c>
      <c r="E72" s="61">
        <f t="shared" si="27"/>
        <v>0</v>
      </c>
      <c r="F72" s="61">
        <f t="shared" si="27"/>
        <v>0</v>
      </c>
      <c r="G72" s="61">
        <f t="shared" si="27"/>
        <v>0</v>
      </c>
      <c r="H72" s="61">
        <f t="shared" si="27"/>
        <v>0</v>
      </c>
      <c r="I72" s="61">
        <f t="shared" si="27"/>
        <v>0</v>
      </c>
      <c r="J72" s="61">
        <f t="shared" si="27"/>
        <v>0</v>
      </c>
      <c r="K72" s="61">
        <f t="shared" si="27"/>
        <v>0</v>
      </c>
      <c r="L72" s="61">
        <f t="shared" si="27"/>
        <v>0</v>
      </c>
      <c r="M72" s="61">
        <f t="shared" si="27"/>
        <v>0</v>
      </c>
      <c r="N72" s="61">
        <f t="shared" si="27"/>
        <v>0</v>
      </c>
      <c r="O72" s="61">
        <f t="shared" si="27"/>
        <v>0</v>
      </c>
      <c r="P72" s="61">
        <f t="shared" si="27"/>
        <v>0</v>
      </c>
      <c r="Q72" s="61">
        <f t="shared" si="27"/>
        <v>0</v>
      </c>
      <c r="R72" s="61">
        <f t="shared" si="27"/>
        <v>0</v>
      </c>
      <c r="S72" s="61">
        <f t="shared" si="27"/>
        <v>0</v>
      </c>
      <c r="T72" s="61">
        <f t="shared" si="27"/>
        <v>0</v>
      </c>
      <c r="U72" s="61">
        <f t="shared" si="27"/>
        <v>0</v>
      </c>
      <c r="V72" s="61">
        <f t="shared" si="27"/>
        <v>0</v>
      </c>
      <c r="W72" s="61">
        <f t="shared" si="27"/>
        <v>0</v>
      </c>
      <c r="X72" s="61">
        <f t="shared" si="27"/>
        <v>0</v>
      </c>
      <c r="Y72" s="61">
        <f t="shared" si="2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639</v>
      </c>
      <c r="C73" s="64">
        <f t="shared" ref="C73:Y73" si="28">ROUND(SUM(C63:C72),0)</f>
        <v>634</v>
      </c>
      <c r="D73" s="64">
        <f t="shared" si="28"/>
        <v>567</v>
      </c>
      <c r="E73" s="64">
        <f t="shared" si="28"/>
        <v>312</v>
      </c>
      <c r="F73" s="64">
        <f t="shared" si="28"/>
        <v>344</v>
      </c>
      <c r="G73" s="64">
        <f t="shared" si="28"/>
        <v>328</v>
      </c>
      <c r="H73" s="64">
        <f t="shared" si="28"/>
        <v>316</v>
      </c>
      <c r="I73" s="64">
        <f t="shared" si="28"/>
        <v>314</v>
      </c>
      <c r="J73" s="64">
        <f t="shared" si="28"/>
        <v>344</v>
      </c>
      <c r="K73" s="64">
        <f t="shared" si="28"/>
        <v>314</v>
      </c>
      <c r="L73" s="64">
        <f t="shared" si="28"/>
        <v>304</v>
      </c>
      <c r="M73" s="64">
        <f t="shared" si="28"/>
        <v>36</v>
      </c>
      <c r="N73" s="64">
        <f t="shared" si="28"/>
        <v>37</v>
      </c>
      <c r="O73" s="64">
        <f t="shared" si="28"/>
        <v>37</v>
      </c>
      <c r="P73" s="64">
        <f t="shared" si="28"/>
        <v>37</v>
      </c>
      <c r="Q73" s="64">
        <f t="shared" si="28"/>
        <v>37</v>
      </c>
      <c r="R73" s="64">
        <f t="shared" si="28"/>
        <v>36</v>
      </c>
      <c r="S73" s="64">
        <f t="shared" si="28"/>
        <v>36</v>
      </c>
      <c r="T73" s="64">
        <f t="shared" si="28"/>
        <v>314</v>
      </c>
      <c r="U73" s="64">
        <f t="shared" si="28"/>
        <v>338</v>
      </c>
      <c r="V73" s="64">
        <f t="shared" si="28"/>
        <v>620</v>
      </c>
      <c r="W73" s="64">
        <f t="shared" si="28"/>
        <v>619</v>
      </c>
      <c r="X73" s="64">
        <f t="shared" si="28"/>
        <v>639</v>
      </c>
      <c r="Y73" s="64">
        <f t="shared" si="28"/>
        <v>639</v>
      </c>
      <c r="Z73" s="52"/>
      <c r="AA73" s="56">
        <f>ROUND(SUM(B73:Y73),0)</f>
        <v>7841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484</v>
      </c>
      <c r="AG75" s="5"/>
    </row>
    <row r="76" spans="1:33" x14ac:dyDescent="0.25">
      <c r="A76" s="127" t="str">
        <f>A$15</f>
        <v>brebis</v>
      </c>
      <c r="B76" s="60"/>
      <c r="C76" s="60"/>
      <c r="D76" s="60"/>
      <c r="E76" s="60">
        <v>1</v>
      </c>
      <c r="F76" s="60">
        <v>1</v>
      </c>
      <c r="G76" s="60">
        <v>1</v>
      </c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5</v>
      </c>
      <c r="N76" s="60">
        <v>5</v>
      </c>
      <c r="O76" s="60">
        <v>5</v>
      </c>
      <c r="P76" s="60">
        <v>5</v>
      </c>
      <c r="Q76" s="60">
        <v>5</v>
      </c>
      <c r="R76" s="60">
        <v>5</v>
      </c>
      <c r="S76" s="60">
        <v>5</v>
      </c>
      <c r="T76" s="60">
        <v>1</v>
      </c>
      <c r="U76" s="60">
        <v>1</v>
      </c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vides</v>
      </c>
      <c r="B77" s="60">
        <v>2</v>
      </c>
      <c r="C77" s="60">
        <v>2</v>
      </c>
      <c r="D77" s="60">
        <v>2</v>
      </c>
      <c r="E77" s="60">
        <v>2</v>
      </c>
      <c r="F77" s="60">
        <v>3</v>
      </c>
      <c r="G77" s="60">
        <v>3</v>
      </c>
      <c r="H77" s="60">
        <v>3</v>
      </c>
      <c r="I77" s="60">
        <v>3</v>
      </c>
      <c r="J77" s="60">
        <v>3</v>
      </c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>
        <v>3</v>
      </c>
      <c r="V77" s="60">
        <v>3</v>
      </c>
      <c r="W77" s="60">
        <v>3</v>
      </c>
      <c r="X77" s="60">
        <v>3</v>
      </c>
      <c r="Y77" s="60">
        <v>2</v>
      </c>
      <c r="AB77" t="s">
        <v>447</v>
      </c>
      <c r="AC77">
        <f>COUNTIF($B$76:$Y$85,"&gt;0")/2</f>
        <v>31</v>
      </c>
      <c r="AG77" s="5"/>
    </row>
    <row r="78" spans="1:33" x14ac:dyDescent="0.25">
      <c r="A78" s="128" t="str">
        <f>A$17</f>
        <v>agnelles</v>
      </c>
      <c r="B78" s="60"/>
      <c r="C78" s="60"/>
      <c r="D78" s="60">
        <v>1</v>
      </c>
      <c r="E78" s="60">
        <v>1</v>
      </c>
      <c r="F78" s="60">
        <v>1</v>
      </c>
      <c r="G78" s="60">
        <v>1</v>
      </c>
      <c r="H78" s="60">
        <v>1</v>
      </c>
      <c r="I78" s="60">
        <v>1</v>
      </c>
      <c r="J78" s="60">
        <v>1</v>
      </c>
      <c r="K78" s="60">
        <v>1</v>
      </c>
      <c r="L78" s="60">
        <v>1</v>
      </c>
      <c r="M78" s="60">
        <v>1</v>
      </c>
      <c r="N78" s="60">
        <v>1</v>
      </c>
      <c r="O78" s="60">
        <v>1</v>
      </c>
      <c r="P78" s="60">
        <v>1</v>
      </c>
      <c r="Q78" s="60">
        <v>1</v>
      </c>
      <c r="R78" s="60">
        <v>1</v>
      </c>
      <c r="S78" s="60">
        <v>1</v>
      </c>
      <c r="T78" s="60">
        <v>1</v>
      </c>
      <c r="U78" s="60"/>
      <c r="V78" s="60"/>
      <c r="W78" s="60"/>
      <c r="X78" s="60"/>
      <c r="Y78" s="60"/>
      <c r="AB78">
        <v>1</v>
      </c>
      <c r="AC78">
        <f>COUNTIF($B$76:$Y$85,AB78)/2</f>
        <v>14</v>
      </c>
      <c r="AG78" s="5"/>
    </row>
    <row r="79" spans="1:33" x14ac:dyDescent="0.25">
      <c r="A79" s="127" t="str">
        <f>A$18</f>
        <v>beliers</v>
      </c>
      <c r="B79" s="60">
        <v>2</v>
      </c>
      <c r="C79" s="60">
        <v>2</v>
      </c>
      <c r="D79" s="60">
        <v>2</v>
      </c>
      <c r="E79" s="60">
        <v>2</v>
      </c>
      <c r="F79" s="60">
        <v>2</v>
      </c>
      <c r="G79" s="60">
        <v>2</v>
      </c>
      <c r="H79" s="60">
        <v>2</v>
      </c>
      <c r="I79" s="60">
        <v>2</v>
      </c>
      <c r="J79" s="60">
        <v>1</v>
      </c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>
        <v>2</v>
      </c>
      <c r="V79" s="60">
        <v>2</v>
      </c>
      <c r="W79" s="60">
        <v>2</v>
      </c>
      <c r="X79" s="60">
        <v>2</v>
      </c>
      <c r="Y79" s="60">
        <v>2</v>
      </c>
      <c r="AB79" s="142">
        <v>2</v>
      </c>
      <c r="AC79">
        <f t="shared" ref="AC79:AC81" si="29">COUNTIF($B$76:$Y$85,AB79)/2</f>
        <v>9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9"/>
        <v>4.5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brebis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3</v>
      </c>
      <c r="U88" s="60">
        <v>4</v>
      </c>
      <c r="V88" s="60">
        <v>4</v>
      </c>
      <c r="W88" s="60">
        <v>2</v>
      </c>
      <c r="X88" s="60">
        <v>2</v>
      </c>
      <c r="Y88" s="60">
        <v>2</v>
      </c>
    </row>
    <row r="89" spans="1:33" x14ac:dyDescent="0.25">
      <c r="A89" s="128" t="str">
        <f>A$16</f>
        <v>vides</v>
      </c>
      <c r="B89" s="60">
        <v>5</v>
      </c>
      <c r="C89" s="60">
        <v>5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5</v>
      </c>
      <c r="Y89" s="60">
        <v>5</v>
      </c>
    </row>
    <row r="90" spans="1:33" x14ac:dyDescent="0.25">
      <c r="A90" s="128" t="str">
        <f>A$17</f>
        <v>agnelles</v>
      </c>
      <c r="B90" s="60">
        <v>5</v>
      </c>
      <c r="C90" s="60">
        <v>5</v>
      </c>
      <c r="D90" s="60">
        <v>5</v>
      </c>
      <c r="E90" s="60">
        <v>5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5</v>
      </c>
      <c r="Y90" s="60">
        <v>5</v>
      </c>
    </row>
    <row r="91" spans="1:33" x14ac:dyDescent="0.25">
      <c r="A91" s="127" t="str">
        <f>A$18</f>
        <v>beliers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brebis</v>
      </c>
      <c r="B99" s="61">
        <f>VLOOKUP(B88,$AD$6:$AF$10,3)</f>
        <v>16.190000000000001</v>
      </c>
      <c r="C99" s="61">
        <f t="shared" ref="C99:X99" si="30">VLOOKUP(C88,$AD$6:$AF$10,3)</f>
        <v>16.190000000000001</v>
      </c>
      <c r="D99" s="61">
        <f t="shared" si="30"/>
        <v>16.190000000000001</v>
      </c>
      <c r="E99" s="61">
        <f t="shared" si="30"/>
        <v>16.190000000000001</v>
      </c>
      <c r="F99" s="61">
        <f t="shared" si="30"/>
        <v>16.190000000000001</v>
      </c>
      <c r="G99" s="61">
        <f t="shared" si="30"/>
        <v>16.190000000000001</v>
      </c>
      <c r="H99" s="61">
        <f t="shared" si="30"/>
        <v>16.190000000000001</v>
      </c>
      <c r="I99" s="61">
        <f t="shared" si="30"/>
        <v>16.190000000000001</v>
      </c>
      <c r="J99" s="61">
        <f t="shared" si="30"/>
        <v>16.190000000000001</v>
      </c>
      <c r="K99" s="61">
        <f t="shared" si="30"/>
        <v>10.07</v>
      </c>
      <c r="L99" s="61">
        <f t="shared" si="30"/>
        <v>10.07</v>
      </c>
      <c r="M99" s="61">
        <f t="shared" si="30"/>
        <v>10.07</v>
      </c>
      <c r="N99" s="61">
        <f t="shared" si="30"/>
        <v>10.07</v>
      </c>
      <c r="O99" s="61">
        <f t="shared" si="30"/>
        <v>10.07</v>
      </c>
      <c r="P99" s="61">
        <f t="shared" si="30"/>
        <v>10.07</v>
      </c>
      <c r="Q99" s="61">
        <f t="shared" si="30"/>
        <v>10.07</v>
      </c>
      <c r="R99" s="61">
        <f t="shared" si="30"/>
        <v>10.07</v>
      </c>
      <c r="S99" s="61">
        <f t="shared" si="30"/>
        <v>10.07</v>
      </c>
      <c r="T99" s="61">
        <f t="shared" si="30"/>
        <v>7.91</v>
      </c>
      <c r="U99" s="61">
        <f t="shared" si="30"/>
        <v>14.3</v>
      </c>
      <c r="V99" s="61">
        <f t="shared" si="30"/>
        <v>14.3</v>
      </c>
      <c r="W99" s="61">
        <f t="shared" si="30"/>
        <v>16.190000000000001</v>
      </c>
      <c r="X99" s="61">
        <f t="shared" si="30"/>
        <v>16.190000000000001</v>
      </c>
      <c r="Y99" s="61">
        <f>VLOOKUP(Y88,$AD$6:$AF$10,3)</f>
        <v>16.190000000000001</v>
      </c>
    </row>
    <row r="100" spans="1:33" x14ac:dyDescent="0.25">
      <c r="A100" s="128" t="str">
        <f>A$16</f>
        <v>vides</v>
      </c>
      <c r="B100" s="61">
        <f t="shared" ref="B100:Y100" si="31">VLOOKUP(B89,$AD$6:$AF$10,3)</f>
        <v>13</v>
      </c>
      <c r="C100" s="61">
        <f t="shared" si="31"/>
        <v>13</v>
      </c>
      <c r="D100" s="61">
        <f t="shared" si="31"/>
        <v>13</v>
      </c>
      <c r="E100" s="61">
        <f t="shared" si="31"/>
        <v>13</v>
      </c>
      <c r="F100" s="61">
        <f t="shared" si="31"/>
        <v>13</v>
      </c>
      <c r="G100" s="61">
        <f t="shared" si="31"/>
        <v>13</v>
      </c>
      <c r="H100" s="61">
        <f t="shared" si="31"/>
        <v>13</v>
      </c>
      <c r="I100" s="61">
        <f t="shared" si="31"/>
        <v>13</v>
      </c>
      <c r="J100" s="61">
        <f t="shared" si="31"/>
        <v>13</v>
      </c>
      <c r="K100" s="61">
        <f t="shared" si="31"/>
        <v>13</v>
      </c>
      <c r="L100" s="61">
        <f t="shared" si="31"/>
        <v>13</v>
      </c>
      <c r="M100" s="61">
        <f t="shared" si="31"/>
        <v>13</v>
      </c>
      <c r="N100" s="61">
        <f t="shared" si="31"/>
        <v>13</v>
      </c>
      <c r="O100" s="61">
        <f t="shared" si="31"/>
        <v>13</v>
      </c>
      <c r="P100" s="61">
        <f t="shared" si="31"/>
        <v>13</v>
      </c>
      <c r="Q100" s="61">
        <f t="shared" si="31"/>
        <v>13</v>
      </c>
      <c r="R100" s="61">
        <f t="shared" si="31"/>
        <v>13</v>
      </c>
      <c r="S100" s="61">
        <f t="shared" si="31"/>
        <v>13</v>
      </c>
      <c r="T100" s="61">
        <f t="shared" si="31"/>
        <v>13</v>
      </c>
      <c r="U100" s="61">
        <f t="shared" si="31"/>
        <v>13</v>
      </c>
      <c r="V100" s="61">
        <f t="shared" si="31"/>
        <v>13</v>
      </c>
      <c r="W100" s="61">
        <f t="shared" si="31"/>
        <v>13</v>
      </c>
      <c r="X100" s="61">
        <f t="shared" si="31"/>
        <v>13</v>
      </c>
      <c r="Y100" s="61">
        <f t="shared" si="31"/>
        <v>13</v>
      </c>
    </row>
    <row r="101" spans="1:33" x14ac:dyDescent="0.25">
      <c r="A101" s="128" t="str">
        <f>A$17</f>
        <v>agnelles</v>
      </c>
      <c r="B101" s="61">
        <f t="shared" ref="B101:Y101" si="32">VLOOKUP(B90,$AD$6:$AF$10,3)</f>
        <v>13</v>
      </c>
      <c r="C101" s="61">
        <f t="shared" si="32"/>
        <v>13</v>
      </c>
      <c r="D101" s="61">
        <f t="shared" si="32"/>
        <v>13</v>
      </c>
      <c r="E101" s="61">
        <f t="shared" si="32"/>
        <v>13</v>
      </c>
      <c r="F101" s="61">
        <f t="shared" si="32"/>
        <v>13</v>
      </c>
      <c r="G101" s="61">
        <f t="shared" si="32"/>
        <v>13</v>
      </c>
      <c r="H101" s="61">
        <f t="shared" si="32"/>
        <v>13</v>
      </c>
      <c r="I101" s="61">
        <f t="shared" si="32"/>
        <v>13</v>
      </c>
      <c r="J101" s="61">
        <f t="shared" si="32"/>
        <v>13</v>
      </c>
      <c r="K101" s="61">
        <f t="shared" si="32"/>
        <v>13</v>
      </c>
      <c r="L101" s="61">
        <f t="shared" si="32"/>
        <v>13</v>
      </c>
      <c r="M101" s="61">
        <f t="shared" si="32"/>
        <v>13</v>
      </c>
      <c r="N101" s="61">
        <f t="shared" si="32"/>
        <v>13</v>
      </c>
      <c r="O101" s="61">
        <f t="shared" si="32"/>
        <v>13</v>
      </c>
      <c r="P101" s="61">
        <f t="shared" si="32"/>
        <v>13</v>
      </c>
      <c r="Q101" s="61">
        <f t="shared" si="32"/>
        <v>13</v>
      </c>
      <c r="R101" s="61">
        <f t="shared" si="32"/>
        <v>13</v>
      </c>
      <c r="S101" s="61">
        <f t="shared" si="32"/>
        <v>13</v>
      </c>
      <c r="T101" s="61">
        <f t="shared" si="32"/>
        <v>13</v>
      </c>
      <c r="U101" s="61">
        <f t="shared" si="32"/>
        <v>13</v>
      </c>
      <c r="V101" s="61">
        <f t="shared" si="32"/>
        <v>13</v>
      </c>
      <c r="W101" s="61">
        <f t="shared" si="32"/>
        <v>13</v>
      </c>
      <c r="X101" s="61">
        <f t="shared" si="32"/>
        <v>13</v>
      </c>
      <c r="Y101" s="61">
        <f t="shared" si="32"/>
        <v>13</v>
      </c>
    </row>
    <row r="102" spans="1:33" x14ac:dyDescent="0.25">
      <c r="A102" s="127" t="str">
        <f>A$18</f>
        <v>beliers</v>
      </c>
      <c r="B102" s="61">
        <f t="shared" ref="B102:Y102" si="33">VLOOKUP(B91,$AD$6:$AF$10,3)</f>
        <v>13</v>
      </c>
      <c r="C102" s="61">
        <f t="shared" si="33"/>
        <v>13</v>
      </c>
      <c r="D102" s="61">
        <f t="shared" si="33"/>
        <v>13</v>
      </c>
      <c r="E102" s="61">
        <f t="shared" si="33"/>
        <v>13</v>
      </c>
      <c r="F102" s="61">
        <f t="shared" si="33"/>
        <v>13</v>
      </c>
      <c r="G102" s="61">
        <f t="shared" si="33"/>
        <v>13</v>
      </c>
      <c r="H102" s="61">
        <f t="shared" si="33"/>
        <v>13</v>
      </c>
      <c r="I102" s="61">
        <f t="shared" si="33"/>
        <v>13</v>
      </c>
      <c r="J102" s="61">
        <f t="shared" si="33"/>
        <v>13</v>
      </c>
      <c r="K102" s="61">
        <f t="shared" si="33"/>
        <v>13</v>
      </c>
      <c r="L102" s="61">
        <f t="shared" si="33"/>
        <v>13</v>
      </c>
      <c r="M102" s="61">
        <f t="shared" si="33"/>
        <v>13</v>
      </c>
      <c r="N102" s="61">
        <f t="shared" si="33"/>
        <v>13</v>
      </c>
      <c r="O102" s="61">
        <f t="shared" si="33"/>
        <v>13</v>
      </c>
      <c r="P102" s="61">
        <f t="shared" si="33"/>
        <v>13</v>
      </c>
      <c r="Q102" s="61">
        <f t="shared" si="33"/>
        <v>13</v>
      </c>
      <c r="R102" s="61">
        <f t="shared" si="33"/>
        <v>13</v>
      </c>
      <c r="S102" s="61">
        <f t="shared" si="33"/>
        <v>13</v>
      </c>
      <c r="T102" s="61">
        <f t="shared" si="33"/>
        <v>13</v>
      </c>
      <c r="U102" s="61">
        <f t="shared" si="33"/>
        <v>13</v>
      </c>
      <c r="V102" s="61">
        <f t="shared" si="33"/>
        <v>13</v>
      </c>
      <c r="W102" s="61">
        <f t="shared" si="33"/>
        <v>13</v>
      </c>
      <c r="X102" s="61">
        <f t="shared" si="33"/>
        <v>13</v>
      </c>
      <c r="Y102" s="61">
        <f t="shared" si="33"/>
        <v>13</v>
      </c>
    </row>
    <row r="103" spans="1:33" x14ac:dyDescent="0.25">
      <c r="A103" s="128" t="str">
        <f>A$19</f>
        <v>lot5</v>
      </c>
      <c r="B103" s="61">
        <f t="shared" ref="B103:Y103" si="34">VLOOKUP(B92,$AD$6:$AF$10,3)</f>
        <v>10.07</v>
      </c>
      <c r="C103" s="61">
        <f t="shared" si="34"/>
        <v>10.07</v>
      </c>
      <c r="D103" s="61">
        <f t="shared" si="34"/>
        <v>10.07</v>
      </c>
      <c r="E103" s="61">
        <f t="shared" si="34"/>
        <v>10.07</v>
      </c>
      <c r="F103" s="61">
        <f t="shared" si="34"/>
        <v>10.07</v>
      </c>
      <c r="G103" s="61">
        <f t="shared" si="34"/>
        <v>10.07</v>
      </c>
      <c r="H103" s="61">
        <f t="shared" si="34"/>
        <v>10.07</v>
      </c>
      <c r="I103" s="61">
        <f t="shared" si="34"/>
        <v>10.07</v>
      </c>
      <c r="J103" s="61">
        <f t="shared" si="34"/>
        <v>10.07</v>
      </c>
      <c r="K103" s="61">
        <f t="shared" si="34"/>
        <v>10.07</v>
      </c>
      <c r="L103" s="61">
        <f t="shared" si="34"/>
        <v>10.07</v>
      </c>
      <c r="M103" s="61">
        <f t="shared" si="34"/>
        <v>10.07</v>
      </c>
      <c r="N103" s="61">
        <f t="shared" si="34"/>
        <v>10.07</v>
      </c>
      <c r="O103" s="61">
        <f t="shared" si="34"/>
        <v>10.07</v>
      </c>
      <c r="P103" s="61">
        <f t="shared" si="34"/>
        <v>10.07</v>
      </c>
      <c r="Q103" s="61">
        <f t="shared" si="34"/>
        <v>10.07</v>
      </c>
      <c r="R103" s="61">
        <f t="shared" si="34"/>
        <v>10.07</v>
      </c>
      <c r="S103" s="61">
        <f t="shared" si="34"/>
        <v>10.07</v>
      </c>
      <c r="T103" s="61">
        <f t="shared" si="34"/>
        <v>10.07</v>
      </c>
      <c r="U103" s="61">
        <f t="shared" si="34"/>
        <v>10.07</v>
      </c>
      <c r="V103" s="61">
        <f t="shared" si="34"/>
        <v>10.07</v>
      </c>
      <c r="W103" s="61">
        <f t="shared" si="34"/>
        <v>10.07</v>
      </c>
      <c r="X103" s="61">
        <f t="shared" si="34"/>
        <v>10.07</v>
      </c>
      <c r="Y103" s="61">
        <f t="shared" si="34"/>
        <v>10.07</v>
      </c>
    </row>
    <row r="104" spans="1:33" x14ac:dyDescent="0.25">
      <c r="A104" s="127" t="str">
        <f>A$20</f>
        <v>lot6</v>
      </c>
      <c r="B104" s="61">
        <f t="shared" ref="B104:Y104" si="35">VLOOKUP(B93,$AD$6:$AF$10,3)</f>
        <v>10.07</v>
      </c>
      <c r="C104" s="61">
        <f t="shared" si="35"/>
        <v>10.07</v>
      </c>
      <c r="D104" s="61">
        <f t="shared" si="35"/>
        <v>10.07</v>
      </c>
      <c r="E104" s="61">
        <f t="shared" si="35"/>
        <v>10.07</v>
      </c>
      <c r="F104" s="61">
        <f t="shared" si="35"/>
        <v>10.07</v>
      </c>
      <c r="G104" s="61">
        <f t="shared" si="35"/>
        <v>10.07</v>
      </c>
      <c r="H104" s="61">
        <f t="shared" si="35"/>
        <v>10.07</v>
      </c>
      <c r="I104" s="61">
        <f t="shared" si="35"/>
        <v>10.07</v>
      </c>
      <c r="J104" s="61">
        <f t="shared" si="35"/>
        <v>10.07</v>
      </c>
      <c r="K104" s="61">
        <f t="shared" si="35"/>
        <v>10.07</v>
      </c>
      <c r="L104" s="61">
        <f t="shared" si="35"/>
        <v>10.07</v>
      </c>
      <c r="M104" s="61">
        <f t="shared" si="35"/>
        <v>10.07</v>
      </c>
      <c r="N104" s="61">
        <f t="shared" si="35"/>
        <v>10.07</v>
      </c>
      <c r="O104" s="61">
        <f t="shared" si="35"/>
        <v>10.07</v>
      </c>
      <c r="P104" s="61">
        <f t="shared" si="35"/>
        <v>10.07</v>
      </c>
      <c r="Q104" s="61">
        <f t="shared" si="35"/>
        <v>10.07</v>
      </c>
      <c r="R104" s="61">
        <f t="shared" si="35"/>
        <v>10.07</v>
      </c>
      <c r="S104" s="61">
        <f t="shared" si="35"/>
        <v>10.07</v>
      </c>
      <c r="T104" s="61">
        <f t="shared" si="35"/>
        <v>10.07</v>
      </c>
      <c r="U104" s="61">
        <f t="shared" si="35"/>
        <v>10.07</v>
      </c>
      <c r="V104" s="61">
        <f t="shared" si="35"/>
        <v>10.07</v>
      </c>
      <c r="W104" s="61">
        <f t="shared" si="35"/>
        <v>10.07</v>
      </c>
      <c r="X104" s="61">
        <f t="shared" si="35"/>
        <v>10.07</v>
      </c>
      <c r="Y104" s="61">
        <f t="shared" si="35"/>
        <v>10.07</v>
      </c>
    </row>
    <row r="105" spans="1:33" x14ac:dyDescent="0.25">
      <c r="A105" s="128" t="str">
        <f>A$21</f>
        <v>lot7</v>
      </c>
      <c r="B105" s="61">
        <f t="shared" ref="B105:Y105" si="36">VLOOKUP(B94,$AD$6:$AF$10,3)</f>
        <v>10.07</v>
      </c>
      <c r="C105" s="61">
        <f t="shared" si="36"/>
        <v>10.07</v>
      </c>
      <c r="D105" s="61">
        <f t="shared" si="36"/>
        <v>10.07</v>
      </c>
      <c r="E105" s="61">
        <f t="shared" si="36"/>
        <v>10.07</v>
      </c>
      <c r="F105" s="61">
        <f t="shared" si="36"/>
        <v>10.07</v>
      </c>
      <c r="G105" s="61">
        <f t="shared" si="36"/>
        <v>10.07</v>
      </c>
      <c r="H105" s="61">
        <f t="shared" si="36"/>
        <v>10.07</v>
      </c>
      <c r="I105" s="61">
        <f t="shared" si="36"/>
        <v>10.07</v>
      </c>
      <c r="J105" s="61">
        <f t="shared" si="36"/>
        <v>10.07</v>
      </c>
      <c r="K105" s="61">
        <f t="shared" si="36"/>
        <v>10.07</v>
      </c>
      <c r="L105" s="61">
        <f t="shared" si="36"/>
        <v>10.07</v>
      </c>
      <c r="M105" s="61">
        <f t="shared" si="36"/>
        <v>10.07</v>
      </c>
      <c r="N105" s="61">
        <f t="shared" si="36"/>
        <v>10.07</v>
      </c>
      <c r="O105" s="61">
        <f t="shared" si="36"/>
        <v>10.07</v>
      </c>
      <c r="P105" s="61">
        <f t="shared" si="36"/>
        <v>10.07</v>
      </c>
      <c r="Q105" s="61">
        <f t="shared" si="36"/>
        <v>10.07</v>
      </c>
      <c r="R105" s="61">
        <f t="shared" si="36"/>
        <v>10.07</v>
      </c>
      <c r="S105" s="61">
        <f t="shared" si="36"/>
        <v>10.07</v>
      </c>
      <c r="T105" s="61">
        <f t="shared" si="36"/>
        <v>10.07</v>
      </c>
      <c r="U105" s="61">
        <f t="shared" si="36"/>
        <v>10.07</v>
      </c>
      <c r="V105" s="61">
        <f t="shared" si="36"/>
        <v>10.07</v>
      </c>
      <c r="W105" s="61">
        <f t="shared" si="36"/>
        <v>10.07</v>
      </c>
      <c r="X105" s="61">
        <f t="shared" si="36"/>
        <v>10.07</v>
      </c>
      <c r="Y105" s="61">
        <f t="shared" si="36"/>
        <v>10.07</v>
      </c>
    </row>
    <row r="106" spans="1:33" x14ac:dyDescent="0.25">
      <c r="A106" s="128" t="str">
        <f>A$22</f>
        <v>lot8</v>
      </c>
      <c r="B106" s="61">
        <f t="shared" ref="B106:Y106" si="37">VLOOKUP(B95,$AD$6:$AF$10,3)</f>
        <v>10.07</v>
      </c>
      <c r="C106" s="61">
        <f t="shared" si="37"/>
        <v>10.07</v>
      </c>
      <c r="D106" s="61">
        <f t="shared" si="37"/>
        <v>10.07</v>
      </c>
      <c r="E106" s="61">
        <f t="shared" si="37"/>
        <v>10.07</v>
      </c>
      <c r="F106" s="61">
        <f t="shared" si="37"/>
        <v>10.07</v>
      </c>
      <c r="G106" s="61">
        <f t="shared" si="37"/>
        <v>10.07</v>
      </c>
      <c r="H106" s="61">
        <f t="shared" si="37"/>
        <v>10.07</v>
      </c>
      <c r="I106" s="61">
        <f t="shared" si="37"/>
        <v>10.07</v>
      </c>
      <c r="J106" s="61">
        <f t="shared" si="37"/>
        <v>10.07</v>
      </c>
      <c r="K106" s="61">
        <f t="shared" si="37"/>
        <v>10.07</v>
      </c>
      <c r="L106" s="61">
        <f t="shared" si="37"/>
        <v>10.07</v>
      </c>
      <c r="M106" s="61">
        <f t="shared" si="37"/>
        <v>10.07</v>
      </c>
      <c r="N106" s="61">
        <f t="shared" si="37"/>
        <v>10.07</v>
      </c>
      <c r="O106" s="61">
        <f t="shared" si="37"/>
        <v>10.07</v>
      </c>
      <c r="P106" s="61">
        <f t="shared" si="37"/>
        <v>10.07</v>
      </c>
      <c r="Q106" s="61">
        <f t="shared" si="37"/>
        <v>10.07</v>
      </c>
      <c r="R106" s="61">
        <f t="shared" si="37"/>
        <v>10.07</v>
      </c>
      <c r="S106" s="61">
        <f t="shared" si="37"/>
        <v>10.07</v>
      </c>
      <c r="T106" s="61">
        <f t="shared" si="37"/>
        <v>10.07</v>
      </c>
      <c r="U106" s="61">
        <f t="shared" si="37"/>
        <v>10.07</v>
      </c>
      <c r="V106" s="61">
        <f t="shared" si="37"/>
        <v>10.07</v>
      </c>
      <c r="W106" s="61">
        <f t="shared" si="37"/>
        <v>10.07</v>
      </c>
      <c r="X106" s="61">
        <f t="shared" si="37"/>
        <v>10.07</v>
      </c>
      <c r="Y106" s="61">
        <f t="shared" si="37"/>
        <v>10.07</v>
      </c>
    </row>
    <row r="107" spans="1:33" x14ac:dyDescent="0.25">
      <c r="A107" s="127" t="str">
        <f>A$23</f>
        <v>lot9</v>
      </c>
      <c r="B107" s="61">
        <f t="shared" ref="B107:Y107" si="38">VLOOKUP(B96,$AD$6:$AF$10,3)</f>
        <v>10.07</v>
      </c>
      <c r="C107" s="61">
        <f t="shared" si="38"/>
        <v>10.07</v>
      </c>
      <c r="D107" s="61">
        <f t="shared" si="38"/>
        <v>10.07</v>
      </c>
      <c r="E107" s="61">
        <f t="shared" si="38"/>
        <v>10.07</v>
      </c>
      <c r="F107" s="61">
        <f t="shared" si="38"/>
        <v>10.07</v>
      </c>
      <c r="G107" s="61">
        <f t="shared" si="38"/>
        <v>10.07</v>
      </c>
      <c r="H107" s="61">
        <f t="shared" si="38"/>
        <v>10.07</v>
      </c>
      <c r="I107" s="61">
        <f t="shared" si="38"/>
        <v>10.07</v>
      </c>
      <c r="J107" s="61">
        <f t="shared" si="38"/>
        <v>10.07</v>
      </c>
      <c r="K107" s="61">
        <f t="shared" si="38"/>
        <v>10.07</v>
      </c>
      <c r="L107" s="61">
        <f t="shared" si="38"/>
        <v>10.07</v>
      </c>
      <c r="M107" s="61">
        <f t="shared" si="38"/>
        <v>10.07</v>
      </c>
      <c r="N107" s="61">
        <f t="shared" si="38"/>
        <v>10.07</v>
      </c>
      <c r="O107" s="61">
        <f t="shared" si="38"/>
        <v>10.07</v>
      </c>
      <c r="P107" s="61">
        <f t="shared" si="38"/>
        <v>10.07</v>
      </c>
      <c r="Q107" s="61">
        <f t="shared" si="38"/>
        <v>10.07</v>
      </c>
      <c r="R107" s="61">
        <f t="shared" si="38"/>
        <v>10.07</v>
      </c>
      <c r="S107" s="61">
        <f t="shared" si="38"/>
        <v>10.07</v>
      </c>
      <c r="T107" s="61">
        <f t="shared" si="38"/>
        <v>10.07</v>
      </c>
      <c r="U107" s="61">
        <f t="shared" si="38"/>
        <v>10.07</v>
      </c>
      <c r="V107" s="61">
        <f t="shared" si="38"/>
        <v>10.07</v>
      </c>
      <c r="W107" s="61">
        <f t="shared" si="38"/>
        <v>10.07</v>
      </c>
      <c r="X107" s="61">
        <f t="shared" si="38"/>
        <v>10.07</v>
      </c>
      <c r="Y107" s="61">
        <f t="shared" si="38"/>
        <v>10.07</v>
      </c>
    </row>
    <row r="108" spans="1:33" x14ac:dyDescent="0.25">
      <c r="A108" s="128" t="str">
        <f>A$24</f>
        <v>lot10</v>
      </c>
      <c r="B108" s="61">
        <f t="shared" ref="B108:Y108" si="39">VLOOKUP(B97,$AD$6:$AF$10,3)</f>
        <v>10.07</v>
      </c>
      <c r="C108" s="61">
        <f t="shared" si="39"/>
        <v>10.07</v>
      </c>
      <c r="D108" s="61">
        <f t="shared" si="39"/>
        <v>10.07</v>
      </c>
      <c r="E108" s="61">
        <f t="shared" si="39"/>
        <v>10.07</v>
      </c>
      <c r="F108" s="61">
        <f t="shared" si="39"/>
        <v>10.07</v>
      </c>
      <c r="G108" s="61">
        <f t="shared" si="39"/>
        <v>10.07</v>
      </c>
      <c r="H108" s="61">
        <f t="shared" si="39"/>
        <v>10.07</v>
      </c>
      <c r="I108" s="61">
        <f t="shared" si="39"/>
        <v>10.07</v>
      </c>
      <c r="J108" s="61">
        <f t="shared" si="39"/>
        <v>10.07</v>
      </c>
      <c r="K108" s="61">
        <f t="shared" si="39"/>
        <v>10.07</v>
      </c>
      <c r="L108" s="61">
        <f t="shared" si="39"/>
        <v>10.07</v>
      </c>
      <c r="M108" s="61">
        <f t="shared" si="39"/>
        <v>10.07</v>
      </c>
      <c r="N108" s="61">
        <f t="shared" si="39"/>
        <v>10.07</v>
      </c>
      <c r="O108" s="61">
        <f t="shared" si="39"/>
        <v>10.07</v>
      </c>
      <c r="P108" s="61">
        <f t="shared" si="39"/>
        <v>10.07</v>
      </c>
      <c r="Q108" s="61">
        <f t="shared" si="39"/>
        <v>10.07</v>
      </c>
      <c r="R108" s="61">
        <f t="shared" si="39"/>
        <v>10.07</v>
      </c>
      <c r="S108" s="61">
        <f t="shared" si="39"/>
        <v>10.07</v>
      </c>
      <c r="T108" s="61">
        <f t="shared" si="39"/>
        <v>10.07</v>
      </c>
      <c r="U108" s="61">
        <f t="shared" si="39"/>
        <v>10.07</v>
      </c>
      <c r="V108" s="61">
        <f t="shared" si="39"/>
        <v>10.07</v>
      </c>
      <c r="W108" s="61">
        <f t="shared" si="39"/>
        <v>10.07</v>
      </c>
      <c r="X108" s="61">
        <f t="shared" si="39"/>
        <v>10.07</v>
      </c>
      <c r="Y108" s="61">
        <f t="shared" si="39"/>
        <v>10.07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brebis</v>
      </c>
      <c r="B110" s="61">
        <f t="shared" ref="B110:Y110" si="40">(B39*B$3*B99)/1000</f>
        <v>9.2871471304347839</v>
      </c>
      <c r="C110" s="61">
        <f t="shared" si="40"/>
        <v>9.1942756591304367</v>
      </c>
      <c r="D110" s="61">
        <f t="shared" si="40"/>
        <v>8.2206231373913052</v>
      </c>
      <c r="E110" s="61">
        <f t="shared" si="40"/>
        <v>8.1786811826086971</v>
      </c>
      <c r="F110" s="61">
        <f t="shared" si="40"/>
        <v>9.0085327165217386</v>
      </c>
      <c r="G110" s="61">
        <f t="shared" si="40"/>
        <v>8.9620969808695659</v>
      </c>
      <c r="H110" s="61">
        <f t="shared" si="40"/>
        <v>8.6280592695652221</v>
      </c>
      <c r="I110" s="61">
        <f t="shared" si="40"/>
        <v>8.5831214608695667</v>
      </c>
      <c r="J110" s="61">
        <f t="shared" si="40"/>
        <v>8.7763540382608713</v>
      </c>
      <c r="K110" s="61">
        <f t="shared" si="40"/>
        <v>5.5743246817391308</v>
      </c>
      <c r="L110" s="61">
        <f t="shared" si="40"/>
        <v>5.3945077565217394</v>
      </c>
      <c r="M110" s="61">
        <f t="shared" si="40"/>
        <v>5.3945077565217394</v>
      </c>
      <c r="N110" s="61">
        <f t="shared" si="40"/>
        <v>5.5743246817391308</v>
      </c>
      <c r="O110" s="61">
        <f t="shared" si="40"/>
        <v>5.5743246817391308</v>
      </c>
      <c r="P110" s="61">
        <f t="shared" si="40"/>
        <v>5.5743246817391308</v>
      </c>
      <c r="Q110" s="61">
        <f t="shared" si="40"/>
        <v>5.5743246817391308</v>
      </c>
      <c r="R110" s="61">
        <f t="shared" si="40"/>
        <v>5.3945077565217394</v>
      </c>
      <c r="S110" s="61">
        <f t="shared" si="40"/>
        <v>5.3945077565217394</v>
      </c>
      <c r="T110" s="61">
        <f t="shared" si="40"/>
        <v>4.3786403408695662</v>
      </c>
      <c r="U110" s="61">
        <f t="shared" si="40"/>
        <v>8.6541411478260866</v>
      </c>
      <c r="V110" s="61">
        <f t="shared" si="40"/>
        <v>8.3749753043478261</v>
      </c>
      <c r="W110" s="61">
        <f t="shared" si="40"/>
        <v>8.9875617391304363</v>
      </c>
      <c r="X110" s="61">
        <f t="shared" si="40"/>
        <v>9.2871471304347839</v>
      </c>
      <c r="Y110" s="61">
        <f t="shared" si="40"/>
        <v>9.2871471304347839</v>
      </c>
    </row>
    <row r="111" spans="1:33" x14ac:dyDescent="0.25">
      <c r="A111" s="128" t="str">
        <f>A$16</f>
        <v>vides</v>
      </c>
      <c r="B111" s="61">
        <f t="shared" ref="B111:Y111" si="41">(B40*B$3*B100)/1000</f>
        <v>0.70843895652173916</v>
      </c>
      <c r="C111" s="61">
        <f t="shared" si="41"/>
        <v>0.70843895652173916</v>
      </c>
      <c r="D111" s="61">
        <f t="shared" si="41"/>
        <v>0.63988034782608705</v>
      </c>
      <c r="E111" s="61">
        <f t="shared" si="41"/>
        <v>0.63988034782608705</v>
      </c>
      <c r="F111" s="61">
        <f t="shared" si="41"/>
        <v>0.70843895652173916</v>
      </c>
      <c r="G111" s="61">
        <f t="shared" si="41"/>
        <v>0.70843895652173916</v>
      </c>
      <c r="H111" s="61">
        <f t="shared" si="41"/>
        <v>0.6855860869565219</v>
      </c>
      <c r="I111" s="61">
        <f t="shared" si="41"/>
        <v>0.6855860869565219</v>
      </c>
      <c r="J111" s="61">
        <f t="shared" si="41"/>
        <v>0.70843895652173916</v>
      </c>
      <c r="K111" s="61">
        <f t="shared" si="41"/>
        <v>0</v>
      </c>
      <c r="L111" s="61">
        <f t="shared" si="41"/>
        <v>0</v>
      </c>
      <c r="M111" s="61">
        <f t="shared" si="41"/>
        <v>0</v>
      </c>
      <c r="N111" s="61">
        <f t="shared" si="41"/>
        <v>0</v>
      </c>
      <c r="O111" s="61">
        <f t="shared" si="41"/>
        <v>0</v>
      </c>
      <c r="P111" s="61">
        <f t="shared" si="41"/>
        <v>0</v>
      </c>
      <c r="Q111" s="61">
        <f t="shared" si="41"/>
        <v>0</v>
      </c>
      <c r="R111" s="61">
        <f t="shared" si="41"/>
        <v>0</v>
      </c>
      <c r="S111" s="61">
        <f t="shared" si="41"/>
        <v>0</v>
      </c>
      <c r="T111" s="61">
        <f t="shared" si="41"/>
        <v>0</v>
      </c>
      <c r="U111" s="61">
        <f t="shared" si="41"/>
        <v>0.70843895652173916</v>
      </c>
      <c r="V111" s="61">
        <f t="shared" si="41"/>
        <v>0.6855860869565219</v>
      </c>
      <c r="W111" s="61">
        <f t="shared" si="41"/>
        <v>0.6855860869565219</v>
      </c>
      <c r="X111" s="61">
        <f t="shared" si="41"/>
        <v>0.70843895652173916</v>
      </c>
      <c r="Y111" s="61">
        <f t="shared" si="41"/>
        <v>0.70843895652173916</v>
      </c>
    </row>
    <row r="112" spans="1:33" x14ac:dyDescent="0.25">
      <c r="A112" s="128" t="str">
        <f>A$17</f>
        <v>agnelles</v>
      </c>
      <c r="B112" s="61">
        <f t="shared" ref="B112:Y112" si="42">(B41*B$3*B101)/1000</f>
        <v>0.38777711304347828</v>
      </c>
      <c r="C112" s="61">
        <f t="shared" si="42"/>
        <v>0.38777711304347828</v>
      </c>
      <c r="D112" s="61">
        <f t="shared" si="42"/>
        <v>0.35025029565217397</v>
      </c>
      <c r="E112" s="61">
        <f t="shared" si="42"/>
        <v>0.35025029565217397</v>
      </c>
      <c r="F112" s="61">
        <f t="shared" si="42"/>
        <v>0.38777711304347828</v>
      </c>
      <c r="G112" s="61">
        <f t="shared" si="42"/>
        <v>0.38777711304347828</v>
      </c>
      <c r="H112" s="61">
        <f t="shared" si="42"/>
        <v>0.37526817391304346</v>
      </c>
      <c r="I112" s="61">
        <f t="shared" si="42"/>
        <v>0.37526817391304346</v>
      </c>
      <c r="J112" s="61">
        <f t="shared" si="42"/>
        <v>0.96944278260869587</v>
      </c>
      <c r="K112" s="61">
        <f t="shared" si="42"/>
        <v>0.96944278260869587</v>
      </c>
      <c r="L112" s="61">
        <f t="shared" si="42"/>
        <v>0.93817043478260886</v>
      </c>
      <c r="M112" s="61">
        <f t="shared" si="42"/>
        <v>0.93817043478260886</v>
      </c>
      <c r="N112" s="61">
        <f t="shared" si="42"/>
        <v>0.96944278260869587</v>
      </c>
      <c r="O112" s="61">
        <f t="shared" si="42"/>
        <v>0.96944278260869587</v>
      </c>
      <c r="P112" s="61">
        <f t="shared" si="42"/>
        <v>0.96944278260869587</v>
      </c>
      <c r="Q112" s="61">
        <f t="shared" si="42"/>
        <v>0.96944278260869587</v>
      </c>
      <c r="R112" s="61">
        <f t="shared" si="42"/>
        <v>0.93817043478260886</v>
      </c>
      <c r="S112" s="61">
        <f t="shared" si="42"/>
        <v>0.93817043478260886</v>
      </c>
      <c r="T112" s="61">
        <f t="shared" si="42"/>
        <v>0.96944278260869587</v>
      </c>
      <c r="U112" s="61">
        <f t="shared" si="42"/>
        <v>0</v>
      </c>
      <c r="V112" s="61">
        <f t="shared" si="42"/>
        <v>0</v>
      </c>
      <c r="W112" s="61">
        <f t="shared" si="42"/>
        <v>0.37526817391304346</v>
      </c>
      <c r="X112" s="61">
        <f t="shared" si="42"/>
        <v>0.38777711304347828</v>
      </c>
      <c r="Y112" s="61">
        <f t="shared" si="42"/>
        <v>0.38777711304347828</v>
      </c>
    </row>
    <row r="113" spans="1:29" x14ac:dyDescent="0.25">
      <c r="A113" s="127" t="str">
        <f>A$18</f>
        <v>beliers</v>
      </c>
      <c r="B113" s="61">
        <f t="shared" ref="B113:Y113" si="43">(B42*B$3*B102)/1000</f>
        <v>0.22371756521739136</v>
      </c>
      <c r="C113" s="61">
        <f t="shared" si="43"/>
        <v>0.22371756521739136</v>
      </c>
      <c r="D113" s="61">
        <f t="shared" si="43"/>
        <v>0.20206747826086963</v>
      </c>
      <c r="E113" s="61">
        <f t="shared" si="43"/>
        <v>0.20206747826086963</v>
      </c>
      <c r="F113" s="61">
        <f t="shared" si="43"/>
        <v>0.22371756521739136</v>
      </c>
      <c r="G113" s="61">
        <f t="shared" si="43"/>
        <v>0.22371756521739136</v>
      </c>
      <c r="H113" s="61">
        <f t="shared" si="43"/>
        <v>0.21650086956521744</v>
      </c>
      <c r="I113" s="61">
        <f t="shared" si="43"/>
        <v>0.21650086956521744</v>
      </c>
      <c r="J113" s="61">
        <f t="shared" si="43"/>
        <v>0.22371756521739136</v>
      </c>
      <c r="K113" s="61">
        <f t="shared" si="43"/>
        <v>0</v>
      </c>
      <c r="L113" s="61">
        <f t="shared" si="43"/>
        <v>0</v>
      </c>
      <c r="M113" s="61">
        <f t="shared" si="43"/>
        <v>0</v>
      </c>
      <c r="N113" s="61">
        <f t="shared" si="43"/>
        <v>0</v>
      </c>
      <c r="O113" s="61">
        <f t="shared" si="43"/>
        <v>0</v>
      </c>
      <c r="P113" s="61">
        <f t="shared" si="43"/>
        <v>0</v>
      </c>
      <c r="Q113" s="61">
        <f t="shared" si="43"/>
        <v>0</v>
      </c>
      <c r="R113" s="61">
        <f t="shared" si="43"/>
        <v>0</v>
      </c>
      <c r="S113" s="61">
        <f t="shared" si="43"/>
        <v>0</v>
      </c>
      <c r="T113" s="61">
        <f t="shared" si="43"/>
        <v>0</v>
      </c>
      <c r="U113" s="61">
        <f t="shared" si="43"/>
        <v>0.22371756521739136</v>
      </c>
      <c r="V113" s="61">
        <f t="shared" si="43"/>
        <v>0.21650086956521744</v>
      </c>
      <c r="W113" s="61">
        <f t="shared" si="43"/>
        <v>0.21650086956521744</v>
      </c>
      <c r="X113" s="61">
        <f t="shared" si="43"/>
        <v>0.22371756521739136</v>
      </c>
      <c r="Y113" s="61">
        <f t="shared" si="43"/>
        <v>0.22371756521739136</v>
      </c>
    </row>
    <row r="114" spans="1:29" x14ac:dyDescent="0.25">
      <c r="A114" s="128" t="str">
        <f>A$19</f>
        <v>lot5</v>
      </c>
      <c r="B114" s="61">
        <f t="shared" ref="B114:Y114" si="44">(B43*B$3*B103)/1000</f>
        <v>0</v>
      </c>
      <c r="C114" s="61">
        <f t="shared" si="44"/>
        <v>0</v>
      </c>
      <c r="D114" s="61">
        <f t="shared" si="44"/>
        <v>0</v>
      </c>
      <c r="E114" s="61">
        <f t="shared" si="44"/>
        <v>0</v>
      </c>
      <c r="F114" s="61">
        <f t="shared" si="44"/>
        <v>0</v>
      </c>
      <c r="G114" s="61">
        <f t="shared" si="44"/>
        <v>0</v>
      </c>
      <c r="H114" s="61">
        <f t="shared" si="44"/>
        <v>0</v>
      </c>
      <c r="I114" s="61">
        <f t="shared" si="44"/>
        <v>0</v>
      </c>
      <c r="J114" s="61">
        <f t="shared" si="44"/>
        <v>0</v>
      </c>
      <c r="K114" s="61">
        <f t="shared" si="44"/>
        <v>0</v>
      </c>
      <c r="L114" s="61">
        <f t="shared" si="44"/>
        <v>0</v>
      </c>
      <c r="M114" s="61">
        <f t="shared" si="44"/>
        <v>0</v>
      </c>
      <c r="N114" s="61">
        <f t="shared" si="44"/>
        <v>0</v>
      </c>
      <c r="O114" s="61">
        <f t="shared" si="44"/>
        <v>0</v>
      </c>
      <c r="P114" s="61">
        <f t="shared" si="44"/>
        <v>0</v>
      </c>
      <c r="Q114" s="61">
        <f t="shared" si="44"/>
        <v>0</v>
      </c>
      <c r="R114" s="61">
        <f t="shared" si="44"/>
        <v>0</v>
      </c>
      <c r="S114" s="61">
        <f t="shared" si="44"/>
        <v>0</v>
      </c>
      <c r="T114" s="61">
        <f t="shared" si="44"/>
        <v>0</v>
      </c>
      <c r="U114" s="61">
        <f t="shared" si="44"/>
        <v>0</v>
      </c>
      <c r="V114" s="61">
        <f t="shared" si="44"/>
        <v>0</v>
      </c>
      <c r="W114" s="61">
        <f t="shared" si="44"/>
        <v>0</v>
      </c>
      <c r="X114" s="61">
        <f t="shared" si="44"/>
        <v>0</v>
      </c>
      <c r="Y114" s="61">
        <f t="shared" si="44"/>
        <v>0</v>
      </c>
    </row>
    <row r="115" spans="1:29" x14ac:dyDescent="0.25">
      <c r="A115" s="127" t="str">
        <f>A$20</f>
        <v>lot6</v>
      </c>
      <c r="B115" s="61">
        <f t="shared" ref="B115:Y115" si="45">(B44*B$3*B104)/1000</f>
        <v>0</v>
      </c>
      <c r="C115" s="61">
        <f t="shared" si="45"/>
        <v>0</v>
      </c>
      <c r="D115" s="61">
        <f t="shared" si="45"/>
        <v>0</v>
      </c>
      <c r="E115" s="61">
        <f t="shared" si="45"/>
        <v>0</v>
      </c>
      <c r="F115" s="61">
        <f t="shared" si="45"/>
        <v>0</v>
      </c>
      <c r="G115" s="61">
        <f t="shared" si="45"/>
        <v>0</v>
      </c>
      <c r="H115" s="61">
        <f t="shared" si="45"/>
        <v>0</v>
      </c>
      <c r="I115" s="61">
        <f t="shared" si="45"/>
        <v>0</v>
      </c>
      <c r="J115" s="61">
        <f t="shared" si="45"/>
        <v>0</v>
      </c>
      <c r="K115" s="61">
        <f t="shared" si="45"/>
        <v>0</v>
      </c>
      <c r="L115" s="61">
        <f t="shared" si="45"/>
        <v>0</v>
      </c>
      <c r="M115" s="61">
        <f t="shared" si="45"/>
        <v>0</v>
      </c>
      <c r="N115" s="61">
        <f t="shared" si="45"/>
        <v>0</v>
      </c>
      <c r="O115" s="61">
        <f t="shared" si="45"/>
        <v>0</v>
      </c>
      <c r="P115" s="61">
        <f t="shared" si="45"/>
        <v>0</v>
      </c>
      <c r="Q115" s="61">
        <f t="shared" si="45"/>
        <v>0</v>
      </c>
      <c r="R115" s="61">
        <f t="shared" si="45"/>
        <v>0</v>
      </c>
      <c r="S115" s="61">
        <f t="shared" si="45"/>
        <v>0</v>
      </c>
      <c r="T115" s="61">
        <f t="shared" si="45"/>
        <v>0</v>
      </c>
      <c r="U115" s="61">
        <f t="shared" si="45"/>
        <v>0</v>
      </c>
      <c r="V115" s="61">
        <f t="shared" si="45"/>
        <v>0</v>
      </c>
      <c r="W115" s="61">
        <f t="shared" si="45"/>
        <v>0</v>
      </c>
      <c r="X115" s="61">
        <f t="shared" si="45"/>
        <v>0</v>
      </c>
      <c r="Y115" s="61">
        <f t="shared" si="45"/>
        <v>0</v>
      </c>
    </row>
    <row r="116" spans="1:29" x14ac:dyDescent="0.25">
      <c r="A116" s="128" t="str">
        <f>A$21</f>
        <v>lot7</v>
      </c>
      <c r="B116" s="61">
        <f t="shared" ref="B116:Y116" si="46">(B45*B$3*B105)/1000</f>
        <v>0</v>
      </c>
      <c r="C116" s="61">
        <f t="shared" si="46"/>
        <v>0</v>
      </c>
      <c r="D116" s="61">
        <f t="shared" si="46"/>
        <v>0</v>
      </c>
      <c r="E116" s="61">
        <f t="shared" si="46"/>
        <v>0</v>
      </c>
      <c r="F116" s="61">
        <f t="shared" si="46"/>
        <v>0</v>
      </c>
      <c r="G116" s="61">
        <f t="shared" si="46"/>
        <v>0</v>
      </c>
      <c r="H116" s="61">
        <f t="shared" si="46"/>
        <v>0</v>
      </c>
      <c r="I116" s="61">
        <f t="shared" si="46"/>
        <v>0</v>
      </c>
      <c r="J116" s="61">
        <f t="shared" si="46"/>
        <v>0</v>
      </c>
      <c r="K116" s="61">
        <f t="shared" si="46"/>
        <v>0</v>
      </c>
      <c r="L116" s="61">
        <f t="shared" si="46"/>
        <v>0</v>
      </c>
      <c r="M116" s="61">
        <f t="shared" si="46"/>
        <v>0</v>
      </c>
      <c r="N116" s="61">
        <f t="shared" si="46"/>
        <v>0</v>
      </c>
      <c r="O116" s="61">
        <f t="shared" si="46"/>
        <v>0</v>
      </c>
      <c r="P116" s="61">
        <f t="shared" si="46"/>
        <v>0</v>
      </c>
      <c r="Q116" s="61">
        <f t="shared" si="46"/>
        <v>0</v>
      </c>
      <c r="R116" s="61">
        <f t="shared" si="46"/>
        <v>0</v>
      </c>
      <c r="S116" s="61">
        <f t="shared" si="46"/>
        <v>0</v>
      </c>
      <c r="T116" s="61">
        <f t="shared" si="46"/>
        <v>0</v>
      </c>
      <c r="U116" s="61">
        <f t="shared" si="46"/>
        <v>0</v>
      </c>
      <c r="V116" s="61">
        <f t="shared" si="46"/>
        <v>0</v>
      </c>
      <c r="W116" s="61">
        <f t="shared" si="46"/>
        <v>0</v>
      </c>
      <c r="X116" s="61">
        <f t="shared" si="46"/>
        <v>0</v>
      </c>
      <c r="Y116" s="61">
        <f t="shared" si="46"/>
        <v>0</v>
      </c>
    </row>
    <row r="117" spans="1:29" x14ac:dyDescent="0.25">
      <c r="A117" s="128" t="str">
        <f>A$22</f>
        <v>lot8</v>
      </c>
      <c r="B117" s="61">
        <f t="shared" ref="B117:Y117" si="47">(B46*B$3*B106)/1000</f>
        <v>0</v>
      </c>
      <c r="C117" s="61">
        <f t="shared" si="47"/>
        <v>0</v>
      </c>
      <c r="D117" s="61">
        <f t="shared" si="47"/>
        <v>0</v>
      </c>
      <c r="E117" s="61">
        <f t="shared" si="47"/>
        <v>0</v>
      </c>
      <c r="F117" s="61">
        <f t="shared" si="47"/>
        <v>0</v>
      </c>
      <c r="G117" s="61">
        <f t="shared" si="47"/>
        <v>0</v>
      </c>
      <c r="H117" s="61">
        <f t="shared" si="47"/>
        <v>0</v>
      </c>
      <c r="I117" s="61">
        <f t="shared" si="47"/>
        <v>0</v>
      </c>
      <c r="J117" s="61">
        <f t="shared" si="47"/>
        <v>0</v>
      </c>
      <c r="K117" s="61">
        <f t="shared" si="47"/>
        <v>0</v>
      </c>
      <c r="L117" s="61">
        <f t="shared" si="47"/>
        <v>0</v>
      </c>
      <c r="M117" s="61">
        <f t="shared" si="47"/>
        <v>0</v>
      </c>
      <c r="N117" s="61">
        <f t="shared" si="47"/>
        <v>0</v>
      </c>
      <c r="O117" s="61">
        <f t="shared" si="47"/>
        <v>0</v>
      </c>
      <c r="P117" s="61">
        <f t="shared" si="47"/>
        <v>0</v>
      </c>
      <c r="Q117" s="61">
        <f t="shared" si="47"/>
        <v>0</v>
      </c>
      <c r="R117" s="61">
        <f t="shared" si="47"/>
        <v>0</v>
      </c>
      <c r="S117" s="61">
        <f t="shared" si="47"/>
        <v>0</v>
      </c>
      <c r="T117" s="61">
        <f t="shared" si="47"/>
        <v>0</v>
      </c>
      <c r="U117" s="61">
        <f t="shared" si="47"/>
        <v>0</v>
      </c>
      <c r="V117" s="61">
        <f t="shared" si="47"/>
        <v>0</v>
      </c>
      <c r="W117" s="61">
        <f t="shared" si="47"/>
        <v>0</v>
      </c>
      <c r="X117" s="61">
        <f t="shared" si="47"/>
        <v>0</v>
      </c>
      <c r="Y117" s="61">
        <f t="shared" si="47"/>
        <v>0</v>
      </c>
    </row>
    <row r="118" spans="1:29" x14ac:dyDescent="0.25">
      <c r="A118" s="127" t="str">
        <f>A$23</f>
        <v>lot9</v>
      </c>
      <c r="B118" s="61">
        <f t="shared" ref="B118:Y118" si="48">(B47*B$3*B107)/1000</f>
        <v>0</v>
      </c>
      <c r="C118" s="61">
        <f t="shared" si="48"/>
        <v>0</v>
      </c>
      <c r="D118" s="61">
        <f t="shared" si="48"/>
        <v>0</v>
      </c>
      <c r="E118" s="61">
        <f t="shared" si="48"/>
        <v>0</v>
      </c>
      <c r="F118" s="61">
        <f t="shared" si="48"/>
        <v>0</v>
      </c>
      <c r="G118" s="61">
        <f t="shared" si="48"/>
        <v>0</v>
      </c>
      <c r="H118" s="61">
        <f t="shared" si="48"/>
        <v>0</v>
      </c>
      <c r="I118" s="61">
        <f t="shared" si="48"/>
        <v>0</v>
      </c>
      <c r="J118" s="61">
        <f t="shared" si="48"/>
        <v>0</v>
      </c>
      <c r="K118" s="61">
        <f t="shared" si="48"/>
        <v>0</v>
      </c>
      <c r="L118" s="61">
        <f t="shared" si="48"/>
        <v>0</v>
      </c>
      <c r="M118" s="61">
        <f t="shared" si="48"/>
        <v>0</v>
      </c>
      <c r="N118" s="61">
        <f t="shared" si="48"/>
        <v>0</v>
      </c>
      <c r="O118" s="61">
        <f t="shared" si="48"/>
        <v>0</v>
      </c>
      <c r="P118" s="61">
        <f t="shared" si="48"/>
        <v>0</v>
      </c>
      <c r="Q118" s="61">
        <f t="shared" si="48"/>
        <v>0</v>
      </c>
      <c r="R118" s="61">
        <f t="shared" si="48"/>
        <v>0</v>
      </c>
      <c r="S118" s="61">
        <f t="shared" si="48"/>
        <v>0</v>
      </c>
      <c r="T118" s="61">
        <f t="shared" si="48"/>
        <v>0</v>
      </c>
      <c r="U118" s="61">
        <f t="shared" si="48"/>
        <v>0</v>
      </c>
      <c r="V118" s="61">
        <f t="shared" si="48"/>
        <v>0</v>
      </c>
      <c r="W118" s="61">
        <f t="shared" si="48"/>
        <v>0</v>
      </c>
      <c r="X118" s="61">
        <f t="shared" si="48"/>
        <v>0</v>
      </c>
      <c r="Y118" s="61">
        <f t="shared" si="48"/>
        <v>0</v>
      </c>
    </row>
    <row r="119" spans="1:29" x14ac:dyDescent="0.25">
      <c r="A119" s="128" t="str">
        <f>A$24</f>
        <v>lot10</v>
      </c>
      <c r="B119" s="61">
        <f t="shared" ref="B119:Y119" si="49">(B48*B$3*B108)/1000</f>
        <v>0</v>
      </c>
      <c r="C119" s="61">
        <f t="shared" si="49"/>
        <v>0</v>
      </c>
      <c r="D119" s="61">
        <f t="shared" si="49"/>
        <v>0</v>
      </c>
      <c r="E119" s="61">
        <f t="shared" si="49"/>
        <v>0</v>
      </c>
      <c r="F119" s="61">
        <f t="shared" si="49"/>
        <v>0</v>
      </c>
      <c r="G119" s="61">
        <f t="shared" si="49"/>
        <v>0</v>
      </c>
      <c r="H119" s="61">
        <f t="shared" si="49"/>
        <v>0</v>
      </c>
      <c r="I119" s="61">
        <f t="shared" si="49"/>
        <v>0</v>
      </c>
      <c r="J119" s="61">
        <f t="shared" si="49"/>
        <v>0</v>
      </c>
      <c r="K119" s="61">
        <f t="shared" si="49"/>
        <v>0</v>
      </c>
      <c r="L119" s="61">
        <f t="shared" si="49"/>
        <v>0</v>
      </c>
      <c r="M119" s="61">
        <f t="shared" si="49"/>
        <v>0</v>
      </c>
      <c r="N119" s="61">
        <f t="shared" si="49"/>
        <v>0</v>
      </c>
      <c r="O119" s="61">
        <f t="shared" si="49"/>
        <v>0</v>
      </c>
      <c r="P119" s="61">
        <f t="shared" si="49"/>
        <v>0</v>
      </c>
      <c r="Q119" s="61">
        <f t="shared" si="49"/>
        <v>0</v>
      </c>
      <c r="R119" s="61">
        <f t="shared" si="49"/>
        <v>0</v>
      </c>
      <c r="S119" s="61">
        <f t="shared" si="49"/>
        <v>0</v>
      </c>
      <c r="T119" s="61">
        <f t="shared" si="49"/>
        <v>0</v>
      </c>
      <c r="U119" s="61">
        <f t="shared" si="49"/>
        <v>0</v>
      </c>
      <c r="V119" s="61">
        <f t="shared" si="49"/>
        <v>0</v>
      </c>
      <c r="W119" s="61">
        <f t="shared" si="49"/>
        <v>0</v>
      </c>
      <c r="X119" s="61">
        <f t="shared" si="49"/>
        <v>0</v>
      </c>
      <c r="Y119" s="61">
        <f t="shared" si="49"/>
        <v>0</v>
      </c>
    </row>
    <row r="120" spans="1:29" x14ac:dyDescent="0.25">
      <c r="A120" s="38" t="s">
        <v>202</v>
      </c>
      <c r="B120" s="61">
        <f>ROUNDUP(SUM(B110:B119),1)</f>
        <v>10.7</v>
      </c>
      <c r="C120" s="61">
        <f t="shared" ref="C120:Y120" si="50">SUM(C110:C119)</f>
        <v>10.514209293913046</v>
      </c>
      <c r="D120" s="61">
        <f t="shared" si="50"/>
        <v>9.4128212591304372</v>
      </c>
      <c r="E120" s="61">
        <f t="shared" si="50"/>
        <v>9.3708793043478291</v>
      </c>
      <c r="F120" s="61">
        <f t="shared" si="50"/>
        <v>10.328466351304348</v>
      </c>
      <c r="G120" s="61">
        <f t="shared" si="50"/>
        <v>10.282030615652175</v>
      </c>
      <c r="H120" s="61">
        <f t="shared" si="50"/>
        <v>9.9054144000000068</v>
      </c>
      <c r="I120" s="61">
        <f t="shared" si="50"/>
        <v>9.8604765913043515</v>
      </c>
      <c r="J120" s="61">
        <f t="shared" si="50"/>
        <v>10.677953342608697</v>
      </c>
      <c r="K120" s="61">
        <f t="shared" si="50"/>
        <v>6.5437674643478267</v>
      </c>
      <c r="L120" s="61">
        <f t="shared" si="50"/>
        <v>6.3326781913043479</v>
      </c>
      <c r="M120" s="61">
        <f t="shared" si="50"/>
        <v>6.3326781913043479</v>
      </c>
      <c r="N120" s="61">
        <f t="shared" si="50"/>
        <v>6.5437674643478267</v>
      </c>
      <c r="O120" s="61">
        <f t="shared" si="50"/>
        <v>6.5437674643478267</v>
      </c>
      <c r="P120" s="61">
        <f t="shared" si="50"/>
        <v>6.5437674643478267</v>
      </c>
      <c r="Q120" s="61">
        <f t="shared" si="50"/>
        <v>6.5437674643478267</v>
      </c>
      <c r="R120" s="61">
        <f t="shared" si="50"/>
        <v>6.3326781913043479</v>
      </c>
      <c r="S120" s="61">
        <f t="shared" si="50"/>
        <v>6.3326781913043479</v>
      </c>
      <c r="T120" s="61">
        <f t="shared" si="50"/>
        <v>5.3480831234782622</v>
      </c>
      <c r="U120" s="61">
        <f t="shared" si="50"/>
        <v>9.5862976695652176</v>
      </c>
      <c r="V120" s="61">
        <f t="shared" si="50"/>
        <v>9.2770622608695668</v>
      </c>
      <c r="W120" s="61">
        <f t="shared" si="50"/>
        <v>10.264916869565221</v>
      </c>
      <c r="X120" s="61">
        <f t="shared" si="50"/>
        <v>10.607080765217393</v>
      </c>
      <c r="Y120" s="61">
        <f t="shared" si="50"/>
        <v>10.607080765217393</v>
      </c>
      <c r="AA120" s="57">
        <f>SUM(B120:Y120)</f>
        <v>204.79232269913052</v>
      </c>
      <c r="AB120" t="s">
        <v>38</v>
      </c>
      <c r="AC120" t="s">
        <v>206</v>
      </c>
    </row>
    <row r="121" spans="1:29" x14ac:dyDescent="0.25">
      <c r="AA121">
        <f>AA49*4.75</f>
        <v>199.61102608695654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brebis</v>
      </c>
      <c r="B123" s="60">
        <v>0</v>
      </c>
      <c r="C123" s="60">
        <v>0</v>
      </c>
      <c r="D123" s="60">
        <v>0</v>
      </c>
      <c r="E123" s="60">
        <v>0</v>
      </c>
      <c r="F123" s="60">
        <v>0</v>
      </c>
      <c r="G123" s="156">
        <v>0.6</v>
      </c>
      <c r="H123" s="156">
        <v>0.6</v>
      </c>
      <c r="I123" s="156">
        <v>0.6</v>
      </c>
      <c r="J123" s="156">
        <v>0.6</v>
      </c>
      <c r="K123" s="156">
        <v>0.8</v>
      </c>
      <c r="L123" s="156">
        <v>0.8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60">
        <v>1</v>
      </c>
      <c r="S123" s="60">
        <v>1</v>
      </c>
      <c r="T123" s="156">
        <v>0.33</v>
      </c>
      <c r="U123" s="156">
        <v>0.33</v>
      </c>
      <c r="V123" s="60">
        <v>0</v>
      </c>
      <c r="W123" s="60">
        <v>0</v>
      </c>
      <c r="X123" s="60">
        <v>0</v>
      </c>
      <c r="Y123" s="60">
        <v>0</v>
      </c>
    </row>
    <row r="124" spans="1:29" x14ac:dyDescent="0.25">
      <c r="A124" s="128" t="str">
        <f>A$16</f>
        <v>vides</v>
      </c>
      <c r="B124" s="60">
        <v>1</v>
      </c>
      <c r="C124" s="60">
        <v>1</v>
      </c>
      <c r="D124" s="60">
        <v>1</v>
      </c>
      <c r="E124" s="60">
        <v>1</v>
      </c>
      <c r="F124" s="60">
        <v>1</v>
      </c>
      <c r="G124" s="60">
        <v>1</v>
      </c>
      <c r="H124" s="60">
        <v>1</v>
      </c>
      <c r="I124" s="60">
        <v>1</v>
      </c>
      <c r="J124" s="60">
        <v>1</v>
      </c>
      <c r="K124" s="60">
        <v>1</v>
      </c>
      <c r="L124" s="60">
        <v>1</v>
      </c>
      <c r="M124" s="60">
        <v>1</v>
      </c>
      <c r="N124" s="60">
        <v>1</v>
      </c>
      <c r="O124" s="60">
        <v>1</v>
      </c>
      <c r="P124" s="60">
        <v>1</v>
      </c>
      <c r="Q124" s="60">
        <v>1</v>
      </c>
      <c r="R124" s="60">
        <v>1</v>
      </c>
      <c r="S124" s="60">
        <v>1</v>
      </c>
      <c r="T124" s="60">
        <v>1</v>
      </c>
      <c r="U124" s="60">
        <v>1</v>
      </c>
      <c r="V124" s="60">
        <v>1</v>
      </c>
      <c r="W124" s="60">
        <v>1</v>
      </c>
      <c r="X124" s="60">
        <v>1</v>
      </c>
      <c r="Y124" s="60">
        <v>1</v>
      </c>
    </row>
    <row r="125" spans="1:29" x14ac:dyDescent="0.25">
      <c r="A125" s="128" t="str">
        <f>A$17</f>
        <v>agnelles</v>
      </c>
      <c r="B125" s="60">
        <v>0</v>
      </c>
      <c r="C125" s="60">
        <v>0</v>
      </c>
      <c r="D125" s="60">
        <v>1</v>
      </c>
      <c r="E125" s="60">
        <v>1</v>
      </c>
      <c r="F125" s="60">
        <v>1</v>
      </c>
      <c r="G125" s="60">
        <v>1</v>
      </c>
      <c r="H125" s="60">
        <v>1</v>
      </c>
      <c r="I125" s="60">
        <v>1</v>
      </c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>
        <v>1</v>
      </c>
      <c r="Q125" s="60">
        <v>1</v>
      </c>
      <c r="R125" s="60">
        <v>1</v>
      </c>
      <c r="S125" s="60">
        <v>1</v>
      </c>
      <c r="T125" s="60">
        <v>0.33</v>
      </c>
      <c r="U125" s="60">
        <v>0.33</v>
      </c>
      <c r="V125" s="60">
        <v>0</v>
      </c>
      <c r="W125" s="60">
        <v>0</v>
      </c>
      <c r="X125" s="60">
        <v>0</v>
      </c>
      <c r="Y125" s="60">
        <v>0</v>
      </c>
    </row>
    <row r="126" spans="1:29" x14ac:dyDescent="0.25">
      <c r="A126" s="127" t="str">
        <f>A$18</f>
        <v>beliers</v>
      </c>
      <c r="B126" s="60">
        <v>1</v>
      </c>
      <c r="C126" s="60">
        <v>1</v>
      </c>
      <c r="D126" s="60">
        <v>1</v>
      </c>
      <c r="E126" s="60">
        <v>1</v>
      </c>
      <c r="F126" s="60">
        <v>1</v>
      </c>
      <c r="G126" s="60">
        <v>1</v>
      </c>
      <c r="H126" s="60">
        <v>1</v>
      </c>
      <c r="I126" s="60">
        <v>1</v>
      </c>
      <c r="J126" s="60">
        <v>0.5</v>
      </c>
      <c r="K126" s="60">
        <v>0.5</v>
      </c>
      <c r="L126" s="60"/>
      <c r="M126" s="60"/>
      <c r="N126" s="60"/>
      <c r="O126" s="60"/>
      <c r="P126" s="60"/>
      <c r="Q126" s="60"/>
      <c r="R126" s="60"/>
      <c r="S126" s="60"/>
      <c r="T126" s="60"/>
      <c r="U126" s="60">
        <v>1</v>
      </c>
      <c r="V126" s="60">
        <v>1</v>
      </c>
      <c r="W126" s="60">
        <v>1</v>
      </c>
      <c r="X126" s="60">
        <v>1</v>
      </c>
      <c r="Y126" s="60">
        <v>1</v>
      </c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brebis</v>
      </c>
      <c r="B136" s="61">
        <f>B110*(1-B123)</f>
        <v>9.2871471304347839</v>
      </c>
      <c r="C136" s="61">
        <f t="shared" ref="C136:Y136" si="51">C110*(1-C123)</f>
        <v>9.1942756591304367</v>
      </c>
      <c r="D136" s="61">
        <f t="shared" si="51"/>
        <v>8.2206231373913052</v>
      </c>
      <c r="E136" s="61">
        <f t="shared" si="51"/>
        <v>8.1786811826086971</v>
      </c>
      <c r="F136" s="61">
        <f t="shared" si="51"/>
        <v>9.0085327165217386</v>
      </c>
      <c r="G136" s="61">
        <f t="shared" si="51"/>
        <v>3.5848387923478264</v>
      </c>
      <c r="H136" s="61">
        <f t="shared" si="51"/>
        <v>3.451223707826089</v>
      </c>
      <c r="I136" s="61">
        <f t="shared" si="51"/>
        <v>3.4332485843478269</v>
      </c>
      <c r="J136" s="61">
        <f t="shared" si="51"/>
        <v>3.5105416153043487</v>
      </c>
      <c r="K136" s="61">
        <f t="shared" si="51"/>
        <v>1.1148649363478258</v>
      </c>
      <c r="L136" s="61">
        <f t="shared" si="51"/>
        <v>1.0789015513043476</v>
      </c>
      <c r="M136" s="61">
        <f t="shared" si="51"/>
        <v>0</v>
      </c>
      <c r="N136" s="61">
        <f t="shared" si="51"/>
        <v>0</v>
      </c>
      <c r="O136" s="61">
        <f t="shared" si="51"/>
        <v>0</v>
      </c>
      <c r="P136" s="61">
        <f t="shared" si="51"/>
        <v>0</v>
      </c>
      <c r="Q136" s="61">
        <f t="shared" si="51"/>
        <v>0</v>
      </c>
      <c r="R136" s="61">
        <f t="shared" si="51"/>
        <v>0</v>
      </c>
      <c r="S136" s="61">
        <f t="shared" si="51"/>
        <v>0</v>
      </c>
      <c r="T136" s="61">
        <f t="shared" si="51"/>
        <v>2.9336890283826089</v>
      </c>
      <c r="U136" s="61">
        <f t="shared" si="51"/>
        <v>5.7982745690434774</v>
      </c>
      <c r="V136" s="61">
        <f t="shared" si="51"/>
        <v>8.3749753043478261</v>
      </c>
      <c r="W136" s="61">
        <f t="shared" si="51"/>
        <v>8.9875617391304363</v>
      </c>
      <c r="X136" s="61">
        <f t="shared" si="51"/>
        <v>9.2871471304347839</v>
      </c>
      <c r="Y136" s="61">
        <f t="shared" si="51"/>
        <v>9.2871471304347839</v>
      </c>
      <c r="AA136" s="61">
        <f>SUM(B136:Y136)</f>
        <v>104.73167391533917</v>
      </c>
    </row>
    <row r="137" spans="1:31" x14ac:dyDescent="0.25">
      <c r="A137" s="128" t="str">
        <f>A$16</f>
        <v>vides</v>
      </c>
      <c r="B137" s="61">
        <f t="shared" ref="B137:Y144" si="52">B111*(1-B124)</f>
        <v>0</v>
      </c>
      <c r="C137" s="61">
        <f t="shared" si="52"/>
        <v>0</v>
      </c>
      <c r="D137" s="61">
        <f t="shared" si="52"/>
        <v>0</v>
      </c>
      <c r="E137" s="61">
        <f t="shared" si="52"/>
        <v>0</v>
      </c>
      <c r="F137" s="61">
        <f t="shared" si="52"/>
        <v>0</v>
      </c>
      <c r="G137" s="61">
        <f t="shared" si="52"/>
        <v>0</v>
      </c>
      <c r="H137" s="61">
        <f t="shared" si="52"/>
        <v>0</v>
      </c>
      <c r="I137" s="61">
        <f t="shared" si="52"/>
        <v>0</v>
      </c>
      <c r="J137" s="61">
        <f t="shared" si="52"/>
        <v>0</v>
      </c>
      <c r="K137" s="61">
        <f t="shared" si="52"/>
        <v>0</v>
      </c>
      <c r="L137" s="61">
        <f t="shared" si="52"/>
        <v>0</v>
      </c>
      <c r="M137" s="61">
        <f t="shared" si="52"/>
        <v>0</v>
      </c>
      <c r="N137" s="61">
        <f t="shared" si="52"/>
        <v>0</v>
      </c>
      <c r="O137" s="61">
        <f t="shared" si="52"/>
        <v>0</v>
      </c>
      <c r="P137" s="61">
        <f t="shared" si="52"/>
        <v>0</v>
      </c>
      <c r="Q137" s="61">
        <f t="shared" si="52"/>
        <v>0</v>
      </c>
      <c r="R137" s="61">
        <f t="shared" si="52"/>
        <v>0</v>
      </c>
      <c r="S137" s="61">
        <f t="shared" si="52"/>
        <v>0</v>
      </c>
      <c r="T137" s="61">
        <f t="shared" si="52"/>
        <v>0</v>
      </c>
      <c r="U137" s="61">
        <f t="shared" si="52"/>
        <v>0</v>
      </c>
      <c r="V137" s="61">
        <f t="shared" si="52"/>
        <v>0</v>
      </c>
      <c r="W137" s="61">
        <f t="shared" si="52"/>
        <v>0</v>
      </c>
      <c r="X137" s="61">
        <f t="shared" si="52"/>
        <v>0</v>
      </c>
      <c r="Y137" s="61">
        <f t="shared" si="52"/>
        <v>0</v>
      </c>
      <c r="AA137" s="61">
        <f>SUM(B137:Y137)</f>
        <v>0</v>
      </c>
    </row>
    <row r="138" spans="1:31" x14ac:dyDescent="0.25">
      <c r="A138" s="128" t="str">
        <f>A$17</f>
        <v>agnelles</v>
      </c>
      <c r="B138" s="61">
        <f t="shared" si="52"/>
        <v>0.38777711304347828</v>
      </c>
      <c r="C138" s="61">
        <f t="shared" si="52"/>
        <v>0.38777711304347828</v>
      </c>
      <c r="D138" s="61">
        <f t="shared" si="52"/>
        <v>0</v>
      </c>
      <c r="E138" s="61">
        <f t="shared" si="52"/>
        <v>0</v>
      </c>
      <c r="F138" s="61">
        <f t="shared" si="52"/>
        <v>0</v>
      </c>
      <c r="G138" s="61">
        <f t="shared" si="52"/>
        <v>0</v>
      </c>
      <c r="H138" s="61">
        <f t="shared" si="52"/>
        <v>0</v>
      </c>
      <c r="I138" s="61">
        <f t="shared" si="52"/>
        <v>0</v>
      </c>
      <c r="J138" s="61">
        <f t="shared" si="52"/>
        <v>0</v>
      </c>
      <c r="K138" s="61">
        <f t="shared" si="52"/>
        <v>0</v>
      </c>
      <c r="L138" s="61">
        <f t="shared" si="52"/>
        <v>0</v>
      </c>
      <c r="M138" s="61">
        <f t="shared" si="52"/>
        <v>0</v>
      </c>
      <c r="N138" s="61">
        <f t="shared" si="52"/>
        <v>0</v>
      </c>
      <c r="O138" s="61">
        <f t="shared" si="52"/>
        <v>0</v>
      </c>
      <c r="P138" s="61">
        <f t="shared" si="52"/>
        <v>0</v>
      </c>
      <c r="Q138" s="61">
        <f t="shared" si="52"/>
        <v>0</v>
      </c>
      <c r="R138" s="61">
        <f t="shared" si="52"/>
        <v>0</v>
      </c>
      <c r="S138" s="61">
        <f t="shared" si="52"/>
        <v>0</v>
      </c>
      <c r="T138" s="61">
        <f t="shared" si="52"/>
        <v>0.64952666434782613</v>
      </c>
      <c r="U138" s="61">
        <f t="shared" si="52"/>
        <v>0</v>
      </c>
      <c r="V138" s="61">
        <f t="shared" si="52"/>
        <v>0</v>
      </c>
      <c r="W138" s="61">
        <f t="shared" si="52"/>
        <v>0.37526817391304346</v>
      </c>
      <c r="X138" s="61">
        <f t="shared" si="52"/>
        <v>0.38777711304347828</v>
      </c>
      <c r="Y138" s="61">
        <f t="shared" si="52"/>
        <v>0.38777711304347828</v>
      </c>
      <c r="AA138" s="61">
        <f t="shared" ref="AA138:AA144" si="53">SUM(B138:Y138)</f>
        <v>2.5759032904347827</v>
      </c>
    </row>
    <row r="139" spans="1:31" x14ac:dyDescent="0.25">
      <c r="A139" s="127" t="str">
        <f>A$18</f>
        <v>beliers</v>
      </c>
      <c r="B139" s="61">
        <f t="shared" si="52"/>
        <v>0</v>
      </c>
      <c r="C139" s="61">
        <f t="shared" si="52"/>
        <v>0</v>
      </c>
      <c r="D139" s="61">
        <f t="shared" si="52"/>
        <v>0</v>
      </c>
      <c r="E139" s="61">
        <f t="shared" si="52"/>
        <v>0</v>
      </c>
      <c r="F139" s="61">
        <f t="shared" si="52"/>
        <v>0</v>
      </c>
      <c r="G139" s="61">
        <f t="shared" si="52"/>
        <v>0</v>
      </c>
      <c r="H139" s="61">
        <f t="shared" si="52"/>
        <v>0</v>
      </c>
      <c r="I139" s="61">
        <f t="shared" si="52"/>
        <v>0</v>
      </c>
      <c r="J139" s="61">
        <f t="shared" si="52"/>
        <v>0.11185878260869568</v>
      </c>
      <c r="K139" s="61">
        <f t="shared" si="52"/>
        <v>0</v>
      </c>
      <c r="L139" s="61">
        <f t="shared" si="52"/>
        <v>0</v>
      </c>
      <c r="M139" s="61">
        <f t="shared" si="52"/>
        <v>0</v>
      </c>
      <c r="N139" s="61">
        <f t="shared" si="52"/>
        <v>0</v>
      </c>
      <c r="O139" s="61">
        <f t="shared" si="52"/>
        <v>0</v>
      </c>
      <c r="P139" s="61">
        <f t="shared" si="52"/>
        <v>0</v>
      </c>
      <c r="Q139" s="61">
        <f t="shared" si="52"/>
        <v>0</v>
      </c>
      <c r="R139" s="61">
        <f t="shared" si="52"/>
        <v>0</v>
      </c>
      <c r="S139" s="61">
        <f t="shared" si="52"/>
        <v>0</v>
      </c>
      <c r="T139" s="61">
        <f t="shared" si="52"/>
        <v>0</v>
      </c>
      <c r="U139" s="61">
        <f t="shared" si="52"/>
        <v>0</v>
      </c>
      <c r="V139" s="61">
        <f t="shared" si="52"/>
        <v>0</v>
      </c>
      <c r="W139" s="61">
        <f t="shared" si="52"/>
        <v>0</v>
      </c>
      <c r="X139" s="61">
        <f t="shared" si="52"/>
        <v>0</v>
      </c>
      <c r="Y139" s="61">
        <f t="shared" si="52"/>
        <v>0</v>
      </c>
      <c r="AA139" s="61">
        <f t="shared" si="53"/>
        <v>0.11185878260869568</v>
      </c>
    </row>
    <row r="140" spans="1:31" x14ac:dyDescent="0.25">
      <c r="A140" s="128" t="str">
        <f>A$19</f>
        <v>lot5</v>
      </c>
      <c r="B140" s="61">
        <f t="shared" si="52"/>
        <v>0</v>
      </c>
      <c r="C140" s="61">
        <f t="shared" si="52"/>
        <v>0</v>
      </c>
      <c r="D140" s="61">
        <f t="shared" si="52"/>
        <v>0</v>
      </c>
      <c r="E140" s="61">
        <f t="shared" si="52"/>
        <v>0</v>
      </c>
      <c r="F140" s="61">
        <f t="shared" si="52"/>
        <v>0</v>
      </c>
      <c r="G140" s="61">
        <f t="shared" si="52"/>
        <v>0</v>
      </c>
      <c r="H140" s="61">
        <f t="shared" si="52"/>
        <v>0</v>
      </c>
      <c r="I140" s="61">
        <f t="shared" si="52"/>
        <v>0</v>
      </c>
      <c r="J140" s="61">
        <f t="shared" si="52"/>
        <v>0</v>
      </c>
      <c r="K140" s="61">
        <f t="shared" si="52"/>
        <v>0</v>
      </c>
      <c r="L140" s="61">
        <f t="shared" si="52"/>
        <v>0</v>
      </c>
      <c r="M140" s="61">
        <f t="shared" si="52"/>
        <v>0</v>
      </c>
      <c r="N140" s="61">
        <f t="shared" si="52"/>
        <v>0</v>
      </c>
      <c r="O140" s="61">
        <f t="shared" si="52"/>
        <v>0</v>
      </c>
      <c r="P140" s="61">
        <f t="shared" si="52"/>
        <v>0</v>
      </c>
      <c r="Q140" s="61">
        <f t="shared" si="52"/>
        <v>0</v>
      </c>
      <c r="R140" s="61">
        <f t="shared" si="52"/>
        <v>0</v>
      </c>
      <c r="S140" s="61">
        <f t="shared" si="52"/>
        <v>0</v>
      </c>
      <c r="T140" s="61">
        <f t="shared" si="52"/>
        <v>0</v>
      </c>
      <c r="U140" s="61">
        <f t="shared" si="52"/>
        <v>0</v>
      </c>
      <c r="V140" s="61">
        <f t="shared" si="52"/>
        <v>0</v>
      </c>
      <c r="W140" s="61">
        <f t="shared" si="52"/>
        <v>0</v>
      </c>
      <c r="X140" s="61">
        <f t="shared" si="52"/>
        <v>0</v>
      </c>
      <c r="Y140" s="61">
        <f t="shared" si="52"/>
        <v>0</v>
      </c>
      <c r="AA140" s="61">
        <f t="shared" si="53"/>
        <v>0</v>
      </c>
    </row>
    <row r="141" spans="1:31" x14ac:dyDescent="0.25">
      <c r="A141" s="127" t="str">
        <f>A$20</f>
        <v>lot6</v>
      </c>
      <c r="B141" s="61">
        <f t="shared" si="52"/>
        <v>0</v>
      </c>
      <c r="C141" s="61">
        <f t="shared" si="52"/>
        <v>0</v>
      </c>
      <c r="D141" s="61">
        <f t="shared" si="52"/>
        <v>0</v>
      </c>
      <c r="E141" s="61">
        <f t="shared" si="52"/>
        <v>0</v>
      </c>
      <c r="F141" s="61">
        <f t="shared" si="52"/>
        <v>0</v>
      </c>
      <c r="G141" s="61">
        <f t="shared" si="52"/>
        <v>0</v>
      </c>
      <c r="H141" s="61">
        <f t="shared" si="52"/>
        <v>0</v>
      </c>
      <c r="I141" s="61">
        <f t="shared" si="52"/>
        <v>0</v>
      </c>
      <c r="J141" s="61">
        <f t="shared" si="52"/>
        <v>0</v>
      </c>
      <c r="K141" s="61">
        <f t="shared" si="52"/>
        <v>0</v>
      </c>
      <c r="L141" s="61">
        <f t="shared" si="52"/>
        <v>0</v>
      </c>
      <c r="M141" s="61">
        <f t="shared" si="52"/>
        <v>0</v>
      </c>
      <c r="N141" s="61">
        <f t="shared" si="52"/>
        <v>0</v>
      </c>
      <c r="O141" s="61">
        <f t="shared" si="52"/>
        <v>0</v>
      </c>
      <c r="P141" s="61">
        <f t="shared" si="52"/>
        <v>0</v>
      </c>
      <c r="Q141" s="61">
        <f t="shared" si="52"/>
        <v>0</v>
      </c>
      <c r="R141" s="61">
        <f t="shared" si="52"/>
        <v>0</v>
      </c>
      <c r="S141" s="61">
        <f t="shared" si="52"/>
        <v>0</v>
      </c>
      <c r="T141" s="61">
        <f t="shared" si="52"/>
        <v>0</v>
      </c>
      <c r="U141" s="61">
        <f t="shared" si="52"/>
        <v>0</v>
      </c>
      <c r="V141" s="61">
        <f t="shared" si="52"/>
        <v>0</v>
      </c>
      <c r="W141" s="61">
        <f t="shared" si="52"/>
        <v>0</v>
      </c>
      <c r="X141" s="61">
        <f t="shared" si="52"/>
        <v>0</v>
      </c>
      <c r="Y141" s="61">
        <f t="shared" si="52"/>
        <v>0</v>
      </c>
      <c r="AA141" s="61">
        <f t="shared" si="53"/>
        <v>0</v>
      </c>
    </row>
    <row r="142" spans="1:31" x14ac:dyDescent="0.25">
      <c r="A142" s="128" t="str">
        <f>A$21</f>
        <v>lot7</v>
      </c>
      <c r="B142" s="61">
        <f t="shared" si="52"/>
        <v>0</v>
      </c>
      <c r="C142" s="61">
        <f t="shared" si="52"/>
        <v>0</v>
      </c>
      <c r="D142" s="61">
        <f t="shared" si="52"/>
        <v>0</v>
      </c>
      <c r="E142" s="61">
        <f t="shared" si="52"/>
        <v>0</v>
      </c>
      <c r="F142" s="61">
        <f t="shared" si="52"/>
        <v>0</v>
      </c>
      <c r="G142" s="61">
        <f t="shared" si="52"/>
        <v>0</v>
      </c>
      <c r="H142" s="61">
        <f t="shared" si="52"/>
        <v>0</v>
      </c>
      <c r="I142" s="61">
        <f t="shared" si="52"/>
        <v>0</v>
      </c>
      <c r="J142" s="61">
        <f t="shared" si="52"/>
        <v>0</v>
      </c>
      <c r="K142" s="61">
        <f t="shared" si="52"/>
        <v>0</v>
      </c>
      <c r="L142" s="61">
        <f t="shared" si="52"/>
        <v>0</v>
      </c>
      <c r="M142" s="61">
        <f t="shared" si="52"/>
        <v>0</v>
      </c>
      <c r="N142" s="61">
        <f t="shared" si="52"/>
        <v>0</v>
      </c>
      <c r="O142" s="61">
        <f t="shared" si="52"/>
        <v>0</v>
      </c>
      <c r="P142" s="61">
        <f t="shared" si="52"/>
        <v>0</v>
      </c>
      <c r="Q142" s="61">
        <f t="shared" si="52"/>
        <v>0</v>
      </c>
      <c r="R142" s="61">
        <f t="shared" si="52"/>
        <v>0</v>
      </c>
      <c r="S142" s="61">
        <f t="shared" si="52"/>
        <v>0</v>
      </c>
      <c r="T142" s="61">
        <f t="shared" si="52"/>
        <v>0</v>
      </c>
      <c r="U142" s="61">
        <f t="shared" si="52"/>
        <v>0</v>
      </c>
      <c r="V142" s="61">
        <f t="shared" si="52"/>
        <v>0</v>
      </c>
      <c r="W142" s="61">
        <f t="shared" si="52"/>
        <v>0</v>
      </c>
      <c r="X142" s="61">
        <f t="shared" si="52"/>
        <v>0</v>
      </c>
      <c r="Y142" s="61">
        <f t="shared" si="52"/>
        <v>0</v>
      </c>
      <c r="AA142" s="61">
        <f t="shared" si="53"/>
        <v>0</v>
      </c>
    </row>
    <row r="143" spans="1:31" x14ac:dyDescent="0.25">
      <c r="A143" s="128" t="str">
        <f>A$22</f>
        <v>lot8</v>
      </c>
      <c r="B143" s="61">
        <f t="shared" si="52"/>
        <v>0</v>
      </c>
      <c r="C143" s="61">
        <f t="shared" si="52"/>
        <v>0</v>
      </c>
      <c r="D143" s="61">
        <f t="shared" si="52"/>
        <v>0</v>
      </c>
      <c r="E143" s="61">
        <f t="shared" si="52"/>
        <v>0</v>
      </c>
      <c r="F143" s="61">
        <f t="shared" si="52"/>
        <v>0</v>
      </c>
      <c r="G143" s="61">
        <f t="shared" si="52"/>
        <v>0</v>
      </c>
      <c r="H143" s="61">
        <f t="shared" si="52"/>
        <v>0</v>
      </c>
      <c r="I143" s="61">
        <f t="shared" si="52"/>
        <v>0</v>
      </c>
      <c r="J143" s="61">
        <f t="shared" si="52"/>
        <v>0</v>
      </c>
      <c r="K143" s="61">
        <f t="shared" si="52"/>
        <v>0</v>
      </c>
      <c r="L143" s="61">
        <f t="shared" si="52"/>
        <v>0</v>
      </c>
      <c r="M143" s="61">
        <f t="shared" si="52"/>
        <v>0</v>
      </c>
      <c r="N143" s="61">
        <f t="shared" si="52"/>
        <v>0</v>
      </c>
      <c r="O143" s="61">
        <f t="shared" si="52"/>
        <v>0</v>
      </c>
      <c r="P143" s="61">
        <f t="shared" si="52"/>
        <v>0</v>
      </c>
      <c r="Q143" s="61">
        <f t="shared" si="52"/>
        <v>0</v>
      </c>
      <c r="R143" s="61">
        <f t="shared" si="52"/>
        <v>0</v>
      </c>
      <c r="S143" s="61">
        <f t="shared" si="52"/>
        <v>0</v>
      </c>
      <c r="T143" s="61">
        <f t="shared" si="52"/>
        <v>0</v>
      </c>
      <c r="U143" s="61">
        <f t="shared" si="52"/>
        <v>0</v>
      </c>
      <c r="V143" s="61">
        <f t="shared" si="52"/>
        <v>0</v>
      </c>
      <c r="W143" s="61">
        <f t="shared" si="52"/>
        <v>0</v>
      </c>
      <c r="X143" s="61">
        <f t="shared" si="52"/>
        <v>0</v>
      </c>
      <c r="Y143" s="61">
        <f t="shared" si="52"/>
        <v>0</v>
      </c>
      <c r="AA143" s="61">
        <f t="shared" si="5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2"/>
        <v>0</v>
      </c>
      <c r="D144" s="61">
        <f t="shared" si="52"/>
        <v>0</v>
      </c>
      <c r="E144" s="61">
        <f t="shared" si="52"/>
        <v>0</v>
      </c>
      <c r="F144" s="61">
        <f t="shared" si="52"/>
        <v>0</v>
      </c>
      <c r="G144" s="61">
        <f t="shared" si="52"/>
        <v>0</v>
      </c>
      <c r="H144" s="61">
        <f t="shared" si="52"/>
        <v>0</v>
      </c>
      <c r="I144" s="61">
        <f t="shared" si="52"/>
        <v>0</v>
      </c>
      <c r="J144" s="61">
        <f t="shared" si="52"/>
        <v>0</v>
      </c>
      <c r="K144" s="61">
        <f t="shared" si="52"/>
        <v>0</v>
      </c>
      <c r="L144" s="61">
        <f t="shared" si="52"/>
        <v>0</v>
      </c>
      <c r="M144" s="61">
        <f t="shared" si="52"/>
        <v>0</v>
      </c>
      <c r="N144" s="61">
        <f t="shared" si="52"/>
        <v>0</v>
      </c>
      <c r="O144" s="61">
        <f t="shared" si="52"/>
        <v>0</v>
      </c>
      <c r="P144" s="61">
        <f t="shared" si="52"/>
        <v>0</v>
      </c>
      <c r="Q144" s="61">
        <f t="shared" si="52"/>
        <v>0</v>
      </c>
      <c r="R144" s="61">
        <f t="shared" si="52"/>
        <v>0</v>
      </c>
      <c r="S144" s="61">
        <f t="shared" si="52"/>
        <v>0</v>
      </c>
      <c r="T144" s="61">
        <f t="shared" si="52"/>
        <v>0</v>
      </c>
      <c r="U144" s="61">
        <f t="shared" si="52"/>
        <v>0</v>
      </c>
      <c r="V144" s="61">
        <f t="shared" si="52"/>
        <v>0</v>
      </c>
      <c r="W144" s="61">
        <f t="shared" si="52"/>
        <v>0</v>
      </c>
      <c r="X144" s="61">
        <f t="shared" si="52"/>
        <v>0</v>
      </c>
      <c r="Y144" s="61">
        <f>Y118*(1-Y131)</f>
        <v>0</v>
      </c>
      <c r="AA144" s="61">
        <f t="shared" si="53"/>
        <v>0</v>
      </c>
    </row>
    <row r="145" spans="1:28" x14ac:dyDescent="0.25">
      <c r="A145" s="128" t="str">
        <f>A$24</f>
        <v>lot10</v>
      </c>
      <c r="B145" s="61">
        <f t="shared" ref="B145:Y145" si="54">B119*(1-B132)</f>
        <v>0</v>
      </c>
      <c r="C145" s="61">
        <f t="shared" si="54"/>
        <v>0</v>
      </c>
      <c r="D145" s="61">
        <f t="shared" si="54"/>
        <v>0</v>
      </c>
      <c r="E145" s="61">
        <f t="shared" si="54"/>
        <v>0</v>
      </c>
      <c r="F145" s="61">
        <f t="shared" si="54"/>
        <v>0</v>
      </c>
      <c r="G145" s="61">
        <f t="shared" si="54"/>
        <v>0</v>
      </c>
      <c r="H145" s="61">
        <f t="shared" si="54"/>
        <v>0</v>
      </c>
      <c r="I145" s="61">
        <f t="shared" si="54"/>
        <v>0</v>
      </c>
      <c r="J145" s="61">
        <f t="shared" si="54"/>
        <v>0</v>
      </c>
      <c r="K145" s="61">
        <f t="shared" si="54"/>
        <v>0</v>
      </c>
      <c r="L145" s="61">
        <f t="shared" si="54"/>
        <v>0</v>
      </c>
      <c r="M145" s="61">
        <f t="shared" si="54"/>
        <v>0</v>
      </c>
      <c r="N145" s="61">
        <f t="shared" si="54"/>
        <v>0</v>
      </c>
      <c r="O145" s="61">
        <f t="shared" si="54"/>
        <v>0</v>
      </c>
      <c r="P145" s="61">
        <f t="shared" si="54"/>
        <v>0</v>
      </c>
      <c r="Q145" s="61">
        <f t="shared" si="54"/>
        <v>0</v>
      </c>
      <c r="R145" s="61">
        <f t="shared" si="54"/>
        <v>0</v>
      </c>
      <c r="S145" s="61">
        <f t="shared" si="54"/>
        <v>0</v>
      </c>
      <c r="T145" s="61">
        <f t="shared" si="54"/>
        <v>0</v>
      </c>
      <c r="U145" s="61">
        <f t="shared" si="54"/>
        <v>0</v>
      </c>
      <c r="V145" s="61">
        <f t="shared" si="54"/>
        <v>0</v>
      </c>
      <c r="W145" s="61">
        <f t="shared" si="54"/>
        <v>0</v>
      </c>
      <c r="X145" s="61">
        <f t="shared" si="54"/>
        <v>0</v>
      </c>
      <c r="Y145" s="61">
        <f t="shared" si="5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107.41943598838265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118.16137958722092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brebis</v>
      </c>
      <c r="B149" s="61">
        <f t="shared" ref="B149:Y149" si="55">B110-B136</f>
        <v>0</v>
      </c>
      <c r="C149" s="61">
        <f t="shared" si="55"/>
        <v>0</v>
      </c>
      <c r="D149" s="61">
        <f t="shared" si="55"/>
        <v>0</v>
      </c>
      <c r="E149" s="61">
        <f t="shared" si="55"/>
        <v>0</v>
      </c>
      <c r="F149" s="61">
        <f t="shared" si="55"/>
        <v>0</v>
      </c>
      <c r="G149" s="61">
        <f t="shared" si="55"/>
        <v>5.3772581885217399</v>
      </c>
      <c r="H149" s="61">
        <f t="shared" si="55"/>
        <v>5.1768355617391331</v>
      </c>
      <c r="I149" s="61">
        <f t="shared" si="55"/>
        <v>5.1498728765217399</v>
      </c>
      <c r="J149" s="61">
        <f t="shared" si="55"/>
        <v>5.2658124229565226</v>
      </c>
      <c r="K149" s="61">
        <f t="shared" si="55"/>
        <v>4.459459745391305</v>
      </c>
      <c r="L149" s="61">
        <f t="shared" si="55"/>
        <v>4.3156062052173922</v>
      </c>
      <c r="M149" s="61">
        <f t="shared" si="55"/>
        <v>5.3945077565217394</v>
      </c>
      <c r="N149" s="61">
        <f t="shared" si="55"/>
        <v>5.5743246817391308</v>
      </c>
      <c r="O149" s="61">
        <f t="shared" si="55"/>
        <v>5.5743246817391308</v>
      </c>
      <c r="P149" s="61">
        <f t="shared" si="55"/>
        <v>5.5743246817391308</v>
      </c>
      <c r="Q149" s="61">
        <f t="shared" si="55"/>
        <v>5.5743246817391308</v>
      </c>
      <c r="R149" s="61">
        <f t="shared" si="55"/>
        <v>5.3945077565217394</v>
      </c>
      <c r="S149" s="61">
        <f t="shared" si="55"/>
        <v>5.3945077565217394</v>
      </c>
      <c r="T149" s="61">
        <f t="shared" si="55"/>
        <v>1.4449513124869573</v>
      </c>
      <c r="U149" s="61">
        <f t="shared" si="55"/>
        <v>2.8558665787826092</v>
      </c>
      <c r="V149" s="61">
        <f t="shared" si="55"/>
        <v>0</v>
      </c>
      <c r="W149" s="61">
        <f t="shared" si="55"/>
        <v>0</v>
      </c>
      <c r="X149" s="61">
        <f t="shared" si="55"/>
        <v>0</v>
      </c>
      <c r="Y149" s="61">
        <f t="shared" si="55"/>
        <v>0</v>
      </c>
    </row>
    <row r="150" spans="1:28" x14ac:dyDescent="0.25">
      <c r="A150" s="128" t="str">
        <f>A$16</f>
        <v>vides</v>
      </c>
      <c r="B150" s="61">
        <f t="shared" ref="B150:Y150" si="56">B111-B137</f>
        <v>0.70843895652173916</v>
      </c>
      <c r="C150" s="61">
        <f t="shared" si="56"/>
        <v>0.70843895652173916</v>
      </c>
      <c r="D150" s="61">
        <f t="shared" si="56"/>
        <v>0.63988034782608705</v>
      </c>
      <c r="E150" s="61">
        <f t="shared" si="56"/>
        <v>0.63988034782608705</v>
      </c>
      <c r="F150" s="61">
        <f t="shared" si="56"/>
        <v>0.70843895652173916</v>
      </c>
      <c r="G150" s="61">
        <f t="shared" si="56"/>
        <v>0.70843895652173916</v>
      </c>
      <c r="H150" s="61">
        <f t="shared" si="56"/>
        <v>0.6855860869565219</v>
      </c>
      <c r="I150" s="61">
        <f t="shared" si="56"/>
        <v>0.6855860869565219</v>
      </c>
      <c r="J150" s="61">
        <f t="shared" si="56"/>
        <v>0.70843895652173916</v>
      </c>
      <c r="K150" s="61">
        <f t="shared" si="56"/>
        <v>0</v>
      </c>
      <c r="L150" s="61">
        <f t="shared" si="56"/>
        <v>0</v>
      </c>
      <c r="M150" s="61">
        <f t="shared" si="56"/>
        <v>0</v>
      </c>
      <c r="N150" s="61">
        <f t="shared" si="56"/>
        <v>0</v>
      </c>
      <c r="O150" s="61">
        <f t="shared" si="56"/>
        <v>0</v>
      </c>
      <c r="P150" s="61">
        <f t="shared" si="56"/>
        <v>0</v>
      </c>
      <c r="Q150" s="61">
        <f t="shared" si="56"/>
        <v>0</v>
      </c>
      <c r="R150" s="61">
        <f t="shared" si="56"/>
        <v>0</v>
      </c>
      <c r="S150" s="61">
        <f t="shared" si="56"/>
        <v>0</v>
      </c>
      <c r="T150" s="61">
        <f t="shared" si="56"/>
        <v>0</v>
      </c>
      <c r="U150" s="61">
        <f t="shared" si="56"/>
        <v>0.70843895652173916</v>
      </c>
      <c r="V150" s="61">
        <f t="shared" si="56"/>
        <v>0.6855860869565219</v>
      </c>
      <c r="W150" s="61">
        <f t="shared" si="56"/>
        <v>0.6855860869565219</v>
      </c>
      <c r="X150" s="61">
        <f t="shared" si="56"/>
        <v>0.70843895652173916</v>
      </c>
      <c r="Y150" s="61">
        <f t="shared" si="56"/>
        <v>0.70843895652173916</v>
      </c>
    </row>
    <row r="151" spans="1:28" x14ac:dyDescent="0.25">
      <c r="A151" s="128" t="str">
        <f>A$17</f>
        <v>agnelles</v>
      </c>
      <c r="B151" s="61">
        <f t="shared" ref="B151:Y151" si="57">B112-B138</f>
        <v>0</v>
      </c>
      <c r="C151" s="61">
        <f t="shared" si="57"/>
        <v>0</v>
      </c>
      <c r="D151" s="61">
        <f t="shared" si="57"/>
        <v>0.35025029565217397</v>
      </c>
      <c r="E151" s="61">
        <f t="shared" si="57"/>
        <v>0.35025029565217397</v>
      </c>
      <c r="F151" s="61">
        <f t="shared" si="57"/>
        <v>0.38777711304347828</v>
      </c>
      <c r="G151" s="61">
        <f t="shared" si="57"/>
        <v>0.38777711304347828</v>
      </c>
      <c r="H151" s="61">
        <f t="shared" si="57"/>
        <v>0.37526817391304346</v>
      </c>
      <c r="I151" s="61">
        <f t="shared" si="57"/>
        <v>0.37526817391304346</v>
      </c>
      <c r="J151" s="61">
        <f t="shared" si="57"/>
        <v>0.96944278260869587</v>
      </c>
      <c r="K151" s="61">
        <f t="shared" si="57"/>
        <v>0.96944278260869587</v>
      </c>
      <c r="L151" s="61">
        <f t="shared" si="57"/>
        <v>0.93817043478260886</v>
      </c>
      <c r="M151" s="61">
        <f t="shared" si="57"/>
        <v>0.93817043478260886</v>
      </c>
      <c r="N151" s="61">
        <f t="shared" si="57"/>
        <v>0.96944278260869587</v>
      </c>
      <c r="O151" s="61">
        <f t="shared" si="57"/>
        <v>0.96944278260869587</v>
      </c>
      <c r="P151" s="61">
        <f t="shared" si="57"/>
        <v>0.96944278260869587</v>
      </c>
      <c r="Q151" s="61">
        <f t="shared" si="57"/>
        <v>0.96944278260869587</v>
      </c>
      <c r="R151" s="61">
        <f t="shared" si="57"/>
        <v>0.93817043478260886</v>
      </c>
      <c r="S151" s="61">
        <f t="shared" si="57"/>
        <v>0.93817043478260886</v>
      </c>
      <c r="T151" s="61">
        <f t="shared" si="57"/>
        <v>0.31991611826086974</v>
      </c>
      <c r="U151" s="61">
        <f t="shared" si="57"/>
        <v>0</v>
      </c>
      <c r="V151" s="61">
        <f t="shared" si="57"/>
        <v>0</v>
      </c>
      <c r="W151" s="61">
        <f t="shared" si="57"/>
        <v>0</v>
      </c>
      <c r="X151" s="61">
        <f t="shared" si="57"/>
        <v>0</v>
      </c>
      <c r="Y151" s="61">
        <f t="shared" si="57"/>
        <v>0</v>
      </c>
    </row>
    <row r="152" spans="1:28" x14ac:dyDescent="0.25">
      <c r="A152" s="127" t="str">
        <f>A$18</f>
        <v>beliers</v>
      </c>
      <c r="B152" s="61">
        <f t="shared" ref="B152:Y152" si="58">B113-B139</f>
        <v>0.22371756521739136</v>
      </c>
      <c r="C152" s="61">
        <f t="shared" si="58"/>
        <v>0.22371756521739136</v>
      </c>
      <c r="D152" s="61">
        <f t="shared" si="58"/>
        <v>0.20206747826086963</v>
      </c>
      <c r="E152" s="61">
        <f t="shared" si="58"/>
        <v>0.20206747826086963</v>
      </c>
      <c r="F152" s="61">
        <f t="shared" si="58"/>
        <v>0.22371756521739136</v>
      </c>
      <c r="G152" s="61">
        <f t="shared" si="58"/>
        <v>0.22371756521739136</v>
      </c>
      <c r="H152" s="61">
        <f t="shared" si="58"/>
        <v>0.21650086956521744</v>
      </c>
      <c r="I152" s="61">
        <f t="shared" si="58"/>
        <v>0.21650086956521744</v>
      </c>
      <c r="J152" s="61">
        <f t="shared" si="58"/>
        <v>0.11185878260869568</v>
      </c>
      <c r="K152" s="61">
        <f t="shared" si="58"/>
        <v>0</v>
      </c>
      <c r="L152" s="61">
        <f t="shared" si="58"/>
        <v>0</v>
      </c>
      <c r="M152" s="61">
        <f t="shared" si="58"/>
        <v>0</v>
      </c>
      <c r="N152" s="61">
        <f t="shared" si="58"/>
        <v>0</v>
      </c>
      <c r="O152" s="61">
        <f t="shared" si="58"/>
        <v>0</v>
      </c>
      <c r="P152" s="61">
        <f t="shared" si="58"/>
        <v>0</v>
      </c>
      <c r="Q152" s="61">
        <f t="shared" si="58"/>
        <v>0</v>
      </c>
      <c r="R152" s="61">
        <f t="shared" si="58"/>
        <v>0</v>
      </c>
      <c r="S152" s="61">
        <f t="shared" si="58"/>
        <v>0</v>
      </c>
      <c r="T152" s="61">
        <f t="shared" si="58"/>
        <v>0</v>
      </c>
      <c r="U152" s="61">
        <f t="shared" si="58"/>
        <v>0.22371756521739136</v>
      </c>
      <c r="V152" s="61">
        <f t="shared" si="58"/>
        <v>0.21650086956521744</v>
      </c>
      <c r="W152" s="61">
        <f t="shared" si="58"/>
        <v>0.21650086956521744</v>
      </c>
      <c r="X152" s="61">
        <f t="shared" si="58"/>
        <v>0.22371756521739136</v>
      </c>
      <c r="Y152" s="61">
        <f t="shared" si="58"/>
        <v>0.22371756521739136</v>
      </c>
    </row>
    <row r="153" spans="1:28" x14ac:dyDescent="0.25">
      <c r="A153" s="128" t="str">
        <f>A$19</f>
        <v>lot5</v>
      </c>
      <c r="B153" s="61">
        <f t="shared" ref="B153:Y153" si="59">B114-B140</f>
        <v>0</v>
      </c>
      <c r="C153" s="61">
        <f t="shared" si="59"/>
        <v>0</v>
      </c>
      <c r="D153" s="61">
        <f t="shared" si="59"/>
        <v>0</v>
      </c>
      <c r="E153" s="61">
        <f t="shared" si="59"/>
        <v>0</v>
      </c>
      <c r="F153" s="61">
        <f t="shared" si="59"/>
        <v>0</v>
      </c>
      <c r="G153" s="61">
        <f t="shared" si="59"/>
        <v>0</v>
      </c>
      <c r="H153" s="61">
        <f t="shared" si="59"/>
        <v>0</v>
      </c>
      <c r="I153" s="61">
        <f t="shared" si="59"/>
        <v>0</v>
      </c>
      <c r="J153" s="61">
        <f t="shared" si="59"/>
        <v>0</v>
      </c>
      <c r="K153" s="61">
        <f t="shared" si="59"/>
        <v>0</v>
      </c>
      <c r="L153" s="61">
        <f t="shared" si="59"/>
        <v>0</v>
      </c>
      <c r="M153" s="61">
        <f t="shared" si="59"/>
        <v>0</v>
      </c>
      <c r="N153" s="61">
        <f t="shared" si="59"/>
        <v>0</v>
      </c>
      <c r="O153" s="61">
        <f t="shared" si="59"/>
        <v>0</v>
      </c>
      <c r="P153" s="61">
        <f t="shared" si="59"/>
        <v>0</v>
      </c>
      <c r="Q153" s="61">
        <f t="shared" si="59"/>
        <v>0</v>
      </c>
      <c r="R153" s="61">
        <f t="shared" si="59"/>
        <v>0</v>
      </c>
      <c r="S153" s="61">
        <f t="shared" si="59"/>
        <v>0</v>
      </c>
      <c r="T153" s="61">
        <f t="shared" si="59"/>
        <v>0</v>
      </c>
      <c r="U153" s="61">
        <f t="shared" si="59"/>
        <v>0</v>
      </c>
      <c r="V153" s="61">
        <f t="shared" si="59"/>
        <v>0</v>
      </c>
      <c r="W153" s="61">
        <f t="shared" si="59"/>
        <v>0</v>
      </c>
      <c r="X153" s="61">
        <f t="shared" si="59"/>
        <v>0</v>
      </c>
      <c r="Y153" s="61">
        <f t="shared" si="59"/>
        <v>0</v>
      </c>
    </row>
    <row r="154" spans="1:28" x14ac:dyDescent="0.25">
      <c r="A154" s="127" t="str">
        <f>A$20</f>
        <v>lot6</v>
      </c>
      <c r="B154" s="61">
        <f t="shared" ref="B154:Y154" si="60">B115-B141</f>
        <v>0</v>
      </c>
      <c r="C154" s="61">
        <f t="shared" si="60"/>
        <v>0</v>
      </c>
      <c r="D154" s="61">
        <f t="shared" si="60"/>
        <v>0</v>
      </c>
      <c r="E154" s="61">
        <f t="shared" si="60"/>
        <v>0</v>
      </c>
      <c r="F154" s="61">
        <f t="shared" si="60"/>
        <v>0</v>
      </c>
      <c r="G154" s="61">
        <f t="shared" si="60"/>
        <v>0</v>
      </c>
      <c r="H154" s="61">
        <f t="shared" si="60"/>
        <v>0</v>
      </c>
      <c r="I154" s="61">
        <f t="shared" si="60"/>
        <v>0</v>
      </c>
      <c r="J154" s="61">
        <f t="shared" si="60"/>
        <v>0</v>
      </c>
      <c r="K154" s="61">
        <f t="shared" si="60"/>
        <v>0</v>
      </c>
      <c r="L154" s="61">
        <f t="shared" si="60"/>
        <v>0</v>
      </c>
      <c r="M154" s="61">
        <f t="shared" si="60"/>
        <v>0</v>
      </c>
      <c r="N154" s="61">
        <f t="shared" si="60"/>
        <v>0</v>
      </c>
      <c r="O154" s="61">
        <f t="shared" si="60"/>
        <v>0</v>
      </c>
      <c r="P154" s="61">
        <f t="shared" si="60"/>
        <v>0</v>
      </c>
      <c r="Q154" s="61">
        <f t="shared" si="60"/>
        <v>0</v>
      </c>
      <c r="R154" s="61">
        <f t="shared" si="60"/>
        <v>0</v>
      </c>
      <c r="S154" s="61">
        <f t="shared" si="60"/>
        <v>0</v>
      </c>
      <c r="T154" s="61">
        <f t="shared" si="60"/>
        <v>0</v>
      </c>
      <c r="U154" s="61">
        <f t="shared" si="60"/>
        <v>0</v>
      </c>
      <c r="V154" s="61">
        <f t="shared" si="60"/>
        <v>0</v>
      </c>
      <c r="W154" s="61">
        <f t="shared" si="60"/>
        <v>0</v>
      </c>
      <c r="X154" s="61">
        <f t="shared" si="60"/>
        <v>0</v>
      </c>
      <c r="Y154" s="61">
        <f t="shared" si="60"/>
        <v>0</v>
      </c>
    </row>
    <row r="155" spans="1:28" x14ac:dyDescent="0.25">
      <c r="A155" s="128" t="str">
        <f>A$21</f>
        <v>lot7</v>
      </c>
      <c r="B155" s="61">
        <f t="shared" ref="B155:Y155" si="61">B116-B142</f>
        <v>0</v>
      </c>
      <c r="C155" s="61">
        <f t="shared" si="61"/>
        <v>0</v>
      </c>
      <c r="D155" s="61">
        <f t="shared" si="61"/>
        <v>0</v>
      </c>
      <c r="E155" s="61">
        <f t="shared" si="61"/>
        <v>0</v>
      </c>
      <c r="F155" s="61">
        <f t="shared" si="61"/>
        <v>0</v>
      </c>
      <c r="G155" s="61">
        <f t="shared" si="61"/>
        <v>0</v>
      </c>
      <c r="H155" s="61">
        <f t="shared" si="61"/>
        <v>0</v>
      </c>
      <c r="I155" s="61">
        <f t="shared" si="61"/>
        <v>0</v>
      </c>
      <c r="J155" s="61">
        <f t="shared" si="61"/>
        <v>0</v>
      </c>
      <c r="K155" s="61">
        <f t="shared" si="61"/>
        <v>0</v>
      </c>
      <c r="L155" s="61">
        <f t="shared" si="61"/>
        <v>0</v>
      </c>
      <c r="M155" s="61">
        <f t="shared" si="61"/>
        <v>0</v>
      </c>
      <c r="N155" s="61">
        <f t="shared" si="61"/>
        <v>0</v>
      </c>
      <c r="O155" s="61">
        <f t="shared" si="61"/>
        <v>0</v>
      </c>
      <c r="P155" s="61">
        <f t="shared" si="61"/>
        <v>0</v>
      </c>
      <c r="Q155" s="61">
        <f t="shared" si="61"/>
        <v>0</v>
      </c>
      <c r="R155" s="61">
        <f t="shared" si="61"/>
        <v>0</v>
      </c>
      <c r="S155" s="61">
        <f t="shared" si="61"/>
        <v>0</v>
      </c>
      <c r="T155" s="61">
        <f t="shared" si="61"/>
        <v>0</v>
      </c>
      <c r="U155" s="61">
        <f t="shared" si="61"/>
        <v>0</v>
      </c>
      <c r="V155" s="61">
        <f t="shared" si="61"/>
        <v>0</v>
      </c>
      <c r="W155" s="61">
        <f t="shared" si="61"/>
        <v>0</v>
      </c>
      <c r="X155" s="61">
        <f t="shared" si="61"/>
        <v>0</v>
      </c>
      <c r="Y155" s="61">
        <f t="shared" si="61"/>
        <v>0</v>
      </c>
    </row>
    <row r="156" spans="1:28" x14ac:dyDescent="0.25">
      <c r="A156" s="128" t="str">
        <f>A$22</f>
        <v>lot8</v>
      </c>
      <c r="B156" s="61">
        <f t="shared" ref="B156:Y156" si="62">B117-B143</f>
        <v>0</v>
      </c>
      <c r="C156" s="61">
        <f t="shared" si="62"/>
        <v>0</v>
      </c>
      <c r="D156" s="61">
        <f t="shared" si="62"/>
        <v>0</v>
      </c>
      <c r="E156" s="61">
        <f t="shared" si="62"/>
        <v>0</v>
      </c>
      <c r="F156" s="61">
        <f t="shared" si="62"/>
        <v>0</v>
      </c>
      <c r="G156" s="61">
        <f t="shared" si="62"/>
        <v>0</v>
      </c>
      <c r="H156" s="61">
        <f t="shared" si="62"/>
        <v>0</v>
      </c>
      <c r="I156" s="61">
        <f t="shared" si="62"/>
        <v>0</v>
      </c>
      <c r="J156" s="61">
        <f t="shared" si="62"/>
        <v>0</v>
      </c>
      <c r="K156" s="61">
        <f t="shared" si="62"/>
        <v>0</v>
      </c>
      <c r="L156" s="61">
        <f t="shared" si="62"/>
        <v>0</v>
      </c>
      <c r="M156" s="61">
        <f t="shared" si="62"/>
        <v>0</v>
      </c>
      <c r="N156" s="61">
        <f t="shared" si="62"/>
        <v>0</v>
      </c>
      <c r="O156" s="61">
        <f t="shared" si="62"/>
        <v>0</v>
      </c>
      <c r="P156" s="61">
        <f t="shared" si="62"/>
        <v>0</v>
      </c>
      <c r="Q156" s="61">
        <f t="shared" si="62"/>
        <v>0</v>
      </c>
      <c r="R156" s="61">
        <f t="shared" si="62"/>
        <v>0</v>
      </c>
      <c r="S156" s="61">
        <f t="shared" si="62"/>
        <v>0</v>
      </c>
      <c r="T156" s="61">
        <f t="shared" si="62"/>
        <v>0</v>
      </c>
      <c r="U156" s="61">
        <f t="shared" si="62"/>
        <v>0</v>
      </c>
      <c r="V156" s="61">
        <f t="shared" si="62"/>
        <v>0</v>
      </c>
      <c r="W156" s="61">
        <f t="shared" si="62"/>
        <v>0</v>
      </c>
      <c r="X156" s="61">
        <f t="shared" si="62"/>
        <v>0</v>
      </c>
      <c r="Y156" s="61">
        <f t="shared" si="62"/>
        <v>0</v>
      </c>
    </row>
    <row r="157" spans="1:28" x14ac:dyDescent="0.25">
      <c r="A157" s="127" t="str">
        <f>A$23</f>
        <v>lot9</v>
      </c>
      <c r="B157" s="61">
        <f t="shared" ref="B157:Y157" si="63">B118-B144</f>
        <v>0</v>
      </c>
      <c r="C157" s="61">
        <f t="shared" si="63"/>
        <v>0</v>
      </c>
      <c r="D157" s="61">
        <f t="shared" si="63"/>
        <v>0</v>
      </c>
      <c r="E157" s="61">
        <f t="shared" si="63"/>
        <v>0</v>
      </c>
      <c r="F157" s="61">
        <f t="shared" si="63"/>
        <v>0</v>
      </c>
      <c r="G157" s="61">
        <f t="shared" si="63"/>
        <v>0</v>
      </c>
      <c r="H157" s="61">
        <f t="shared" si="63"/>
        <v>0</v>
      </c>
      <c r="I157" s="61">
        <f t="shared" si="63"/>
        <v>0</v>
      </c>
      <c r="J157" s="61">
        <f t="shared" si="63"/>
        <v>0</v>
      </c>
      <c r="K157" s="61">
        <f t="shared" si="63"/>
        <v>0</v>
      </c>
      <c r="L157" s="61">
        <f t="shared" si="63"/>
        <v>0</v>
      </c>
      <c r="M157" s="61">
        <f t="shared" si="63"/>
        <v>0</v>
      </c>
      <c r="N157" s="61">
        <f t="shared" si="63"/>
        <v>0</v>
      </c>
      <c r="O157" s="61">
        <f t="shared" si="63"/>
        <v>0</v>
      </c>
      <c r="P157" s="61">
        <f t="shared" si="63"/>
        <v>0</v>
      </c>
      <c r="Q157" s="61">
        <f t="shared" si="63"/>
        <v>0</v>
      </c>
      <c r="R157" s="61">
        <f t="shared" si="63"/>
        <v>0</v>
      </c>
      <c r="S157" s="61">
        <f t="shared" si="63"/>
        <v>0</v>
      </c>
      <c r="T157" s="61">
        <f t="shared" si="63"/>
        <v>0</v>
      </c>
      <c r="U157" s="61">
        <f t="shared" si="63"/>
        <v>0</v>
      </c>
      <c r="V157" s="61">
        <f t="shared" si="63"/>
        <v>0</v>
      </c>
      <c r="W157" s="61">
        <f t="shared" si="63"/>
        <v>0</v>
      </c>
      <c r="X157" s="61">
        <f t="shared" si="63"/>
        <v>0</v>
      </c>
      <c r="Y157" s="61">
        <f t="shared" si="63"/>
        <v>0</v>
      </c>
    </row>
    <row r="158" spans="1:28" x14ac:dyDescent="0.25">
      <c r="A158" s="128" t="str">
        <f>A$24</f>
        <v>lot10</v>
      </c>
      <c r="B158" s="61">
        <f t="shared" ref="B158:Y158" si="64">B119-B145</f>
        <v>0</v>
      </c>
      <c r="C158" s="61">
        <f t="shared" si="64"/>
        <v>0</v>
      </c>
      <c r="D158" s="61">
        <f t="shared" si="64"/>
        <v>0</v>
      </c>
      <c r="E158" s="61">
        <f t="shared" si="64"/>
        <v>0</v>
      </c>
      <c r="F158" s="61">
        <f t="shared" si="64"/>
        <v>0</v>
      </c>
      <c r="G158" s="61">
        <f t="shared" si="64"/>
        <v>0</v>
      </c>
      <c r="H158" s="61">
        <f t="shared" si="64"/>
        <v>0</v>
      </c>
      <c r="I158" s="61">
        <f t="shared" si="64"/>
        <v>0</v>
      </c>
      <c r="J158" s="61">
        <f t="shared" si="64"/>
        <v>0</v>
      </c>
      <c r="K158" s="61">
        <f t="shared" si="64"/>
        <v>0</v>
      </c>
      <c r="L158" s="61">
        <f t="shared" si="64"/>
        <v>0</v>
      </c>
      <c r="M158" s="61">
        <f t="shared" si="64"/>
        <v>0</v>
      </c>
      <c r="N158" s="61">
        <f t="shared" si="64"/>
        <v>0</v>
      </c>
      <c r="O158" s="61">
        <f t="shared" si="64"/>
        <v>0</v>
      </c>
      <c r="P158" s="61">
        <f t="shared" si="64"/>
        <v>0</v>
      </c>
      <c r="Q158" s="61">
        <f t="shared" si="64"/>
        <v>0</v>
      </c>
      <c r="R158" s="61">
        <f t="shared" si="64"/>
        <v>0</v>
      </c>
      <c r="S158" s="61">
        <f t="shared" si="64"/>
        <v>0</v>
      </c>
      <c r="T158" s="61">
        <f t="shared" si="64"/>
        <v>0</v>
      </c>
      <c r="U158" s="61">
        <f t="shared" si="64"/>
        <v>0</v>
      </c>
      <c r="V158" s="61">
        <f t="shared" si="64"/>
        <v>0</v>
      </c>
      <c r="W158" s="61">
        <f t="shared" si="64"/>
        <v>0</v>
      </c>
      <c r="X158" s="61">
        <f t="shared" si="64"/>
        <v>0</v>
      </c>
      <c r="Y158" s="61">
        <f t="shared" si="64"/>
        <v>0</v>
      </c>
    </row>
    <row r="159" spans="1:28" x14ac:dyDescent="0.25">
      <c r="AA159" s="30">
        <f>SUM(B149:Y158)</f>
        <v>97.279967475965137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brebis</v>
      </c>
      <c r="B162" s="61">
        <f t="shared" ref="B162:Y162" si="65">IF(B76=1,B149,0)</f>
        <v>0</v>
      </c>
      <c r="C162" s="61">
        <f t="shared" si="65"/>
        <v>0</v>
      </c>
      <c r="D162" s="61">
        <f t="shared" si="65"/>
        <v>0</v>
      </c>
      <c r="E162" s="61">
        <f t="shared" si="65"/>
        <v>0</v>
      </c>
      <c r="F162" s="61">
        <f t="shared" si="65"/>
        <v>0</v>
      </c>
      <c r="G162" s="61">
        <f t="shared" si="65"/>
        <v>5.3772581885217399</v>
      </c>
      <c r="H162" s="61">
        <f t="shared" si="65"/>
        <v>5.1768355617391331</v>
      </c>
      <c r="I162" s="61">
        <f t="shared" si="65"/>
        <v>5.1498728765217399</v>
      </c>
      <c r="J162" s="61">
        <f t="shared" si="65"/>
        <v>5.2658124229565226</v>
      </c>
      <c r="K162" s="61">
        <f t="shared" si="65"/>
        <v>4.459459745391305</v>
      </c>
      <c r="L162" s="61">
        <f t="shared" si="65"/>
        <v>4.3156062052173922</v>
      </c>
      <c r="M162" s="61">
        <f t="shared" si="65"/>
        <v>0</v>
      </c>
      <c r="N162" s="61">
        <f t="shared" si="65"/>
        <v>0</v>
      </c>
      <c r="O162" s="61">
        <f t="shared" si="65"/>
        <v>0</v>
      </c>
      <c r="P162" s="61">
        <f t="shared" si="65"/>
        <v>0</v>
      </c>
      <c r="Q162" s="61">
        <f t="shared" si="65"/>
        <v>0</v>
      </c>
      <c r="R162" s="61">
        <f t="shared" si="65"/>
        <v>0</v>
      </c>
      <c r="S162" s="61">
        <f t="shared" si="65"/>
        <v>0</v>
      </c>
      <c r="T162" s="61">
        <f t="shared" si="65"/>
        <v>1.4449513124869573</v>
      </c>
      <c r="U162" s="61">
        <f t="shared" si="65"/>
        <v>2.8558665787826092</v>
      </c>
      <c r="V162" s="61">
        <f t="shared" si="65"/>
        <v>0</v>
      </c>
      <c r="W162" s="61">
        <f t="shared" si="65"/>
        <v>0</v>
      </c>
      <c r="X162" s="61">
        <f t="shared" si="65"/>
        <v>0</v>
      </c>
      <c r="Y162" s="61">
        <f t="shared" si="65"/>
        <v>0</v>
      </c>
    </row>
    <row r="163" spans="1:28" x14ac:dyDescent="0.25">
      <c r="A163" s="128" t="str">
        <f>A$16</f>
        <v>vides</v>
      </c>
      <c r="B163" s="61">
        <f t="shared" ref="B163:Y163" si="66">IF(B77=1,B150,0)</f>
        <v>0</v>
      </c>
      <c r="C163" s="61">
        <f t="shared" si="66"/>
        <v>0</v>
      </c>
      <c r="D163" s="61">
        <f t="shared" si="66"/>
        <v>0</v>
      </c>
      <c r="E163" s="61">
        <f t="shared" si="66"/>
        <v>0</v>
      </c>
      <c r="F163" s="61">
        <f t="shared" si="66"/>
        <v>0</v>
      </c>
      <c r="G163" s="61">
        <f t="shared" si="66"/>
        <v>0</v>
      </c>
      <c r="H163" s="61">
        <f t="shared" si="66"/>
        <v>0</v>
      </c>
      <c r="I163" s="61">
        <f t="shared" si="66"/>
        <v>0</v>
      </c>
      <c r="J163" s="61">
        <f t="shared" si="66"/>
        <v>0</v>
      </c>
      <c r="K163" s="61">
        <f t="shared" si="66"/>
        <v>0</v>
      </c>
      <c r="L163" s="61">
        <f t="shared" si="66"/>
        <v>0</v>
      </c>
      <c r="M163" s="61">
        <f t="shared" si="66"/>
        <v>0</v>
      </c>
      <c r="N163" s="61">
        <f t="shared" si="66"/>
        <v>0</v>
      </c>
      <c r="O163" s="61">
        <f t="shared" si="66"/>
        <v>0</v>
      </c>
      <c r="P163" s="61">
        <f t="shared" si="66"/>
        <v>0</v>
      </c>
      <c r="Q163" s="61">
        <f t="shared" si="66"/>
        <v>0</v>
      </c>
      <c r="R163" s="61">
        <f t="shared" si="66"/>
        <v>0</v>
      </c>
      <c r="S163" s="61">
        <f t="shared" si="66"/>
        <v>0</v>
      </c>
      <c r="T163" s="61">
        <f t="shared" si="66"/>
        <v>0</v>
      </c>
      <c r="U163" s="61">
        <f t="shared" si="66"/>
        <v>0</v>
      </c>
      <c r="V163" s="61">
        <f t="shared" si="66"/>
        <v>0</v>
      </c>
      <c r="W163" s="61">
        <f t="shared" si="66"/>
        <v>0</v>
      </c>
      <c r="X163" s="61">
        <f t="shared" si="66"/>
        <v>0</v>
      </c>
      <c r="Y163" s="61">
        <f t="shared" si="66"/>
        <v>0</v>
      </c>
    </row>
    <row r="164" spans="1:28" x14ac:dyDescent="0.25">
      <c r="A164" s="128" t="str">
        <f>A$17</f>
        <v>agnelles</v>
      </c>
      <c r="B164" s="61">
        <f t="shared" ref="B164:Y164" si="67">IF(B78=1,B151,0)</f>
        <v>0</v>
      </c>
      <c r="C164" s="61">
        <f t="shared" si="67"/>
        <v>0</v>
      </c>
      <c r="D164" s="61">
        <f t="shared" si="67"/>
        <v>0.35025029565217397</v>
      </c>
      <c r="E164" s="61">
        <f t="shared" si="67"/>
        <v>0.35025029565217397</v>
      </c>
      <c r="F164" s="61">
        <f t="shared" si="67"/>
        <v>0.38777711304347828</v>
      </c>
      <c r="G164" s="61">
        <f t="shared" si="67"/>
        <v>0.38777711304347828</v>
      </c>
      <c r="H164" s="61">
        <f t="shared" si="67"/>
        <v>0.37526817391304346</v>
      </c>
      <c r="I164" s="61">
        <f t="shared" si="67"/>
        <v>0.37526817391304346</v>
      </c>
      <c r="J164" s="61">
        <f t="shared" si="67"/>
        <v>0.96944278260869587</v>
      </c>
      <c r="K164" s="61">
        <f t="shared" si="67"/>
        <v>0.96944278260869587</v>
      </c>
      <c r="L164" s="61">
        <f t="shared" si="67"/>
        <v>0.93817043478260886</v>
      </c>
      <c r="M164" s="61">
        <f t="shared" si="67"/>
        <v>0.93817043478260886</v>
      </c>
      <c r="N164" s="61">
        <f t="shared" si="67"/>
        <v>0.96944278260869587</v>
      </c>
      <c r="O164" s="61">
        <f t="shared" si="67"/>
        <v>0.96944278260869587</v>
      </c>
      <c r="P164" s="61">
        <f t="shared" si="67"/>
        <v>0.96944278260869587</v>
      </c>
      <c r="Q164" s="61">
        <f t="shared" si="67"/>
        <v>0.96944278260869587</v>
      </c>
      <c r="R164" s="61">
        <f t="shared" si="67"/>
        <v>0.93817043478260886</v>
      </c>
      <c r="S164" s="61">
        <f t="shared" si="67"/>
        <v>0.93817043478260886</v>
      </c>
      <c r="T164" s="61">
        <f t="shared" si="67"/>
        <v>0.31991611826086974</v>
      </c>
      <c r="U164" s="61">
        <f t="shared" si="67"/>
        <v>0</v>
      </c>
      <c r="V164" s="61">
        <f t="shared" si="67"/>
        <v>0</v>
      </c>
      <c r="W164" s="61">
        <f t="shared" si="67"/>
        <v>0</v>
      </c>
      <c r="X164" s="61">
        <f t="shared" si="67"/>
        <v>0</v>
      </c>
      <c r="Y164" s="61">
        <f t="shared" si="67"/>
        <v>0</v>
      </c>
    </row>
    <row r="165" spans="1:28" x14ac:dyDescent="0.25">
      <c r="A165" s="127" t="str">
        <f>A$18</f>
        <v>beliers</v>
      </c>
      <c r="B165" s="61">
        <f t="shared" ref="B165:Y165" si="68">IF(B79=1,B152,0)</f>
        <v>0</v>
      </c>
      <c r="C165" s="61">
        <f t="shared" si="68"/>
        <v>0</v>
      </c>
      <c r="D165" s="61">
        <f t="shared" si="68"/>
        <v>0</v>
      </c>
      <c r="E165" s="61">
        <f t="shared" si="68"/>
        <v>0</v>
      </c>
      <c r="F165" s="61">
        <f t="shared" si="68"/>
        <v>0</v>
      </c>
      <c r="G165" s="61">
        <f t="shared" si="68"/>
        <v>0</v>
      </c>
      <c r="H165" s="61">
        <f t="shared" si="68"/>
        <v>0</v>
      </c>
      <c r="I165" s="61">
        <f t="shared" si="68"/>
        <v>0</v>
      </c>
      <c r="J165" s="61">
        <f t="shared" si="68"/>
        <v>0.11185878260869568</v>
      </c>
      <c r="K165" s="61">
        <f t="shared" si="68"/>
        <v>0</v>
      </c>
      <c r="L165" s="61">
        <f t="shared" si="68"/>
        <v>0</v>
      </c>
      <c r="M165" s="61">
        <f t="shared" si="68"/>
        <v>0</v>
      </c>
      <c r="N165" s="61">
        <f t="shared" si="68"/>
        <v>0</v>
      </c>
      <c r="O165" s="61">
        <f t="shared" si="68"/>
        <v>0</v>
      </c>
      <c r="P165" s="61">
        <f t="shared" si="68"/>
        <v>0</v>
      </c>
      <c r="Q165" s="61">
        <f t="shared" si="68"/>
        <v>0</v>
      </c>
      <c r="R165" s="61">
        <f t="shared" si="68"/>
        <v>0</v>
      </c>
      <c r="S165" s="61">
        <f t="shared" si="68"/>
        <v>0</v>
      </c>
      <c r="T165" s="61">
        <f t="shared" si="68"/>
        <v>0</v>
      </c>
      <c r="U165" s="61">
        <f t="shared" si="68"/>
        <v>0</v>
      </c>
      <c r="V165" s="61">
        <f t="shared" si="68"/>
        <v>0</v>
      </c>
      <c r="W165" s="61">
        <f t="shared" si="68"/>
        <v>0</v>
      </c>
      <c r="X165" s="61">
        <f t="shared" si="68"/>
        <v>0</v>
      </c>
      <c r="Y165" s="61">
        <f t="shared" si="68"/>
        <v>0</v>
      </c>
    </row>
    <row r="166" spans="1:28" x14ac:dyDescent="0.25">
      <c r="A166" s="128" t="str">
        <f>A$19</f>
        <v>lot5</v>
      </c>
      <c r="B166" s="61">
        <f t="shared" ref="B166:Y166" si="69">IF(B80=1,B153,0)</f>
        <v>0</v>
      </c>
      <c r="C166" s="61">
        <f t="shared" si="69"/>
        <v>0</v>
      </c>
      <c r="D166" s="61">
        <f t="shared" si="69"/>
        <v>0</v>
      </c>
      <c r="E166" s="61">
        <f t="shared" si="69"/>
        <v>0</v>
      </c>
      <c r="F166" s="61">
        <f t="shared" si="69"/>
        <v>0</v>
      </c>
      <c r="G166" s="61">
        <f t="shared" si="69"/>
        <v>0</v>
      </c>
      <c r="H166" s="61">
        <f t="shared" si="69"/>
        <v>0</v>
      </c>
      <c r="I166" s="61">
        <f t="shared" si="69"/>
        <v>0</v>
      </c>
      <c r="J166" s="61">
        <f t="shared" si="69"/>
        <v>0</v>
      </c>
      <c r="K166" s="61">
        <f t="shared" si="69"/>
        <v>0</v>
      </c>
      <c r="L166" s="61">
        <f t="shared" si="69"/>
        <v>0</v>
      </c>
      <c r="M166" s="61">
        <f t="shared" si="69"/>
        <v>0</v>
      </c>
      <c r="N166" s="61">
        <f t="shared" si="69"/>
        <v>0</v>
      </c>
      <c r="O166" s="61">
        <f t="shared" si="69"/>
        <v>0</v>
      </c>
      <c r="P166" s="61">
        <f t="shared" si="69"/>
        <v>0</v>
      </c>
      <c r="Q166" s="61">
        <f t="shared" si="69"/>
        <v>0</v>
      </c>
      <c r="R166" s="61">
        <f t="shared" si="69"/>
        <v>0</v>
      </c>
      <c r="S166" s="61">
        <f t="shared" si="69"/>
        <v>0</v>
      </c>
      <c r="T166" s="61">
        <f t="shared" si="69"/>
        <v>0</v>
      </c>
      <c r="U166" s="61">
        <f t="shared" si="69"/>
        <v>0</v>
      </c>
      <c r="V166" s="61">
        <f t="shared" si="69"/>
        <v>0</v>
      </c>
      <c r="W166" s="61">
        <f t="shared" si="69"/>
        <v>0</v>
      </c>
      <c r="X166" s="61">
        <f t="shared" si="69"/>
        <v>0</v>
      </c>
      <c r="Y166" s="61">
        <f t="shared" si="69"/>
        <v>0</v>
      </c>
    </row>
    <row r="167" spans="1:28" x14ac:dyDescent="0.25">
      <c r="A167" s="127" t="str">
        <f>A$20</f>
        <v>lot6</v>
      </c>
      <c r="B167" s="61">
        <f t="shared" ref="B167:Y167" si="70">IF(B81=1,B154,0)</f>
        <v>0</v>
      </c>
      <c r="C167" s="61">
        <f t="shared" si="70"/>
        <v>0</v>
      </c>
      <c r="D167" s="61">
        <f t="shared" si="70"/>
        <v>0</v>
      </c>
      <c r="E167" s="61">
        <f t="shared" si="70"/>
        <v>0</v>
      </c>
      <c r="F167" s="61">
        <f t="shared" si="70"/>
        <v>0</v>
      </c>
      <c r="G167" s="61">
        <f t="shared" si="70"/>
        <v>0</v>
      </c>
      <c r="H167" s="61">
        <f t="shared" si="70"/>
        <v>0</v>
      </c>
      <c r="I167" s="61">
        <f t="shared" si="70"/>
        <v>0</v>
      </c>
      <c r="J167" s="61">
        <f t="shared" si="70"/>
        <v>0</v>
      </c>
      <c r="K167" s="61">
        <f t="shared" si="70"/>
        <v>0</v>
      </c>
      <c r="L167" s="61">
        <f t="shared" si="70"/>
        <v>0</v>
      </c>
      <c r="M167" s="61">
        <f t="shared" si="70"/>
        <v>0</v>
      </c>
      <c r="N167" s="61">
        <f t="shared" si="70"/>
        <v>0</v>
      </c>
      <c r="O167" s="61">
        <f t="shared" si="70"/>
        <v>0</v>
      </c>
      <c r="P167" s="61">
        <f t="shared" si="70"/>
        <v>0</v>
      </c>
      <c r="Q167" s="61">
        <f t="shared" si="70"/>
        <v>0</v>
      </c>
      <c r="R167" s="61">
        <f t="shared" si="70"/>
        <v>0</v>
      </c>
      <c r="S167" s="61">
        <f t="shared" si="70"/>
        <v>0</v>
      </c>
      <c r="T167" s="61">
        <f t="shared" si="70"/>
        <v>0</v>
      </c>
      <c r="U167" s="61">
        <f t="shared" si="70"/>
        <v>0</v>
      </c>
      <c r="V167" s="61">
        <f t="shared" si="70"/>
        <v>0</v>
      </c>
      <c r="W167" s="61">
        <f t="shared" si="70"/>
        <v>0</v>
      </c>
      <c r="X167" s="61">
        <f t="shared" si="70"/>
        <v>0</v>
      </c>
      <c r="Y167" s="61">
        <f t="shared" si="70"/>
        <v>0</v>
      </c>
    </row>
    <row r="168" spans="1:28" x14ac:dyDescent="0.25">
      <c r="A168" s="128" t="str">
        <f>A$21</f>
        <v>lot7</v>
      </c>
      <c r="B168" s="61">
        <f t="shared" ref="B168:Y168" si="71">IF(B82=1,B155,0)</f>
        <v>0</v>
      </c>
      <c r="C168" s="61">
        <f t="shared" si="71"/>
        <v>0</v>
      </c>
      <c r="D168" s="61">
        <f t="shared" si="71"/>
        <v>0</v>
      </c>
      <c r="E168" s="61">
        <f t="shared" si="71"/>
        <v>0</v>
      </c>
      <c r="F168" s="61">
        <f t="shared" si="71"/>
        <v>0</v>
      </c>
      <c r="G168" s="61">
        <f t="shared" si="71"/>
        <v>0</v>
      </c>
      <c r="H168" s="61">
        <f t="shared" si="71"/>
        <v>0</v>
      </c>
      <c r="I168" s="61">
        <f t="shared" si="71"/>
        <v>0</v>
      </c>
      <c r="J168" s="61">
        <f t="shared" si="71"/>
        <v>0</v>
      </c>
      <c r="K168" s="61">
        <f t="shared" si="71"/>
        <v>0</v>
      </c>
      <c r="L168" s="61">
        <f t="shared" si="71"/>
        <v>0</v>
      </c>
      <c r="M168" s="61">
        <f t="shared" si="71"/>
        <v>0</v>
      </c>
      <c r="N168" s="61">
        <f t="shared" si="71"/>
        <v>0</v>
      </c>
      <c r="O168" s="61">
        <f t="shared" si="71"/>
        <v>0</v>
      </c>
      <c r="P168" s="61">
        <f t="shared" si="71"/>
        <v>0</v>
      </c>
      <c r="Q168" s="61">
        <f t="shared" si="71"/>
        <v>0</v>
      </c>
      <c r="R168" s="61">
        <f t="shared" si="71"/>
        <v>0</v>
      </c>
      <c r="S168" s="61">
        <f t="shared" si="71"/>
        <v>0</v>
      </c>
      <c r="T168" s="61">
        <f t="shared" si="71"/>
        <v>0</v>
      </c>
      <c r="U168" s="61">
        <f t="shared" si="71"/>
        <v>0</v>
      </c>
      <c r="V168" s="61">
        <f t="shared" si="71"/>
        <v>0</v>
      </c>
      <c r="W168" s="61">
        <f t="shared" si="71"/>
        <v>0</v>
      </c>
      <c r="X168" s="61">
        <f t="shared" si="71"/>
        <v>0</v>
      </c>
      <c r="Y168" s="61">
        <f t="shared" si="71"/>
        <v>0</v>
      </c>
    </row>
    <row r="169" spans="1:28" x14ac:dyDescent="0.25">
      <c r="A169" s="128" t="str">
        <f>A$22</f>
        <v>lot8</v>
      </c>
      <c r="B169" s="61">
        <f t="shared" ref="B169:Y169" si="72">IF(B83=1,B156,0)</f>
        <v>0</v>
      </c>
      <c r="C169" s="61">
        <f t="shared" si="72"/>
        <v>0</v>
      </c>
      <c r="D169" s="61">
        <f t="shared" si="72"/>
        <v>0</v>
      </c>
      <c r="E169" s="61">
        <f t="shared" si="72"/>
        <v>0</v>
      </c>
      <c r="F169" s="61">
        <f t="shared" si="72"/>
        <v>0</v>
      </c>
      <c r="G169" s="61">
        <f t="shared" si="72"/>
        <v>0</v>
      </c>
      <c r="H169" s="61">
        <f t="shared" si="72"/>
        <v>0</v>
      </c>
      <c r="I169" s="61">
        <f t="shared" si="72"/>
        <v>0</v>
      </c>
      <c r="J169" s="61">
        <f t="shared" si="72"/>
        <v>0</v>
      </c>
      <c r="K169" s="61">
        <f t="shared" si="72"/>
        <v>0</v>
      </c>
      <c r="L169" s="61">
        <f t="shared" si="72"/>
        <v>0</v>
      </c>
      <c r="M169" s="61">
        <f t="shared" si="72"/>
        <v>0</v>
      </c>
      <c r="N169" s="61">
        <f t="shared" si="72"/>
        <v>0</v>
      </c>
      <c r="O169" s="61">
        <f t="shared" si="72"/>
        <v>0</v>
      </c>
      <c r="P169" s="61">
        <f t="shared" si="72"/>
        <v>0</v>
      </c>
      <c r="Q169" s="61">
        <f t="shared" si="72"/>
        <v>0</v>
      </c>
      <c r="R169" s="61">
        <f t="shared" si="72"/>
        <v>0</v>
      </c>
      <c r="S169" s="61">
        <f t="shared" si="72"/>
        <v>0</v>
      </c>
      <c r="T169" s="61">
        <f t="shared" si="72"/>
        <v>0</v>
      </c>
      <c r="U169" s="61">
        <f t="shared" si="72"/>
        <v>0</v>
      </c>
      <c r="V169" s="61">
        <f t="shared" si="72"/>
        <v>0</v>
      </c>
      <c r="W169" s="61">
        <f t="shared" si="72"/>
        <v>0</v>
      </c>
      <c r="X169" s="61">
        <f t="shared" si="72"/>
        <v>0</v>
      </c>
      <c r="Y169" s="61">
        <f t="shared" si="72"/>
        <v>0</v>
      </c>
    </row>
    <row r="170" spans="1:28" x14ac:dyDescent="0.25">
      <c r="A170" s="127" t="str">
        <f>A$23</f>
        <v>lot9</v>
      </c>
      <c r="B170" s="61">
        <f t="shared" ref="B170:Y170" si="73">IF(B84=1,B157,0)</f>
        <v>0</v>
      </c>
      <c r="C170" s="61">
        <f t="shared" si="73"/>
        <v>0</v>
      </c>
      <c r="D170" s="61">
        <f t="shared" si="73"/>
        <v>0</v>
      </c>
      <c r="E170" s="61">
        <f t="shared" si="73"/>
        <v>0</v>
      </c>
      <c r="F170" s="61">
        <f t="shared" si="73"/>
        <v>0</v>
      </c>
      <c r="G170" s="61">
        <f t="shared" si="73"/>
        <v>0</v>
      </c>
      <c r="H170" s="61">
        <f t="shared" si="73"/>
        <v>0</v>
      </c>
      <c r="I170" s="61">
        <f t="shared" si="73"/>
        <v>0</v>
      </c>
      <c r="J170" s="61">
        <f t="shared" si="73"/>
        <v>0</v>
      </c>
      <c r="K170" s="61">
        <f t="shared" si="73"/>
        <v>0</v>
      </c>
      <c r="L170" s="61">
        <f t="shared" si="73"/>
        <v>0</v>
      </c>
      <c r="M170" s="61">
        <f t="shared" si="73"/>
        <v>0</v>
      </c>
      <c r="N170" s="61">
        <f t="shared" si="73"/>
        <v>0</v>
      </c>
      <c r="O170" s="61">
        <f t="shared" si="73"/>
        <v>0</v>
      </c>
      <c r="P170" s="61">
        <f t="shared" si="73"/>
        <v>0</v>
      </c>
      <c r="Q170" s="61">
        <f t="shared" si="73"/>
        <v>0</v>
      </c>
      <c r="R170" s="61">
        <f t="shared" si="73"/>
        <v>0</v>
      </c>
      <c r="S170" s="61">
        <f t="shared" si="73"/>
        <v>0</v>
      </c>
      <c r="T170" s="61">
        <f t="shared" si="73"/>
        <v>0</v>
      </c>
      <c r="U170" s="61">
        <f t="shared" si="73"/>
        <v>0</v>
      </c>
      <c r="V170" s="61">
        <f t="shared" si="73"/>
        <v>0</v>
      </c>
      <c r="W170" s="61">
        <f t="shared" si="73"/>
        <v>0</v>
      </c>
      <c r="X170" s="61">
        <f t="shared" si="73"/>
        <v>0</v>
      </c>
      <c r="Y170" s="61">
        <f t="shared" si="73"/>
        <v>0</v>
      </c>
    </row>
    <row r="171" spans="1:28" x14ac:dyDescent="0.25">
      <c r="A171" s="128" t="str">
        <f>A$24</f>
        <v>lot10</v>
      </c>
      <c r="B171" s="61">
        <f t="shared" ref="B171:Y171" si="74">IF(B85=1,B158,0)</f>
        <v>0</v>
      </c>
      <c r="C171" s="61">
        <f t="shared" si="74"/>
        <v>0</v>
      </c>
      <c r="D171" s="61">
        <f t="shared" si="74"/>
        <v>0</v>
      </c>
      <c r="E171" s="61">
        <f t="shared" si="74"/>
        <v>0</v>
      </c>
      <c r="F171" s="61">
        <f t="shared" si="74"/>
        <v>0</v>
      </c>
      <c r="G171" s="61">
        <f t="shared" si="74"/>
        <v>0</v>
      </c>
      <c r="H171" s="61">
        <f t="shared" si="74"/>
        <v>0</v>
      </c>
      <c r="I171" s="61">
        <f t="shared" si="74"/>
        <v>0</v>
      </c>
      <c r="J171" s="61">
        <f t="shared" si="74"/>
        <v>0</v>
      </c>
      <c r="K171" s="61">
        <f t="shared" si="74"/>
        <v>0</v>
      </c>
      <c r="L171" s="61">
        <f t="shared" si="74"/>
        <v>0</v>
      </c>
      <c r="M171" s="61">
        <f t="shared" si="74"/>
        <v>0</v>
      </c>
      <c r="N171" s="61">
        <f t="shared" si="74"/>
        <v>0</v>
      </c>
      <c r="O171" s="61">
        <f t="shared" si="74"/>
        <v>0</v>
      </c>
      <c r="P171" s="61">
        <f t="shared" si="74"/>
        <v>0</v>
      </c>
      <c r="Q171" s="61">
        <f t="shared" si="74"/>
        <v>0</v>
      </c>
      <c r="R171" s="61">
        <f t="shared" si="74"/>
        <v>0</v>
      </c>
      <c r="S171" s="61">
        <f t="shared" si="74"/>
        <v>0</v>
      </c>
      <c r="T171" s="61">
        <f t="shared" si="74"/>
        <v>0</v>
      </c>
      <c r="U171" s="61">
        <f t="shared" si="74"/>
        <v>0</v>
      </c>
      <c r="V171" s="61">
        <f t="shared" si="74"/>
        <v>0</v>
      </c>
      <c r="W171" s="61">
        <f t="shared" si="74"/>
        <v>0</v>
      </c>
      <c r="X171" s="61">
        <f t="shared" si="74"/>
        <v>0</v>
      </c>
      <c r="Y171" s="61">
        <f t="shared" si="74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75">SUM(C162:C171)</f>
        <v>0</v>
      </c>
      <c r="D172" s="61">
        <f t="shared" si="75"/>
        <v>0.35025029565217397</v>
      </c>
      <c r="E172" s="61">
        <f t="shared" si="75"/>
        <v>0.35025029565217397</v>
      </c>
      <c r="F172" s="61">
        <f t="shared" si="75"/>
        <v>0.38777711304347828</v>
      </c>
      <c r="G172" s="61">
        <f t="shared" si="75"/>
        <v>5.7650353015652183</v>
      </c>
      <c r="H172" s="61">
        <f t="shared" si="75"/>
        <v>5.5521037356521763</v>
      </c>
      <c r="I172" s="61">
        <f t="shared" si="75"/>
        <v>5.5251410504347831</v>
      </c>
      <c r="J172" s="61">
        <f t="shared" si="75"/>
        <v>6.3471139881739145</v>
      </c>
      <c r="K172" s="61">
        <f t="shared" si="75"/>
        <v>5.4289025280000009</v>
      </c>
      <c r="L172" s="61">
        <f t="shared" si="75"/>
        <v>5.2537766400000008</v>
      </c>
      <c r="M172" s="61">
        <f t="shared" si="75"/>
        <v>0.93817043478260886</v>
      </c>
      <c r="N172" s="61">
        <f t="shared" si="75"/>
        <v>0.96944278260869587</v>
      </c>
      <c r="O172" s="61">
        <f t="shared" si="75"/>
        <v>0.96944278260869587</v>
      </c>
      <c r="P172" s="61">
        <f t="shared" si="75"/>
        <v>0.96944278260869587</v>
      </c>
      <c r="Q172" s="61">
        <f t="shared" si="75"/>
        <v>0.96944278260869587</v>
      </c>
      <c r="R172" s="61">
        <f t="shared" si="75"/>
        <v>0.93817043478260886</v>
      </c>
      <c r="S172" s="61">
        <f t="shared" si="75"/>
        <v>0.93817043478260886</v>
      </c>
      <c r="T172" s="61">
        <f t="shared" si="75"/>
        <v>1.7648674307478269</v>
      </c>
      <c r="U172" s="61">
        <f t="shared" si="75"/>
        <v>2.8558665787826092</v>
      </c>
      <c r="V172" s="61">
        <f t="shared" si="75"/>
        <v>0</v>
      </c>
      <c r="W172" s="61">
        <f t="shared" si="75"/>
        <v>0</v>
      </c>
      <c r="X172" s="61">
        <f t="shared" si="75"/>
        <v>0</v>
      </c>
      <c r="Y172" s="61">
        <f t="shared" si="75"/>
        <v>0</v>
      </c>
      <c r="AA172" s="64">
        <f>SUM(B172:Y172)</f>
        <v>46.273367392486954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brebis</v>
      </c>
      <c r="B175" s="61">
        <f t="shared" ref="B175:Y175" si="76">IF(B76=2,B149,0)</f>
        <v>0</v>
      </c>
      <c r="C175" s="61">
        <f t="shared" si="76"/>
        <v>0</v>
      </c>
      <c r="D175" s="61">
        <f t="shared" si="76"/>
        <v>0</v>
      </c>
      <c r="E175" s="61">
        <f t="shared" si="76"/>
        <v>0</v>
      </c>
      <c r="F175" s="61">
        <f t="shared" si="76"/>
        <v>0</v>
      </c>
      <c r="G175" s="61">
        <f t="shared" si="76"/>
        <v>0</v>
      </c>
      <c r="H175" s="61">
        <f t="shared" si="76"/>
        <v>0</v>
      </c>
      <c r="I175" s="61">
        <f t="shared" si="76"/>
        <v>0</v>
      </c>
      <c r="J175" s="61">
        <f t="shared" si="76"/>
        <v>0</v>
      </c>
      <c r="K175" s="61">
        <f t="shared" si="76"/>
        <v>0</v>
      </c>
      <c r="L175" s="61">
        <f t="shared" si="76"/>
        <v>0</v>
      </c>
      <c r="M175" s="61">
        <f t="shared" si="76"/>
        <v>0</v>
      </c>
      <c r="N175" s="61">
        <f t="shared" si="76"/>
        <v>0</v>
      </c>
      <c r="O175" s="61">
        <f t="shared" si="76"/>
        <v>0</v>
      </c>
      <c r="P175" s="61">
        <f t="shared" si="76"/>
        <v>0</v>
      </c>
      <c r="Q175" s="61">
        <f t="shared" si="76"/>
        <v>0</v>
      </c>
      <c r="R175" s="61">
        <f t="shared" si="76"/>
        <v>0</v>
      </c>
      <c r="S175" s="61">
        <f t="shared" si="76"/>
        <v>0</v>
      </c>
      <c r="T175" s="61">
        <f t="shared" si="76"/>
        <v>0</v>
      </c>
      <c r="U175" s="61">
        <f t="shared" si="76"/>
        <v>0</v>
      </c>
      <c r="V175" s="61">
        <f t="shared" si="76"/>
        <v>0</v>
      </c>
      <c r="W175" s="61">
        <f t="shared" si="76"/>
        <v>0</v>
      </c>
      <c r="X175" s="61">
        <f t="shared" si="76"/>
        <v>0</v>
      </c>
      <c r="Y175" s="61">
        <f t="shared" si="76"/>
        <v>0</v>
      </c>
    </row>
    <row r="176" spans="1:28" x14ac:dyDescent="0.25">
      <c r="A176" s="128" t="str">
        <f>A$16</f>
        <v>vides</v>
      </c>
      <c r="B176" s="61">
        <f t="shared" ref="B176:Y176" si="77">IF(B77=2,B150,0)</f>
        <v>0.70843895652173916</v>
      </c>
      <c r="C176" s="61">
        <f t="shared" si="77"/>
        <v>0.70843895652173916</v>
      </c>
      <c r="D176" s="61">
        <f t="shared" si="77"/>
        <v>0.63988034782608705</v>
      </c>
      <c r="E176" s="61">
        <f t="shared" si="77"/>
        <v>0.63988034782608705</v>
      </c>
      <c r="F176" s="61">
        <f t="shared" si="77"/>
        <v>0</v>
      </c>
      <c r="G176" s="61">
        <f t="shared" si="77"/>
        <v>0</v>
      </c>
      <c r="H176" s="61">
        <f t="shared" si="77"/>
        <v>0</v>
      </c>
      <c r="I176" s="61">
        <f t="shared" si="77"/>
        <v>0</v>
      </c>
      <c r="J176" s="61">
        <f t="shared" si="77"/>
        <v>0</v>
      </c>
      <c r="K176" s="61">
        <f t="shared" si="77"/>
        <v>0</v>
      </c>
      <c r="L176" s="61">
        <f t="shared" si="77"/>
        <v>0</v>
      </c>
      <c r="M176" s="61">
        <f t="shared" si="77"/>
        <v>0</v>
      </c>
      <c r="N176" s="61">
        <f t="shared" si="77"/>
        <v>0</v>
      </c>
      <c r="O176" s="61">
        <f t="shared" si="77"/>
        <v>0</v>
      </c>
      <c r="P176" s="61">
        <f t="shared" si="77"/>
        <v>0</v>
      </c>
      <c r="Q176" s="61">
        <f t="shared" si="77"/>
        <v>0</v>
      </c>
      <c r="R176" s="61">
        <f t="shared" si="77"/>
        <v>0</v>
      </c>
      <c r="S176" s="61">
        <f t="shared" si="77"/>
        <v>0</v>
      </c>
      <c r="T176" s="61">
        <f t="shared" si="77"/>
        <v>0</v>
      </c>
      <c r="U176" s="61">
        <f t="shared" si="77"/>
        <v>0</v>
      </c>
      <c r="V176" s="61">
        <f t="shared" si="77"/>
        <v>0</v>
      </c>
      <c r="W176" s="61">
        <f t="shared" si="77"/>
        <v>0</v>
      </c>
      <c r="X176" s="61">
        <f t="shared" si="77"/>
        <v>0</v>
      </c>
      <c r="Y176" s="61">
        <f t="shared" si="77"/>
        <v>0.70843895652173916</v>
      </c>
    </row>
    <row r="177" spans="1:28" x14ac:dyDescent="0.25">
      <c r="A177" s="127" t="str">
        <f>A$17</f>
        <v>agnelles</v>
      </c>
      <c r="B177" s="61">
        <f t="shared" ref="B177:Y177" si="78">IF(B78=2,B151,0)</f>
        <v>0</v>
      </c>
      <c r="C177" s="61">
        <f t="shared" si="78"/>
        <v>0</v>
      </c>
      <c r="D177" s="61">
        <f t="shared" si="78"/>
        <v>0</v>
      </c>
      <c r="E177" s="61">
        <f t="shared" si="78"/>
        <v>0</v>
      </c>
      <c r="F177" s="61">
        <f t="shared" si="78"/>
        <v>0</v>
      </c>
      <c r="G177" s="61">
        <f t="shared" si="78"/>
        <v>0</v>
      </c>
      <c r="H177" s="61">
        <f t="shared" si="78"/>
        <v>0</v>
      </c>
      <c r="I177" s="61">
        <f t="shared" si="78"/>
        <v>0</v>
      </c>
      <c r="J177" s="61">
        <f t="shared" si="78"/>
        <v>0</v>
      </c>
      <c r="K177" s="61">
        <f t="shared" si="78"/>
        <v>0</v>
      </c>
      <c r="L177" s="61">
        <f t="shared" si="78"/>
        <v>0</v>
      </c>
      <c r="M177" s="61">
        <f t="shared" si="78"/>
        <v>0</v>
      </c>
      <c r="N177" s="61">
        <f t="shared" si="78"/>
        <v>0</v>
      </c>
      <c r="O177" s="61">
        <f t="shared" si="78"/>
        <v>0</v>
      </c>
      <c r="P177" s="61">
        <f t="shared" si="78"/>
        <v>0</v>
      </c>
      <c r="Q177" s="61">
        <f t="shared" si="78"/>
        <v>0</v>
      </c>
      <c r="R177" s="61">
        <f t="shared" si="78"/>
        <v>0</v>
      </c>
      <c r="S177" s="61">
        <f t="shared" si="78"/>
        <v>0</v>
      </c>
      <c r="T177" s="61">
        <f t="shared" si="78"/>
        <v>0</v>
      </c>
      <c r="U177" s="61">
        <f t="shared" si="78"/>
        <v>0</v>
      </c>
      <c r="V177" s="61">
        <f t="shared" si="78"/>
        <v>0</v>
      </c>
      <c r="W177" s="61">
        <f t="shared" si="78"/>
        <v>0</v>
      </c>
      <c r="X177" s="61">
        <f t="shared" si="78"/>
        <v>0</v>
      </c>
      <c r="Y177" s="61">
        <f t="shared" si="78"/>
        <v>0</v>
      </c>
    </row>
    <row r="178" spans="1:28" x14ac:dyDescent="0.25">
      <c r="A178" s="128" t="str">
        <f>A$18</f>
        <v>beliers</v>
      </c>
      <c r="B178" s="61">
        <f t="shared" ref="B178:Y178" si="79">IF(B79=2,B152,0)</f>
        <v>0.22371756521739136</v>
      </c>
      <c r="C178" s="61">
        <f t="shared" si="79"/>
        <v>0.22371756521739136</v>
      </c>
      <c r="D178" s="61">
        <f t="shared" si="79"/>
        <v>0.20206747826086963</v>
      </c>
      <c r="E178" s="61">
        <f t="shared" si="79"/>
        <v>0.20206747826086963</v>
      </c>
      <c r="F178" s="61">
        <f t="shared" si="79"/>
        <v>0.22371756521739136</v>
      </c>
      <c r="G178" s="61">
        <f t="shared" si="79"/>
        <v>0.22371756521739136</v>
      </c>
      <c r="H178" s="61">
        <f t="shared" si="79"/>
        <v>0.21650086956521744</v>
      </c>
      <c r="I178" s="61">
        <f t="shared" si="79"/>
        <v>0.21650086956521744</v>
      </c>
      <c r="J178" s="61">
        <f t="shared" si="79"/>
        <v>0</v>
      </c>
      <c r="K178" s="61">
        <f t="shared" si="79"/>
        <v>0</v>
      </c>
      <c r="L178" s="61">
        <f t="shared" si="79"/>
        <v>0</v>
      </c>
      <c r="M178" s="61">
        <f t="shared" si="79"/>
        <v>0</v>
      </c>
      <c r="N178" s="61">
        <f t="shared" si="79"/>
        <v>0</v>
      </c>
      <c r="O178" s="61">
        <f t="shared" si="79"/>
        <v>0</v>
      </c>
      <c r="P178" s="61">
        <f t="shared" si="79"/>
        <v>0</v>
      </c>
      <c r="Q178" s="61">
        <f t="shared" si="79"/>
        <v>0</v>
      </c>
      <c r="R178" s="61">
        <f t="shared" si="79"/>
        <v>0</v>
      </c>
      <c r="S178" s="61">
        <f t="shared" si="79"/>
        <v>0</v>
      </c>
      <c r="T178" s="61">
        <f t="shared" si="79"/>
        <v>0</v>
      </c>
      <c r="U178" s="61">
        <f t="shared" si="79"/>
        <v>0.22371756521739136</v>
      </c>
      <c r="V178" s="61">
        <f t="shared" si="79"/>
        <v>0.21650086956521744</v>
      </c>
      <c r="W178" s="61">
        <f t="shared" si="79"/>
        <v>0.21650086956521744</v>
      </c>
      <c r="X178" s="61">
        <f t="shared" si="79"/>
        <v>0.22371756521739136</v>
      </c>
      <c r="Y178" s="61">
        <f t="shared" si="79"/>
        <v>0.22371756521739136</v>
      </c>
    </row>
    <row r="179" spans="1:28" x14ac:dyDescent="0.25">
      <c r="A179" s="128" t="str">
        <f>A$19</f>
        <v>lot5</v>
      </c>
      <c r="B179" s="61">
        <f t="shared" ref="B179:Y179" si="80">IF(B80=2,B153,0)</f>
        <v>0</v>
      </c>
      <c r="C179" s="61">
        <f t="shared" si="80"/>
        <v>0</v>
      </c>
      <c r="D179" s="61">
        <f t="shared" si="80"/>
        <v>0</v>
      </c>
      <c r="E179" s="61">
        <f t="shared" si="80"/>
        <v>0</v>
      </c>
      <c r="F179" s="61">
        <f t="shared" si="80"/>
        <v>0</v>
      </c>
      <c r="G179" s="61">
        <f t="shared" si="80"/>
        <v>0</v>
      </c>
      <c r="H179" s="61">
        <f t="shared" si="80"/>
        <v>0</v>
      </c>
      <c r="I179" s="61">
        <f t="shared" si="80"/>
        <v>0</v>
      </c>
      <c r="J179" s="61">
        <f t="shared" si="80"/>
        <v>0</v>
      </c>
      <c r="K179" s="61">
        <f t="shared" si="80"/>
        <v>0</v>
      </c>
      <c r="L179" s="61">
        <f t="shared" si="80"/>
        <v>0</v>
      </c>
      <c r="M179" s="61">
        <f t="shared" si="80"/>
        <v>0</v>
      </c>
      <c r="N179" s="61">
        <f t="shared" si="80"/>
        <v>0</v>
      </c>
      <c r="O179" s="61">
        <f t="shared" si="80"/>
        <v>0</v>
      </c>
      <c r="P179" s="61">
        <f t="shared" si="80"/>
        <v>0</v>
      </c>
      <c r="Q179" s="61">
        <f t="shared" si="80"/>
        <v>0</v>
      </c>
      <c r="R179" s="61">
        <f t="shared" si="80"/>
        <v>0</v>
      </c>
      <c r="S179" s="61">
        <f t="shared" si="80"/>
        <v>0</v>
      </c>
      <c r="T179" s="61">
        <f t="shared" si="80"/>
        <v>0</v>
      </c>
      <c r="U179" s="61">
        <f t="shared" si="80"/>
        <v>0</v>
      </c>
      <c r="V179" s="61">
        <f t="shared" si="80"/>
        <v>0</v>
      </c>
      <c r="W179" s="61">
        <f t="shared" si="80"/>
        <v>0</v>
      </c>
      <c r="X179" s="61">
        <f t="shared" si="80"/>
        <v>0</v>
      </c>
      <c r="Y179" s="61">
        <f t="shared" si="80"/>
        <v>0</v>
      </c>
    </row>
    <row r="180" spans="1:28" x14ac:dyDescent="0.25">
      <c r="A180" s="128" t="str">
        <f>A$20</f>
        <v>lot6</v>
      </c>
      <c r="B180" s="61">
        <f t="shared" ref="B180:Y180" si="81">IF(B81=2,B154,0)</f>
        <v>0</v>
      </c>
      <c r="C180" s="61">
        <f t="shared" si="81"/>
        <v>0</v>
      </c>
      <c r="D180" s="61">
        <f t="shared" si="81"/>
        <v>0</v>
      </c>
      <c r="E180" s="61">
        <f t="shared" si="81"/>
        <v>0</v>
      </c>
      <c r="F180" s="61">
        <f t="shared" si="81"/>
        <v>0</v>
      </c>
      <c r="G180" s="61">
        <f t="shared" si="81"/>
        <v>0</v>
      </c>
      <c r="H180" s="61">
        <f t="shared" si="81"/>
        <v>0</v>
      </c>
      <c r="I180" s="61">
        <f t="shared" si="81"/>
        <v>0</v>
      </c>
      <c r="J180" s="61">
        <f t="shared" si="81"/>
        <v>0</v>
      </c>
      <c r="K180" s="61">
        <f t="shared" si="81"/>
        <v>0</v>
      </c>
      <c r="L180" s="61">
        <f t="shared" si="81"/>
        <v>0</v>
      </c>
      <c r="M180" s="61">
        <f t="shared" si="81"/>
        <v>0</v>
      </c>
      <c r="N180" s="61">
        <f t="shared" si="81"/>
        <v>0</v>
      </c>
      <c r="O180" s="61">
        <f t="shared" si="81"/>
        <v>0</v>
      </c>
      <c r="P180" s="61">
        <f t="shared" si="81"/>
        <v>0</v>
      </c>
      <c r="Q180" s="61">
        <f t="shared" si="81"/>
        <v>0</v>
      </c>
      <c r="R180" s="61">
        <f t="shared" si="81"/>
        <v>0</v>
      </c>
      <c r="S180" s="61">
        <f t="shared" si="81"/>
        <v>0</v>
      </c>
      <c r="T180" s="61">
        <f t="shared" si="81"/>
        <v>0</v>
      </c>
      <c r="U180" s="61">
        <f t="shared" si="81"/>
        <v>0</v>
      </c>
      <c r="V180" s="61">
        <f t="shared" si="81"/>
        <v>0</v>
      </c>
      <c r="W180" s="61">
        <f t="shared" si="81"/>
        <v>0</v>
      </c>
      <c r="X180" s="61">
        <f t="shared" si="81"/>
        <v>0</v>
      </c>
      <c r="Y180" s="61">
        <f t="shared" si="81"/>
        <v>0</v>
      </c>
    </row>
    <row r="181" spans="1:28" x14ac:dyDescent="0.25">
      <c r="A181" s="127" t="str">
        <f>A$21</f>
        <v>lot7</v>
      </c>
      <c r="B181" s="61">
        <f t="shared" ref="B181:Y181" si="82">IF(B82=2,B155,0)</f>
        <v>0</v>
      </c>
      <c r="C181" s="61">
        <f t="shared" si="82"/>
        <v>0</v>
      </c>
      <c r="D181" s="61">
        <f t="shared" si="82"/>
        <v>0</v>
      </c>
      <c r="E181" s="61">
        <f t="shared" si="82"/>
        <v>0</v>
      </c>
      <c r="F181" s="61">
        <f t="shared" si="82"/>
        <v>0</v>
      </c>
      <c r="G181" s="61">
        <f t="shared" si="82"/>
        <v>0</v>
      </c>
      <c r="H181" s="61">
        <f t="shared" si="82"/>
        <v>0</v>
      </c>
      <c r="I181" s="61">
        <f t="shared" si="82"/>
        <v>0</v>
      </c>
      <c r="J181" s="61">
        <f t="shared" si="82"/>
        <v>0</v>
      </c>
      <c r="K181" s="61">
        <f t="shared" si="82"/>
        <v>0</v>
      </c>
      <c r="L181" s="61">
        <f t="shared" si="82"/>
        <v>0</v>
      </c>
      <c r="M181" s="61">
        <f t="shared" si="82"/>
        <v>0</v>
      </c>
      <c r="N181" s="61">
        <f t="shared" si="82"/>
        <v>0</v>
      </c>
      <c r="O181" s="61">
        <f t="shared" si="82"/>
        <v>0</v>
      </c>
      <c r="P181" s="61">
        <f t="shared" si="82"/>
        <v>0</v>
      </c>
      <c r="Q181" s="61">
        <f t="shared" si="82"/>
        <v>0</v>
      </c>
      <c r="R181" s="61">
        <f t="shared" si="82"/>
        <v>0</v>
      </c>
      <c r="S181" s="61">
        <f t="shared" si="82"/>
        <v>0</v>
      </c>
      <c r="T181" s="61">
        <f t="shared" si="82"/>
        <v>0</v>
      </c>
      <c r="U181" s="61">
        <f t="shared" si="82"/>
        <v>0</v>
      </c>
      <c r="V181" s="61">
        <f t="shared" si="82"/>
        <v>0</v>
      </c>
      <c r="W181" s="61">
        <f t="shared" si="82"/>
        <v>0</v>
      </c>
      <c r="X181" s="61">
        <f t="shared" si="82"/>
        <v>0</v>
      </c>
      <c r="Y181" s="61">
        <f t="shared" si="82"/>
        <v>0</v>
      </c>
    </row>
    <row r="182" spans="1:28" x14ac:dyDescent="0.25">
      <c r="A182" s="128" t="str">
        <f>A$22</f>
        <v>lot8</v>
      </c>
      <c r="B182" s="61">
        <f t="shared" ref="B182:Y182" si="83">IF(B83=2,B156,0)</f>
        <v>0</v>
      </c>
      <c r="C182" s="61">
        <f t="shared" si="83"/>
        <v>0</v>
      </c>
      <c r="D182" s="61">
        <f t="shared" si="83"/>
        <v>0</v>
      </c>
      <c r="E182" s="61">
        <f t="shared" si="83"/>
        <v>0</v>
      </c>
      <c r="F182" s="61">
        <f t="shared" si="83"/>
        <v>0</v>
      </c>
      <c r="G182" s="61">
        <f t="shared" si="83"/>
        <v>0</v>
      </c>
      <c r="H182" s="61">
        <f t="shared" si="83"/>
        <v>0</v>
      </c>
      <c r="I182" s="61">
        <f t="shared" si="83"/>
        <v>0</v>
      </c>
      <c r="J182" s="61">
        <f t="shared" si="83"/>
        <v>0</v>
      </c>
      <c r="K182" s="61">
        <f t="shared" si="83"/>
        <v>0</v>
      </c>
      <c r="L182" s="61">
        <f t="shared" si="83"/>
        <v>0</v>
      </c>
      <c r="M182" s="61">
        <f t="shared" si="83"/>
        <v>0</v>
      </c>
      <c r="N182" s="61">
        <f t="shared" si="83"/>
        <v>0</v>
      </c>
      <c r="O182" s="61">
        <f t="shared" si="83"/>
        <v>0</v>
      </c>
      <c r="P182" s="61">
        <f t="shared" si="83"/>
        <v>0</v>
      </c>
      <c r="Q182" s="61">
        <f t="shared" si="83"/>
        <v>0</v>
      </c>
      <c r="R182" s="61">
        <f t="shared" si="83"/>
        <v>0</v>
      </c>
      <c r="S182" s="61">
        <f t="shared" si="83"/>
        <v>0</v>
      </c>
      <c r="T182" s="61">
        <f t="shared" si="83"/>
        <v>0</v>
      </c>
      <c r="U182" s="61">
        <f t="shared" si="83"/>
        <v>0</v>
      </c>
      <c r="V182" s="61">
        <f t="shared" si="83"/>
        <v>0</v>
      </c>
      <c r="W182" s="61">
        <f t="shared" si="83"/>
        <v>0</v>
      </c>
      <c r="X182" s="61">
        <f t="shared" si="83"/>
        <v>0</v>
      </c>
      <c r="Y182" s="61">
        <f t="shared" si="83"/>
        <v>0</v>
      </c>
    </row>
    <row r="183" spans="1:28" x14ac:dyDescent="0.25">
      <c r="A183" s="128" t="str">
        <f>A$23</f>
        <v>lot9</v>
      </c>
      <c r="B183" s="61">
        <f t="shared" ref="B183:Y183" si="84">IF(B84=2,B157,0)</f>
        <v>0</v>
      </c>
      <c r="C183" s="61">
        <f t="shared" si="84"/>
        <v>0</v>
      </c>
      <c r="D183" s="61">
        <f t="shared" si="84"/>
        <v>0</v>
      </c>
      <c r="E183" s="61">
        <f t="shared" si="84"/>
        <v>0</v>
      </c>
      <c r="F183" s="61">
        <f t="shared" si="84"/>
        <v>0</v>
      </c>
      <c r="G183" s="61">
        <f t="shared" si="84"/>
        <v>0</v>
      </c>
      <c r="H183" s="61">
        <f t="shared" si="84"/>
        <v>0</v>
      </c>
      <c r="I183" s="61">
        <f t="shared" si="84"/>
        <v>0</v>
      </c>
      <c r="J183" s="61">
        <f t="shared" si="84"/>
        <v>0</v>
      </c>
      <c r="K183" s="61">
        <f t="shared" si="84"/>
        <v>0</v>
      </c>
      <c r="L183" s="61">
        <f t="shared" si="84"/>
        <v>0</v>
      </c>
      <c r="M183" s="61">
        <f t="shared" si="84"/>
        <v>0</v>
      </c>
      <c r="N183" s="61">
        <f t="shared" si="84"/>
        <v>0</v>
      </c>
      <c r="O183" s="61">
        <f t="shared" si="84"/>
        <v>0</v>
      </c>
      <c r="P183" s="61">
        <f t="shared" si="84"/>
        <v>0</v>
      </c>
      <c r="Q183" s="61">
        <f t="shared" si="84"/>
        <v>0</v>
      </c>
      <c r="R183" s="61">
        <f t="shared" si="84"/>
        <v>0</v>
      </c>
      <c r="S183" s="61">
        <f t="shared" si="84"/>
        <v>0</v>
      </c>
      <c r="T183" s="61">
        <f t="shared" si="84"/>
        <v>0</v>
      </c>
      <c r="U183" s="61">
        <f t="shared" si="84"/>
        <v>0</v>
      </c>
      <c r="V183" s="61">
        <f t="shared" si="84"/>
        <v>0</v>
      </c>
      <c r="W183" s="61">
        <f t="shared" si="84"/>
        <v>0</v>
      </c>
      <c r="X183" s="61">
        <f t="shared" si="84"/>
        <v>0</v>
      </c>
      <c r="Y183" s="61">
        <f t="shared" si="84"/>
        <v>0</v>
      </c>
    </row>
    <row r="184" spans="1:28" x14ac:dyDescent="0.25">
      <c r="A184" s="128" t="str">
        <f>A$24</f>
        <v>lot10</v>
      </c>
      <c r="B184" s="61">
        <f t="shared" ref="B184:Y184" si="85">IF(B85=2,B158,0)</f>
        <v>0</v>
      </c>
      <c r="C184" s="61">
        <f t="shared" si="85"/>
        <v>0</v>
      </c>
      <c r="D184" s="61">
        <f t="shared" si="85"/>
        <v>0</v>
      </c>
      <c r="E184" s="61">
        <f t="shared" si="85"/>
        <v>0</v>
      </c>
      <c r="F184" s="61">
        <f t="shared" si="85"/>
        <v>0</v>
      </c>
      <c r="G184" s="61">
        <f t="shared" si="85"/>
        <v>0</v>
      </c>
      <c r="H184" s="61">
        <f t="shared" si="85"/>
        <v>0</v>
      </c>
      <c r="I184" s="61">
        <f t="shared" si="85"/>
        <v>0</v>
      </c>
      <c r="J184" s="61">
        <f t="shared" si="85"/>
        <v>0</v>
      </c>
      <c r="K184" s="61">
        <f t="shared" si="85"/>
        <v>0</v>
      </c>
      <c r="L184" s="61">
        <f t="shared" si="85"/>
        <v>0</v>
      </c>
      <c r="M184" s="61">
        <f t="shared" si="85"/>
        <v>0</v>
      </c>
      <c r="N184" s="61">
        <f t="shared" si="85"/>
        <v>0</v>
      </c>
      <c r="O184" s="61">
        <f t="shared" si="85"/>
        <v>0</v>
      </c>
      <c r="P184" s="61">
        <f t="shared" si="85"/>
        <v>0</v>
      </c>
      <c r="Q184" s="61">
        <f t="shared" si="85"/>
        <v>0</v>
      </c>
      <c r="R184" s="61">
        <f t="shared" si="85"/>
        <v>0</v>
      </c>
      <c r="S184" s="61">
        <f t="shared" si="85"/>
        <v>0</v>
      </c>
      <c r="T184" s="61">
        <f t="shared" si="85"/>
        <v>0</v>
      </c>
      <c r="U184" s="61">
        <f t="shared" si="85"/>
        <v>0</v>
      </c>
      <c r="V184" s="61">
        <f t="shared" si="85"/>
        <v>0</v>
      </c>
      <c r="W184" s="61">
        <f t="shared" si="85"/>
        <v>0</v>
      </c>
      <c r="X184" s="61">
        <f t="shared" si="85"/>
        <v>0</v>
      </c>
      <c r="Y184" s="61">
        <f t="shared" si="85"/>
        <v>0</v>
      </c>
    </row>
    <row r="185" spans="1:28" x14ac:dyDescent="0.25">
      <c r="A185" s="38" t="s">
        <v>317</v>
      </c>
      <c r="B185" s="61">
        <f>SUM(CdTrp1!B175:B184)</f>
        <v>0.93215652173913055</v>
      </c>
      <c r="C185" s="61">
        <f>SUM(CdTrp1!C175:C184)</f>
        <v>0.93215652173913055</v>
      </c>
      <c r="D185" s="61">
        <f>SUM(CdTrp1!D175:D184)</f>
        <v>0.84194782608695662</v>
      </c>
      <c r="E185" s="61">
        <f>SUM(CdTrp1!E175:E184)</f>
        <v>0.84194782608695662</v>
      </c>
      <c r="F185" s="61">
        <f>SUM(CdTrp1!F175:F184)</f>
        <v>0.22371756521739136</v>
      </c>
      <c r="G185" s="61">
        <f>SUM(CdTrp1!G175:G184)</f>
        <v>0.22371756521739136</v>
      </c>
      <c r="H185" s="61">
        <f>SUM(CdTrp1!H175:H184)</f>
        <v>0.21650086956521744</v>
      </c>
      <c r="I185" s="61">
        <f>SUM(CdTrp1!I175:I184)</f>
        <v>0.21650086956521744</v>
      </c>
      <c r="J185" s="61">
        <f>SUM(CdTrp1!J175:J184)</f>
        <v>0</v>
      </c>
      <c r="K185" s="61">
        <f>SUM(CdTrp1!K175:K184)</f>
        <v>0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0.22371756521739136</v>
      </c>
      <c r="V185" s="61">
        <f>SUM(CdTrp1!V175:V184)</f>
        <v>0.21650086956521744</v>
      </c>
      <c r="W185" s="61">
        <f>SUM(CdTrp1!W175:W184)</f>
        <v>0.21650086956521744</v>
      </c>
      <c r="X185" s="61">
        <f>SUM(CdTrp1!X175:X184)</f>
        <v>0.22371756521739136</v>
      </c>
      <c r="Y185" s="61">
        <f>SUM(CdTrp1!Y175:Y184)</f>
        <v>0.93215652173913055</v>
      </c>
      <c r="AA185" s="64">
        <f>SUM(B185:Y185)</f>
        <v>6.2412389565217392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brebis</v>
      </c>
      <c r="B188" s="61">
        <f t="shared" ref="B188:Y188" si="86">IF(B76=3,B149,0)</f>
        <v>0</v>
      </c>
      <c r="C188" s="61">
        <f t="shared" si="86"/>
        <v>0</v>
      </c>
      <c r="D188" s="61">
        <f t="shared" si="86"/>
        <v>0</v>
      </c>
      <c r="E188" s="61">
        <f t="shared" si="86"/>
        <v>0</v>
      </c>
      <c r="F188" s="61">
        <f t="shared" si="86"/>
        <v>0</v>
      </c>
      <c r="G188" s="61">
        <f t="shared" si="86"/>
        <v>0</v>
      </c>
      <c r="H188" s="61">
        <f t="shared" si="86"/>
        <v>0</v>
      </c>
      <c r="I188" s="61">
        <f t="shared" si="86"/>
        <v>0</v>
      </c>
      <c r="J188" s="61">
        <f t="shared" si="86"/>
        <v>0</v>
      </c>
      <c r="K188" s="61">
        <f t="shared" si="86"/>
        <v>0</v>
      </c>
      <c r="L188" s="61">
        <f t="shared" si="86"/>
        <v>0</v>
      </c>
      <c r="M188" s="61">
        <f t="shared" si="86"/>
        <v>0</v>
      </c>
      <c r="N188" s="61">
        <f t="shared" si="86"/>
        <v>0</v>
      </c>
      <c r="O188" s="61">
        <f t="shared" si="86"/>
        <v>0</v>
      </c>
      <c r="P188" s="61">
        <f t="shared" si="86"/>
        <v>0</v>
      </c>
      <c r="Q188" s="61">
        <f t="shared" si="86"/>
        <v>0</v>
      </c>
      <c r="R188" s="61">
        <f t="shared" si="86"/>
        <v>0</v>
      </c>
      <c r="S188" s="61">
        <f t="shared" si="86"/>
        <v>0</v>
      </c>
      <c r="T188" s="61">
        <f t="shared" si="86"/>
        <v>0</v>
      </c>
      <c r="U188" s="61">
        <f t="shared" si="86"/>
        <v>0</v>
      </c>
      <c r="V188" s="61">
        <f t="shared" si="86"/>
        <v>0</v>
      </c>
      <c r="W188" s="61">
        <f t="shared" si="86"/>
        <v>0</v>
      </c>
      <c r="X188" s="61">
        <f t="shared" si="86"/>
        <v>0</v>
      </c>
      <c r="Y188" s="61">
        <f t="shared" si="86"/>
        <v>0</v>
      </c>
    </row>
    <row r="189" spans="1:28" x14ac:dyDescent="0.25">
      <c r="A189" s="128" t="str">
        <f>A$16</f>
        <v>vides</v>
      </c>
      <c r="B189" s="61">
        <f t="shared" ref="B189:Y189" si="87">IF(B77=3,B150,0)</f>
        <v>0</v>
      </c>
      <c r="C189" s="61">
        <f t="shared" si="87"/>
        <v>0</v>
      </c>
      <c r="D189" s="61">
        <f t="shared" si="87"/>
        <v>0</v>
      </c>
      <c r="E189" s="61">
        <f t="shared" si="87"/>
        <v>0</v>
      </c>
      <c r="F189" s="61">
        <f t="shared" si="87"/>
        <v>0.70843895652173916</v>
      </c>
      <c r="G189" s="61">
        <f t="shared" si="87"/>
        <v>0.70843895652173916</v>
      </c>
      <c r="H189" s="61">
        <f t="shared" si="87"/>
        <v>0.6855860869565219</v>
      </c>
      <c r="I189" s="61">
        <f t="shared" si="87"/>
        <v>0.6855860869565219</v>
      </c>
      <c r="J189" s="61">
        <f t="shared" si="87"/>
        <v>0.70843895652173916</v>
      </c>
      <c r="K189" s="61">
        <f t="shared" si="87"/>
        <v>0</v>
      </c>
      <c r="L189" s="61">
        <f t="shared" si="87"/>
        <v>0</v>
      </c>
      <c r="M189" s="61">
        <f t="shared" si="87"/>
        <v>0</v>
      </c>
      <c r="N189" s="61">
        <f t="shared" si="87"/>
        <v>0</v>
      </c>
      <c r="O189" s="61">
        <f t="shared" si="87"/>
        <v>0</v>
      </c>
      <c r="P189" s="61">
        <f t="shared" si="87"/>
        <v>0</v>
      </c>
      <c r="Q189" s="61">
        <f t="shared" si="87"/>
        <v>0</v>
      </c>
      <c r="R189" s="61">
        <f t="shared" si="87"/>
        <v>0</v>
      </c>
      <c r="S189" s="61">
        <f t="shared" si="87"/>
        <v>0</v>
      </c>
      <c r="T189" s="61">
        <f t="shared" si="87"/>
        <v>0</v>
      </c>
      <c r="U189" s="61">
        <f t="shared" si="87"/>
        <v>0.70843895652173916</v>
      </c>
      <c r="V189" s="61">
        <f t="shared" si="87"/>
        <v>0.6855860869565219</v>
      </c>
      <c r="W189" s="61">
        <f t="shared" si="87"/>
        <v>0.6855860869565219</v>
      </c>
      <c r="X189" s="61">
        <f t="shared" si="87"/>
        <v>0.70843895652173916</v>
      </c>
      <c r="Y189" s="61">
        <f t="shared" si="87"/>
        <v>0</v>
      </c>
    </row>
    <row r="190" spans="1:28" x14ac:dyDescent="0.25">
      <c r="A190" s="127" t="str">
        <f>A$17</f>
        <v>agnelles</v>
      </c>
      <c r="B190" s="61">
        <f t="shared" ref="B190:Y190" si="88">IF(B78=3,B151,0)</f>
        <v>0</v>
      </c>
      <c r="C190" s="61">
        <f t="shared" si="88"/>
        <v>0</v>
      </c>
      <c r="D190" s="61">
        <f t="shared" si="88"/>
        <v>0</v>
      </c>
      <c r="E190" s="61">
        <f t="shared" si="88"/>
        <v>0</v>
      </c>
      <c r="F190" s="61">
        <f t="shared" si="88"/>
        <v>0</v>
      </c>
      <c r="G190" s="61">
        <f t="shared" si="88"/>
        <v>0</v>
      </c>
      <c r="H190" s="61">
        <f t="shared" si="88"/>
        <v>0</v>
      </c>
      <c r="I190" s="61">
        <f t="shared" si="88"/>
        <v>0</v>
      </c>
      <c r="J190" s="61">
        <f t="shared" si="88"/>
        <v>0</v>
      </c>
      <c r="K190" s="61">
        <f t="shared" si="88"/>
        <v>0</v>
      </c>
      <c r="L190" s="61">
        <f t="shared" si="88"/>
        <v>0</v>
      </c>
      <c r="M190" s="61">
        <f t="shared" si="88"/>
        <v>0</v>
      </c>
      <c r="N190" s="61">
        <f t="shared" si="88"/>
        <v>0</v>
      </c>
      <c r="O190" s="61">
        <f t="shared" si="88"/>
        <v>0</v>
      </c>
      <c r="P190" s="61">
        <f t="shared" si="88"/>
        <v>0</v>
      </c>
      <c r="Q190" s="61">
        <f t="shared" si="88"/>
        <v>0</v>
      </c>
      <c r="R190" s="61">
        <f t="shared" si="88"/>
        <v>0</v>
      </c>
      <c r="S190" s="61">
        <f t="shared" si="88"/>
        <v>0</v>
      </c>
      <c r="T190" s="61">
        <f t="shared" si="88"/>
        <v>0</v>
      </c>
      <c r="U190" s="61">
        <f t="shared" si="88"/>
        <v>0</v>
      </c>
      <c r="V190" s="61">
        <f t="shared" si="88"/>
        <v>0</v>
      </c>
      <c r="W190" s="61">
        <f t="shared" si="88"/>
        <v>0</v>
      </c>
      <c r="X190" s="61">
        <f t="shared" si="88"/>
        <v>0</v>
      </c>
      <c r="Y190" s="61">
        <f t="shared" si="88"/>
        <v>0</v>
      </c>
    </row>
    <row r="191" spans="1:28" x14ac:dyDescent="0.25">
      <c r="A191" s="128" t="str">
        <f>A$18</f>
        <v>beliers</v>
      </c>
      <c r="B191" s="61">
        <f t="shared" ref="B191:Y191" si="89">IF(B79=3,B152,0)</f>
        <v>0</v>
      </c>
      <c r="C191" s="61">
        <f t="shared" si="89"/>
        <v>0</v>
      </c>
      <c r="D191" s="61">
        <f t="shared" si="89"/>
        <v>0</v>
      </c>
      <c r="E191" s="61">
        <f t="shared" si="89"/>
        <v>0</v>
      </c>
      <c r="F191" s="61">
        <f t="shared" si="89"/>
        <v>0</v>
      </c>
      <c r="G191" s="61">
        <f t="shared" si="89"/>
        <v>0</v>
      </c>
      <c r="H191" s="61">
        <f t="shared" si="89"/>
        <v>0</v>
      </c>
      <c r="I191" s="61">
        <f t="shared" si="89"/>
        <v>0</v>
      </c>
      <c r="J191" s="61">
        <f t="shared" si="89"/>
        <v>0</v>
      </c>
      <c r="K191" s="61">
        <f t="shared" si="89"/>
        <v>0</v>
      </c>
      <c r="L191" s="61">
        <f t="shared" si="89"/>
        <v>0</v>
      </c>
      <c r="M191" s="61">
        <f t="shared" si="89"/>
        <v>0</v>
      </c>
      <c r="N191" s="61">
        <f t="shared" si="89"/>
        <v>0</v>
      </c>
      <c r="O191" s="61">
        <f t="shared" si="89"/>
        <v>0</v>
      </c>
      <c r="P191" s="61">
        <f t="shared" si="89"/>
        <v>0</v>
      </c>
      <c r="Q191" s="61">
        <f t="shared" si="89"/>
        <v>0</v>
      </c>
      <c r="R191" s="61">
        <f t="shared" si="89"/>
        <v>0</v>
      </c>
      <c r="S191" s="61">
        <f t="shared" si="89"/>
        <v>0</v>
      </c>
      <c r="T191" s="61">
        <f t="shared" si="89"/>
        <v>0</v>
      </c>
      <c r="U191" s="61">
        <f t="shared" si="89"/>
        <v>0</v>
      </c>
      <c r="V191" s="61">
        <f t="shared" si="89"/>
        <v>0</v>
      </c>
      <c r="W191" s="61">
        <f t="shared" si="89"/>
        <v>0</v>
      </c>
      <c r="X191" s="61">
        <f t="shared" si="89"/>
        <v>0</v>
      </c>
      <c r="Y191" s="61">
        <f t="shared" si="89"/>
        <v>0</v>
      </c>
    </row>
    <row r="192" spans="1:28" x14ac:dyDescent="0.25">
      <c r="A192" s="128" t="str">
        <f>A$19</f>
        <v>lot5</v>
      </c>
      <c r="B192" s="61">
        <f t="shared" ref="B192:Y192" si="90">IF(B80=3,B153,0)</f>
        <v>0</v>
      </c>
      <c r="C192" s="61">
        <f t="shared" si="90"/>
        <v>0</v>
      </c>
      <c r="D192" s="61">
        <f t="shared" si="90"/>
        <v>0</v>
      </c>
      <c r="E192" s="61">
        <f t="shared" si="90"/>
        <v>0</v>
      </c>
      <c r="F192" s="61">
        <f t="shared" si="90"/>
        <v>0</v>
      </c>
      <c r="G192" s="61">
        <f t="shared" si="90"/>
        <v>0</v>
      </c>
      <c r="H192" s="61">
        <f t="shared" si="90"/>
        <v>0</v>
      </c>
      <c r="I192" s="61">
        <f t="shared" si="90"/>
        <v>0</v>
      </c>
      <c r="J192" s="61">
        <f t="shared" si="90"/>
        <v>0</v>
      </c>
      <c r="K192" s="61">
        <f t="shared" si="90"/>
        <v>0</v>
      </c>
      <c r="L192" s="61">
        <f t="shared" si="90"/>
        <v>0</v>
      </c>
      <c r="M192" s="61">
        <f t="shared" si="90"/>
        <v>0</v>
      </c>
      <c r="N192" s="61">
        <f t="shared" si="90"/>
        <v>0</v>
      </c>
      <c r="O192" s="61">
        <f t="shared" si="90"/>
        <v>0</v>
      </c>
      <c r="P192" s="61">
        <f t="shared" si="90"/>
        <v>0</v>
      </c>
      <c r="Q192" s="61">
        <f t="shared" si="90"/>
        <v>0</v>
      </c>
      <c r="R192" s="61">
        <f t="shared" si="90"/>
        <v>0</v>
      </c>
      <c r="S192" s="61">
        <f t="shared" si="90"/>
        <v>0</v>
      </c>
      <c r="T192" s="61">
        <f t="shared" si="90"/>
        <v>0</v>
      </c>
      <c r="U192" s="61">
        <f t="shared" si="90"/>
        <v>0</v>
      </c>
      <c r="V192" s="61">
        <f t="shared" si="90"/>
        <v>0</v>
      </c>
      <c r="W192" s="61">
        <f t="shared" si="90"/>
        <v>0</v>
      </c>
      <c r="X192" s="61">
        <f t="shared" si="90"/>
        <v>0</v>
      </c>
      <c r="Y192" s="61">
        <f t="shared" si="90"/>
        <v>0</v>
      </c>
    </row>
    <row r="193" spans="1:28" x14ac:dyDescent="0.25">
      <c r="A193" s="128" t="str">
        <f>A$20</f>
        <v>lot6</v>
      </c>
      <c r="B193" s="61">
        <f t="shared" ref="B193:Y193" si="91">IF(B81=3,B154,0)</f>
        <v>0</v>
      </c>
      <c r="C193" s="61">
        <f t="shared" si="91"/>
        <v>0</v>
      </c>
      <c r="D193" s="61">
        <f t="shared" si="91"/>
        <v>0</v>
      </c>
      <c r="E193" s="61">
        <f t="shared" si="91"/>
        <v>0</v>
      </c>
      <c r="F193" s="61">
        <f t="shared" si="91"/>
        <v>0</v>
      </c>
      <c r="G193" s="61">
        <f t="shared" si="91"/>
        <v>0</v>
      </c>
      <c r="H193" s="61">
        <f t="shared" si="91"/>
        <v>0</v>
      </c>
      <c r="I193" s="61">
        <f t="shared" si="91"/>
        <v>0</v>
      </c>
      <c r="J193" s="61">
        <f t="shared" si="91"/>
        <v>0</v>
      </c>
      <c r="K193" s="61">
        <f t="shared" si="91"/>
        <v>0</v>
      </c>
      <c r="L193" s="61">
        <f t="shared" si="91"/>
        <v>0</v>
      </c>
      <c r="M193" s="61">
        <f t="shared" si="91"/>
        <v>0</v>
      </c>
      <c r="N193" s="61">
        <f t="shared" si="91"/>
        <v>0</v>
      </c>
      <c r="O193" s="61">
        <f t="shared" si="91"/>
        <v>0</v>
      </c>
      <c r="P193" s="61">
        <f t="shared" si="91"/>
        <v>0</v>
      </c>
      <c r="Q193" s="61">
        <f t="shared" si="91"/>
        <v>0</v>
      </c>
      <c r="R193" s="61">
        <f t="shared" si="91"/>
        <v>0</v>
      </c>
      <c r="S193" s="61">
        <f t="shared" si="91"/>
        <v>0</v>
      </c>
      <c r="T193" s="61">
        <f t="shared" si="91"/>
        <v>0</v>
      </c>
      <c r="U193" s="61">
        <f t="shared" si="91"/>
        <v>0</v>
      </c>
      <c r="V193" s="61">
        <f t="shared" si="91"/>
        <v>0</v>
      </c>
      <c r="W193" s="61">
        <f t="shared" si="91"/>
        <v>0</v>
      </c>
      <c r="X193" s="61">
        <f t="shared" si="91"/>
        <v>0</v>
      </c>
      <c r="Y193" s="61">
        <f t="shared" si="91"/>
        <v>0</v>
      </c>
    </row>
    <row r="194" spans="1:28" x14ac:dyDescent="0.25">
      <c r="A194" s="127" t="str">
        <f>A$21</f>
        <v>lot7</v>
      </c>
      <c r="B194" s="61">
        <f t="shared" ref="B194:Y194" si="92">IF(B82=3,B155,0)</f>
        <v>0</v>
      </c>
      <c r="C194" s="61">
        <f t="shared" si="92"/>
        <v>0</v>
      </c>
      <c r="D194" s="61">
        <f t="shared" si="92"/>
        <v>0</v>
      </c>
      <c r="E194" s="61">
        <f t="shared" si="92"/>
        <v>0</v>
      </c>
      <c r="F194" s="61">
        <f t="shared" si="92"/>
        <v>0</v>
      </c>
      <c r="G194" s="61">
        <f t="shared" si="92"/>
        <v>0</v>
      </c>
      <c r="H194" s="61">
        <f t="shared" si="92"/>
        <v>0</v>
      </c>
      <c r="I194" s="61">
        <f t="shared" si="92"/>
        <v>0</v>
      </c>
      <c r="J194" s="61">
        <f t="shared" si="92"/>
        <v>0</v>
      </c>
      <c r="K194" s="61">
        <f t="shared" si="92"/>
        <v>0</v>
      </c>
      <c r="L194" s="61">
        <f t="shared" si="92"/>
        <v>0</v>
      </c>
      <c r="M194" s="61">
        <f t="shared" si="92"/>
        <v>0</v>
      </c>
      <c r="N194" s="61">
        <f t="shared" si="92"/>
        <v>0</v>
      </c>
      <c r="O194" s="61">
        <f t="shared" si="92"/>
        <v>0</v>
      </c>
      <c r="P194" s="61">
        <f t="shared" si="92"/>
        <v>0</v>
      </c>
      <c r="Q194" s="61">
        <f t="shared" si="92"/>
        <v>0</v>
      </c>
      <c r="R194" s="61">
        <f t="shared" si="92"/>
        <v>0</v>
      </c>
      <c r="S194" s="61">
        <f t="shared" si="92"/>
        <v>0</v>
      </c>
      <c r="T194" s="61">
        <f t="shared" si="92"/>
        <v>0</v>
      </c>
      <c r="U194" s="61">
        <f t="shared" si="92"/>
        <v>0</v>
      </c>
      <c r="V194" s="61">
        <f t="shared" si="92"/>
        <v>0</v>
      </c>
      <c r="W194" s="61">
        <f t="shared" si="92"/>
        <v>0</v>
      </c>
      <c r="X194" s="61">
        <f t="shared" si="92"/>
        <v>0</v>
      </c>
      <c r="Y194" s="61">
        <f t="shared" si="92"/>
        <v>0</v>
      </c>
    </row>
    <row r="195" spans="1:28" x14ac:dyDescent="0.25">
      <c r="A195" s="128" t="str">
        <f>A$22</f>
        <v>lot8</v>
      </c>
      <c r="B195" s="61">
        <f t="shared" ref="B195:Y195" si="93">IF(B83=3,B156,0)</f>
        <v>0</v>
      </c>
      <c r="C195" s="61">
        <f t="shared" si="93"/>
        <v>0</v>
      </c>
      <c r="D195" s="61">
        <f t="shared" si="93"/>
        <v>0</v>
      </c>
      <c r="E195" s="61">
        <f t="shared" si="93"/>
        <v>0</v>
      </c>
      <c r="F195" s="61">
        <f t="shared" si="93"/>
        <v>0</v>
      </c>
      <c r="G195" s="61">
        <f t="shared" si="93"/>
        <v>0</v>
      </c>
      <c r="H195" s="61">
        <f t="shared" si="93"/>
        <v>0</v>
      </c>
      <c r="I195" s="61">
        <f t="shared" si="93"/>
        <v>0</v>
      </c>
      <c r="J195" s="61">
        <f t="shared" si="93"/>
        <v>0</v>
      </c>
      <c r="K195" s="61">
        <f t="shared" si="93"/>
        <v>0</v>
      </c>
      <c r="L195" s="61">
        <f t="shared" si="93"/>
        <v>0</v>
      </c>
      <c r="M195" s="61">
        <f t="shared" si="93"/>
        <v>0</v>
      </c>
      <c r="N195" s="61">
        <f t="shared" si="93"/>
        <v>0</v>
      </c>
      <c r="O195" s="61">
        <f t="shared" si="93"/>
        <v>0</v>
      </c>
      <c r="P195" s="61">
        <f t="shared" si="93"/>
        <v>0</v>
      </c>
      <c r="Q195" s="61">
        <f t="shared" si="93"/>
        <v>0</v>
      </c>
      <c r="R195" s="61">
        <f t="shared" si="93"/>
        <v>0</v>
      </c>
      <c r="S195" s="61">
        <f t="shared" si="93"/>
        <v>0</v>
      </c>
      <c r="T195" s="61">
        <f t="shared" si="93"/>
        <v>0</v>
      </c>
      <c r="U195" s="61">
        <f t="shared" si="93"/>
        <v>0</v>
      </c>
      <c r="V195" s="61">
        <f t="shared" si="93"/>
        <v>0</v>
      </c>
      <c r="W195" s="61">
        <f t="shared" si="93"/>
        <v>0</v>
      </c>
      <c r="X195" s="61">
        <f t="shared" si="93"/>
        <v>0</v>
      </c>
      <c r="Y195" s="61">
        <f t="shared" si="93"/>
        <v>0</v>
      </c>
    </row>
    <row r="196" spans="1:28" x14ac:dyDescent="0.25">
      <c r="A196" s="128" t="str">
        <f>A$23</f>
        <v>lot9</v>
      </c>
      <c r="B196" s="61">
        <f t="shared" ref="B196:Y196" si="94">IF(B84=3,B157,0)</f>
        <v>0</v>
      </c>
      <c r="C196" s="61">
        <f t="shared" si="94"/>
        <v>0</v>
      </c>
      <c r="D196" s="61">
        <f t="shared" si="94"/>
        <v>0</v>
      </c>
      <c r="E196" s="61">
        <f t="shared" si="94"/>
        <v>0</v>
      </c>
      <c r="F196" s="61">
        <f t="shared" si="94"/>
        <v>0</v>
      </c>
      <c r="G196" s="61">
        <f t="shared" si="94"/>
        <v>0</v>
      </c>
      <c r="H196" s="61">
        <f t="shared" si="94"/>
        <v>0</v>
      </c>
      <c r="I196" s="61">
        <f t="shared" si="94"/>
        <v>0</v>
      </c>
      <c r="J196" s="61">
        <f t="shared" si="94"/>
        <v>0</v>
      </c>
      <c r="K196" s="61">
        <f t="shared" si="94"/>
        <v>0</v>
      </c>
      <c r="L196" s="61">
        <f t="shared" si="94"/>
        <v>0</v>
      </c>
      <c r="M196" s="61">
        <f t="shared" si="94"/>
        <v>0</v>
      </c>
      <c r="N196" s="61">
        <f t="shared" si="94"/>
        <v>0</v>
      </c>
      <c r="O196" s="61">
        <f t="shared" si="94"/>
        <v>0</v>
      </c>
      <c r="P196" s="61">
        <f t="shared" si="94"/>
        <v>0</v>
      </c>
      <c r="Q196" s="61">
        <f t="shared" si="94"/>
        <v>0</v>
      </c>
      <c r="R196" s="61">
        <f t="shared" si="94"/>
        <v>0</v>
      </c>
      <c r="S196" s="61">
        <f t="shared" si="94"/>
        <v>0</v>
      </c>
      <c r="T196" s="61">
        <f t="shared" si="94"/>
        <v>0</v>
      </c>
      <c r="U196" s="61">
        <f t="shared" si="94"/>
        <v>0</v>
      </c>
      <c r="V196" s="61">
        <f t="shared" si="94"/>
        <v>0</v>
      </c>
      <c r="W196" s="61">
        <f t="shared" si="94"/>
        <v>0</v>
      </c>
      <c r="X196" s="61">
        <f t="shared" si="94"/>
        <v>0</v>
      </c>
      <c r="Y196" s="61">
        <f t="shared" si="94"/>
        <v>0</v>
      </c>
    </row>
    <row r="197" spans="1:28" x14ac:dyDescent="0.25">
      <c r="A197" s="128" t="str">
        <f>A$24</f>
        <v>lot10</v>
      </c>
      <c r="B197" s="61">
        <f t="shared" ref="B197:Y197" si="95">IF(B85=3,B158,0)</f>
        <v>0</v>
      </c>
      <c r="C197" s="61">
        <f t="shared" si="95"/>
        <v>0</v>
      </c>
      <c r="D197" s="61">
        <f t="shared" si="95"/>
        <v>0</v>
      </c>
      <c r="E197" s="61">
        <f t="shared" si="95"/>
        <v>0</v>
      </c>
      <c r="F197" s="61">
        <f t="shared" si="95"/>
        <v>0</v>
      </c>
      <c r="G197" s="61">
        <f t="shared" si="95"/>
        <v>0</v>
      </c>
      <c r="H197" s="61">
        <f t="shared" si="95"/>
        <v>0</v>
      </c>
      <c r="I197" s="61">
        <f t="shared" si="95"/>
        <v>0</v>
      </c>
      <c r="J197" s="61">
        <f t="shared" si="95"/>
        <v>0</v>
      </c>
      <c r="K197" s="61">
        <f t="shared" si="95"/>
        <v>0</v>
      </c>
      <c r="L197" s="61">
        <f t="shared" si="95"/>
        <v>0</v>
      </c>
      <c r="M197" s="61">
        <f t="shared" si="95"/>
        <v>0</v>
      </c>
      <c r="N197" s="61">
        <f t="shared" si="95"/>
        <v>0</v>
      </c>
      <c r="O197" s="61">
        <f t="shared" si="95"/>
        <v>0</v>
      </c>
      <c r="P197" s="61">
        <f t="shared" si="95"/>
        <v>0</v>
      </c>
      <c r="Q197" s="61">
        <f t="shared" si="95"/>
        <v>0</v>
      </c>
      <c r="R197" s="61">
        <f t="shared" si="95"/>
        <v>0</v>
      </c>
      <c r="S197" s="61">
        <f t="shared" si="95"/>
        <v>0</v>
      </c>
      <c r="T197" s="61">
        <f t="shared" si="95"/>
        <v>0</v>
      </c>
      <c r="U197" s="61">
        <f t="shared" si="95"/>
        <v>0</v>
      </c>
      <c r="V197" s="61">
        <f t="shared" si="95"/>
        <v>0</v>
      </c>
      <c r="W197" s="61">
        <f t="shared" si="95"/>
        <v>0</v>
      </c>
      <c r="X197" s="61">
        <f t="shared" si="95"/>
        <v>0</v>
      </c>
      <c r="Y197" s="61">
        <f t="shared" si="95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96">SUM(C188:C197)</f>
        <v>0</v>
      </c>
      <c r="D198" s="61">
        <f t="shared" si="96"/>
        <v>0</v>
      </c>
      <c r="E198" s="61">
        <f t="shared" si="96"/>
        <v>0</v>
      </c>
      <c r="F198" s="61">
        <f t="shared" si="96"/>
        <v>0.70843895652173916</v>
      </c>
      <c r="G198" s="61">
        <f t="shared" si="96"/>
        <v>0.70843895652173916</v>
      </c>
      <c r="H198" s="61">
        <f t="shared" si="96"/>
        <v>0.6855860869565219</v>
      </c>
      <c r="I198" s="61">
        <f t="shared" si="96"/>
        <v>0.6855860869565219</v>
      </c>
      <c r="J198" s="61">
        <f t="shared" si="96"/>
        <v>0.70843895652173916</v>
      </c>
      <c r="K198" s="61">
        <f t="shared" si="96"/>
        <v>0</v>
      </c>
      <c r="L198" s="61">
        <f t="shared" si="96"/>
        <v>0</v>
      </c>
      <c r="M198" s="61">
        <f t="shared" si="96"/>
        <v>0</v>
      </c>
      <c r="N198" s="61">
        <f t="shared" si="96"/>
        <v>0</v>
      </c>
      <c r="O198" s="61">
        <f t="shared" si="96"/>
        <v>0</v>
      </c>
      <c r="P198" s="61">
        <f t="shared" si="96"/>
        <v>0</v>
      </c>
      <c r="Q198" s="61">
        <f t="shared" si="96"/>
        <v>0</v>
      </c>
      <c r="R198" s="61">
        <f t="shared" si="96"/>
        <v>0</v>
      </c>
      <c r="S198" s="61">
        <f t="shared" si="96"/>
        <v>0</v>
      </c>
      <c r="T198" s="61">
        <f t="shared" si="96"/>
        <v>0</v>
      </c>
      <c r="U198" s="61">
        <f t="shared" si="96"/>
        <v>0.70843895652173916</v>
      </c>
      <c r="V198" s="61">
        <f t="shared" si="96"/>
        <v>0.6855860869565219</v>
      </c>
      <c r="W198" s="61">
        <f t="shared" si="96"/>
        <v>0.6855860869565219</v>
      </c>
      <c r="X198" s="61">
        <f t="shared" si="96"/>
        <v>0.70843895652173916</v>
      </c>
      <c r="Y198" s="61">
        <f t="shared" si="96"/>
        <v>0</v>
      </c>
      <c r="AA198" s="64">
        <f>SUM(B198:Y198)</f>
        <v>6.2845391304347835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brebis</v>
      </c>
      <c r="B201" s="61">
        <f>IF(B76&gt;=4,B149,0)</f>
        <v>0</v>
      </c>
      <c r="C201" s="61">
        <f t="shared" ref="C201:Y201" si="97">IF(C76&gt;=4,C149,0)</f>
        <v>0</v>
      </c>
      <c r="D201" s="61">
        <f t="shared" si="97"/>
        <v>0</v>
      </c>
      <c r="E201" s="61">
        <f t="shared" si="97"/>
        <v>0</v>
      </c>
      <c r="F201" s="61">
        <f t="shared" si="97"/>
        <v>0</v>
      </c>
      <c r="G201" s="61">
        <f t="shared" si="97"/>
        <v>0</v>
      </c>
      <c r="H201" s="61">
        <f t="shared" si="97"/>
        <v>0</v>
      </c>
      <c r="I201" s="61">
        <f t="shared" si="97"/>
        <v>0</v>
      </c>
      <c r="J201" s="61">
        <f t="shared" si="97"/>
        <v>0</v>
      </c>
      <c r="K201" s="61">
        <f t="shared" si="97"/>
        <v>0</v>
      </c>
      <c r="L201" s="61">
        <f t="shared" si="97"/>
        <v>0</v>
      </c>
      <c r="M201" s="61">
        <f t="shared" si="97"/>
        <v>5.3945077565217394</v>
      </c>
      <c r="N201" s="61">
        <f t="shared" si="97"/>
        <v>5.5743246817391308</v>
      </c>
      <c r="O201" s="61">
        <f t="shared" si="97"/>
        <v>5.5743246817391308</v>
      </c>
      <c r="P201" s="61">
        <f t="shared" si="97"/>
        <v>5.5743246817391308</v>
      </c>
      <c r="Q201" s="61">
        <f t="shared" si="97"/>
        <v>5.5743246817391308</v>
      </c>
      <c r="R201" s="61">
        <f t="shared" si="97"/>
        <v>5.3945077565217394</v>
      </c>
      <c r="S201" s="61">
        <f t="shared" si="97"/>
        <v>5.3945077565217394</v>
      </c>
      <c r="T201" s="61">
        <f t="shared" si="97"/>
        <v>0</v>
      </c>
      <c r="U201" s="61">
        <f t="shared" si="97"/>
        <v>0</v>
      </c>
      <c r="V201" s="61">
        <f t="shared" si="97"/>
        <v>0</v>
      </c>
      <c r="W201" s="61">
        <f t="shared" si="97"/>
        <v>0</v>
      </c>
      <c r="X201" s="61">
        <f t="shared" si="97"/>
        <v>0</v>
      </c>
      <c r="Y201" s="61">
        <f t="shared" si="97"/>
        <v>0</v>
      </c>
    </row>
    <row r="202" spans="1:28" x14ac:dyDescent="0.25">
      <c r="A202" s="128" t="str">
        <f>A$16</f>
        <v>vides</v>
      </c>
      <c r="B202" s="61">
        <f t="shared" ref="B202:Y202" si="98">IF(B77&gt;=4,B150,0)</f>
        <v>0</v>
      </c>
      <c r="C202" s="61">
        <f t="shared" si="98"/>
        <v>0</v>
      </c>
      <c r="D202" s="61">
        <f t="shared" si="98"/>
        <v>0</v>
      </c>
      <c r="E202" s="61">
        <f t="shared" si="98"/>
        <v>0</v>
      </c>
      <c r="F202" s="61">
        <f t="shared" si="98"/>
        <v>0</v>
      </c>
      <c r="G202" s="61">
        <f t="shared" si="98"/>
        <v>0</v>
      </c>
      <c r="H202" s="61">
        <f t="shared" si="98"/>
        <v>0</v>
      </c>
      <c r="I202" s="61">
        <f t="shared" si="98"/>
        <v>0</v>
      </c>
      <c r="J202" s="61">
        <f t="shared" si="98"/>
        <v>0</v>
      </c>
      <c r="K202" s="61">
        <f t="shared" si="98"/>
        <v>0</v>
      </c>
      <c r="L202" s="61">
        <f t="shared" si="98"/>
        <v>0</v>
      </c>
      <c r="M202" s="61">
        <f t="shared" si="98"/>
        <v>0</v>
      </c>
      <c r="N202" s="61">
        <f t="shared" si="98"/>
        <v>0</v>
      </c>
      <c r="O202" s="61">
        <f t="shared" si="98"/>
        <v>0</v>
      </c>
      <c r="P202" s="61">
        <f t="shared" si="98"/>
        <v>0</v>
      </c>
      <c r="Q202" s="61">
        <f t="shared" si="98"/>
        <v>0</v>
      </c>
      <c r="R202" s="61">
        <f t="shared" si="98"/>
        <v>0</v>
      </c>
      <c r="S202" s="61">
        <f t="shared" si="98"/>
        <v>0</v>
      </c>
      <c r="T202" s="61">
        <f t="shared" si="98"/>
        <v>0</v>
      </c>
      <c r="U202" s="61">
        <f t="shared" si="98"/>
        <v>0</v>
      </c>
      <c r="V202" s="61">
        <f t="shared" si="98"/>
        <v>0</v>
      </c>
      <c r="W202" s="61">
        <f t="shared" si="98"/>
        <v>0</v>
      </c>
      <c r="X202" s="61">
        <f t="shared" si="98"/>
        <v>0</v>
      </c>
      <c r="Y202" s="61">
        <f t="shared" si="98"/>
        <v>0</v>
      </c>
    </row>
    <row r="203" spans="1:28" x14ac:dyDescent="0.25">
      <c r="A203" s="127" t="str">
        <f>A$17</f>
        <v>agnelles</v>
      </c>
      <c r="B203" s="61">
        <f t="shared" ref="B203:Y203" si="99">IF(B78&gt;=4,B151,0)</f>
        <v>0</v>
      </c>
      <c r="C203" s="61">
        <f t="shared" si="99"/>
        <v>0</v>
      </c>
      <c r="D203" s="61">
        <f t="shared" si="99"/>
        <v>0</v>
      </c>
      <c r="E203" s="61">
        <f t="shared" si="99"/>
        <v>0</v>
      </c>
      <c r="F203" s="61">
        <f t="shared" si="99"/>
        <v>0</v>
      </c>
      <c r="G203" s="61">
        <f t="shared" si="99"/>
        <v>0</v>
      </c>
      <c r="H203" s="61">
        <f t="shared" si="99"/>
        <v>0</v>
      </c>
      <c r="I203" s="61">
        <f t="shared" si="99"/>
        <v>0</v>
      </c>
      <c r="J203" s="61">
        <f t="shared" si="99"/>
        <v>0</v>
      </c>
      <c r="K203" s="61">
        <f t="shared" si="99"/>
        <v>0</v>
      </c>
      <c r="L203" s="61">
        <f t="shared" si="99"/>
        <v>0</v>
      </c>
      <c r="M203" s="61">
        <f t="shared" si="99"/>
        <v>0</v>
      </c>
      <c r="N203" s="61">
        <f t="shared" si="99"/>
        <v>0</v>
      </c>
      <c r="O203" s="61">
        <f t="shared" si="99"/>
        <v>0</v>
      </c>
      <c r="P203" s="61">
        <f t="shared" si="99"/>
        <v>0</v>
      </c>
      <c r="Q203" s="61">
        <f t="shared" si="99"/>
        <v>0</v>
      </c>
      <c r="R203" s="61">
        <f t="shared" si="99"/>
        <v>0</v>
      </c>
      <c r="S203" s="61">
        <f t="shared" si="99"/>
        <v>0</v>
      </c>
      <c r="T203" s="61">
        <f t="shared" si="99"/>
        <v>0</v>
      </c>
      <c r="U203" s="61">
        <f t="shared" si="99"/>
        <v>0</v>
      </c>
      <c r="V203" s="61">
        <f t="shared" si="99"/>
        <v>0</v>
      </c>
      <c r="W203" s="61">
        <f t="shared" si="99"/>
        <v>0</v>
      </c>
      <c r="X203" s="61">
        <f t="shared" si="99"/>
        <v>0</v>
      </c>
      <c r="Y203" s="61">
        <f t="shared" si="99"/>
        <v>0</v>
      </c>
    </row>
    <row r="204" spans="1:28" x14ac:dyDescent="0.25">
      <c r="A204" s="128" t="str">
        <f>A$18</f>
        <v>beliers</v>
      </c>
      <c r="B204" s="61">
        <f t="shared" ref="B204:Y204" si="100">IF(B79&gt;=4,B152,0)</f>
        <v>0</v>
      </c>
      <c r="C204" s="61">
        <f t="shared" si="100"/>
        <v>0</v>
      </c>
      <c r="D204" s="61">
        <f t="shared" si="100"/>
        <v>0</v>
      </c>
      <c r="E204" s="61">
        <f t="shared" si="100"/>
        <v>0</v>
      </c>
      <c r="F204" s="61">
        <f t="shared" si="100"/>
        <v>0</v>
      </c>
      <c r="G204" s="61">
        <f t="shared" si="100"/>
        <v>0</v>
      </c>
      <c r="H204" s="61">
        <f t="shared" si="100"/>
        <v>0</v>
      </c>
      <c r="I204" s="61">
        <f t="shared" si="100"/>
        <v>0</v>
      </c>
      <c r="J204" s="61">
        <f t="shared" si="100"/>
        <v>0</v>
      </c>
      <c r="K204" s="61">
        <f t="shared" si="100"/>
        <v>0</v>
      </c>
      <c r="L204" s="61">
        <f t="shared" si="100"/>
        <v>0</v>
      </c>
      <c r="M204" s="61">
        <f t="shared" si="100"/>
        <v>0</v>
      </c>
      <c r="N204" s="61">
        <f t="shared" si="100"/>
        <v>0</v>
      </c>
      <c r="O204" s="61">
        <f t="shared" si="100"/>
        <v>0</v>
      </c>
      <c r="P204" s="61">
        <f t="shared" si="100"/>
        <v>0</v>
      </c>
      <c r="Q204" s="61">
        <f t="shared" si="100"/>
        <v>0</v>
      </c>
      <c r="R204" s="61">
        <f t="shared" si="100"/>
        <v>0</v>
      </c>
      <c r="S204" s="61">
        <f t="shared" si="100"/>
        <v>0</v>
      </c>
      <c r="T204" s="61">
        <f t="shared" si="100"/>
        <v>0</v>
      </c>
      <c r="U204" s="61">
        <f t="shared" si="100"/>
        <v>0</v>
      </c>
      <c r="V204" s="61">
        <f t="shared" si="100"/>
        <v>0</v>
      </c>
      <c r="W204" s="61">
        <f t="shared" si="100"/>
        <v>0</v>
      </c>
      <c r="X204" s="61">
        <f t="shared" si="100"/>
        <v>0</v>
      </c>
      <c r="Y204" s="61">
        <f t="shared" si="100"/>
        <v>0</v>
      </c>
    </row>
    <row r="205" spans="1:28" x14ac:dyDescent="0.25">
      <c r="A205" s="128" t="str">
        <f>A$19</f>
        <v>lot5</v>
      </c>
      <c r="B205" s="61">
        <f t="shared" ref="B205:Y205" si="101">IF(B80&gt;=4,B153,0)</f>
        <v>0</v>
      </c>
      <c r="C205" s="61">
        <f t="shared" si="101"/>
        <v>0</v>
      </c>
      <c r="D205" s="61">
        <f t="shared" si="101"/>
        <v>0</v>
      </c>
      <c r="E205" s="61">
        <f t="shared" si="101"/>
        <v>0</v>
      </c>
      <c r="F205" s="61">
        <f t="shared" si="101"/>
        <v>0</v>
      </c>
      <c r="G205" s="61">
        <f t="shared" si="101"/>
        <v>0</v>
      </c>
      <c r="H205" s="61">
        <f t="shared" si="101"/>
        <v>0</v>
      </c>
      <c r="I205" s="61">
        <f t="shared" si="101"/>
        <v>0</v>
      </c>
      <c r="J205" s="61">
        <f t="shared" si="101"/>
        <v>0</v>
      </c>
      <c r="K205" s="61">
        <f t="shared" si="101"/>
        <v>0</v>
      </c>
      <c r="L205" s="61">
        <f t="shared" si="101"/>
        <v>0</v>
      </c>
      <c r="M205" s="61">
        <f t="shared" si="101"/>
        <v>0</v>
      </c>
      <c r="N205" s="61">
        <f t="shared" si="101"/>
        <v>0</v>
      </c>
      <c r="O205" s="61">
        <f t="shared" si="101"/>
        <v>0</v>
      </c>
      <c r="P205" s="61">
        <f t="shared" si="101"/>
        <v>0</v>
      </c>
      <c r="Q205" s="61">
        <f t="shared" si="101"/>
        <v>0</v>
      </c>
      <c r="R205" s="61">
        <f t="shared" si="101"/>
        <v>0</v>
      </c>
      <c r="S205" s="61">
        <f t="shared" si="101"/>
        <v>0</v>
      </c>
      <c r="T205" s="61">
        <f t="shared" si="101"/>
        <v>0</v>
      </c>
      <c r="U205" s="61">
        <f t="shared" si="101"/>
        <v>0</v>
      </c>
      <c r="V205" s="61">
        <f t="shared" si="101"/>
        <v>0</v>
      </c>
      <c r="W205" s="61">
        <f t="shared" si="101"/>
        <v>0</v>
      </c>
      <c r="X205" s="61">
        <f t="shared" si="101"/>
        <v>0</v>
      </c>
      <c r="Y205" s="61">
        <f t="shared" si="101"/>
        <v>0</v>
      </c>
    </row>
    <row r="206" spans="1:28" x14ac:dyDescent="0.25">
      <c r="A206" s="128" t="str">
        <f>A$20</f>
        <v>lot6</v>
      </c>
      <c r="B206" s="61">
        <f t="shared" ref="B206:Y206" si="102">IF(B81&gt;=4,B154,0)</f>
        <v>0</v>
      </c>
      <c r="C206" s="61">
        <f t="shared" si="102"/>
        <v>0</v>
      </c>
      <c r="D206" s="61">
        <f t="shared" si="102"/>
        <v>0</v>
      </c>
      <c r="E206" s="61">
        <f t="shared" si="102"/>
        <v>0</v>
      </c>
      <c r="F206" s="61">
        <f t="shared" si="102"/>
        <v>0</v>
      </c>
      <c r="G206" s="61">
        <f t="shared" si="102"/>
        <v>0</v>
      </c>
      <c r="H206" s="61">
        <f t="shared" si="102"/>
        <v>0</v>
      </c>
      <c r="I206" s="61">
        <f t="shared" si="102"/>
        <v>0</v>
      </c>
      <c r="J206" s="61">
        <f t="shared" si="102"/>
        <v>0</v>
      </c>
      <c r="K206" s="61">
        <f t="shared" si="102"/>
        <v>0</v>
      </c>
      <c r="L206" s="61">
        <f t="shared" si="102"/>
        <v>0</v>
      </c>
      <c r="M206" s="61">
        <f t="shared" si="102"/>
        <v>0</v>
      </c>
      <c r="N206" s="61">
        <f t="shared" si="102"/>
        <v>0</v>
      </c>
      <c r="O206" s="61">
        <f t="shared" si="102"/>
        <v>0</v>
      </c>
      <c r="P206" s="61">
        <f t="shared" si="102"/>
        <v>0</v>
      </c>
      <c r="Q206" s="61">
        <f t="shared" si="102"/>
        <v>0</v>
      </c>
      <c r="R206" s="61">
        <f t="shared" si="102"/>
        <v>0</v>
      </c>
      <c r="S206" s="61">
        <f t="shared" si="102"/>
        <v>0</v>
      </c>
      <c r="T206" s="61">
        <f t="shared" si="102"/>
        <v>0</v>
      </c>
      <c r="U206" s="61">
        <f t="shared" si="102"/>
        <v>0</v>
      </c>
      <c r="V206" s="61">
        <f t="shared" si="102"/>
        <v>0</v>
      </c>
      <c r="W206" s="61">
        <f t="shared" si="102"/>
        <v>0</v>
      </c>
      <c r="X206" s="61">
        <f t="shared" si="102"/>
        <v>0</v>
      </c>
      <c r="Y206" s="61">
        <f t="shared" si="102"/>
        <v>0</v>
      </c>
    </row>
    <row r="207" spans="1:28" x14ac:dyDescent="0.25">
      <c r="A207" s="127" t="str">
        <f>A$21</f>
        <v>lot7</v>
      </c>
      <c r="B207" s="61">
        <f t="shared" ref="B207:Y207" si="103">IF(B82&gt;=4,B155,0)</f>
        <v>0</v>
      </c>
      <c r="C207" s="61">
        <f t="shared" si="103"/>
        <v>0</v>
      </c>
      <c r="D207" s="61">
        <f t="shared" si="103"/>
        <v>0</v>
      </c>
      <c r="E207" s="61">
        <f t="shared" si="103"/>
        <v>0</v>
      </c>
      <c r="F207" s="61">
        <f t="shared" si="103"/>
        <v>0</v>
      </c>
      <c r="G207" s="61">
        <f t="shared" si="103"/>
        <v>0</v>
      </c>
      <c r="H207" s="61">
        <f t="shared" si="103"/>
        <v>0</v>
      </c>
      <c r="I207" s="61">
        <f t="shared" si="103"/>
        <v>0</v>
      </c>
      <c r="J207" s="61">
        <f t="shared" si="103"/>
        <v>0</v>
      </c>
      <c r="K207" s="61">
        <f t="shared" si="103"/>
        <v>0</v>
      </c>
      <c r="L207" s="61">
        <f t="shared" si="103"/>
        <v>0</v>
      </c>
      <c r="M207" s="61">
        <f t="shared" si="103"/>
        <v>0</v>
      </c>
      <c r="N207" s="61">
        <f t="shared" si="103"/>
        <v>0</v>
      </c>
      <c r="O207" s="61">
        <f t="shared" si="103"/>
        <v>0</v>
      </c>
      <c r="P207" s="61">
        <f t="shared" si="103"/>
        <v>0</v>
      </c>
      <c r="Q207" s="61">
        <f t="shared" si="103"/>
        <v>0</v>
      </c>
      <c r="R207" s="61">
        <f t="shared" si="103"/>
        <v>0</v>
      </c>
      <c r="S207" s="61">
        <f t="shared" si="103"/>
        <v>0</v>
      </c>
      <c r="T207" s="61">
        <f t="shared" si="103"/>
        <v>0</v>
      </c>
      <c r="U207" s="61">
        <f t="shared" si="103"/>
        <v>0</v>
      </c>
      <c r="V207" s="61">
        <f t="shared" si="103"/>
        <v>0</v>
      </c>
      <c r="W207" s="61">
        <f t="shared" si="103"/>
        <v>0</v>
      </c>
      <c r="X207" s="61">
        <f t="shared" si="103"/>
        <v>0</v>
      </c>
      <c r="Y207" s="61">
        <f t="shared" si="103"/>
        <v>0</v>
      </c>
    </row>
    <row r="208" spans="1:28" x14ac:dyDescent="0.25">
      <c r="A208" s="128" t="str">
        <f>A$22</f>
        <v>lot8</v>
      </c>
      <c r="B208" s="61">
        <f t="shared" ref="B208:Y208" si="104">IF(B83&gt;=4,B156,0)</f>
        <v>0</v>
      </c>
      <c r="C208" s="61">
        <f t="shared" si="104"/>
        <v>0</v>
      </c>
      <c r="D208" s="61">
        <f t="shared" si="104"/>
        <v>0</v>
      </c>
      <c r="E208" s="61">
        <f t="shared" si="104"/>
        <v>0</v>
      </c>
      <c r="F208" s="61">
        <f t="shared" si="104"/>
        <v>0</v>
      </c>
      <c r="G208" s="61">
        <f t="shared" si="104"/>
        <v>0</v>
      </c>
      <c r="H208" s="61">
        <f t="shared" si="104"/>
        <v>0</v>
      </c>
      <c r="I208" s="61">
        <f t="shared" si="104"/>
        <v>0</v>
      </c>
      <c r="J208" s="61">
        <f t="shared" si="104"/>
        <v>0</v>
      </c>
      <c r="K208" s="61">
        <f t="shared" si="104"/>
        <v>0</v>
      </c>
      <c r="L208" s="61">
        <f t="shared" si="104"/>
        <v>0</v>
      </c>
      <c r="M208" s="61">
        <f t="shared" si="104"/>
        <v>0</v>
      </c>
      <c r="N208" s="61">
        <f t="shared" si="104"/>
        <v>0</v>
      </c>
      <c r="O208" s="61">
        <f t="shared" si="104"/>
        <v>0</v>
      </c>
      <c r="P208" s="61">
        <f t="shared" si="104"/>
        <v>0</v>
      </c>
      <c r="Q208" s="61">
        <f t="shared" si="104"/>
        <v>0</v>
      </c>
      <c r="R208" s="61">
        <f t="shared" si="104"/>
        <v>0</v>
      </c>
      <c r="S208" s="61">
        <f t="shared" si="104"/>
        <v>0</v>
      </c>
      <c r="T208" s="61">
        <f t="shared" si="104"/>
        <v>0</v>
      </c>
      <c r="U208" s="61">
        <f t="shared" si="104"/>
        <v>0</v>
      </c>
      <c r="V208" s="61">
        <f t="shared" si="104"/>
        <v>0</v>
      </c>
      <c r="W208" s="61">
        <f t="shared" si="104"/>
        <v>0</v>
      </c>
      <c r="X208" s="61">
        <f t="shared" si="104"/>
        <v>0</v>
      </c>
      <c r="Y208" s="61">
        <f t="shared" si="104"/>
        <v>0</v>
      </c>
    </row>
    <row r="209" spans="1:28" x14ac:dyDescent="0.25">
      <c r="A209" s="128" t="str">
        <f>A$23</f>
        <v>lot9</v>
      </c>
      <c r="B209" s="61">
        <f t="shared" ref="B209:Y209" si="105">IF(B84&gt;=4,B157,0)</f>
        <v>0</v>
      </c>
      <c r="C209" s="61">
        <f t="shared" si="105"/>
        <v>0</v>
      </c>
      <c r="D209" s="61">
        <f t="shared" si="105"/>
        <v>0</v>
      </c>
      <c r="E209" s="61">
        <f t="shared" si="105"/>
        <v>0</v>
      </c>
      <c r="F209" s="61">
        <f t="shared" si="105"/>
        <v>0</v>
      </c>
      <c r="G209" s="61">
        <f t="shared" si="105"/>
        <v>0</v>
      </c>
      <c r="H209" s="61">
        <f t="shared" si="105"/>
        <v>0</v>
      </c>
      <c r="I209" s="61">
        <f t="shared" si="105"/>
        <v>0</v>
      </c>
      <c r="J209" s="61">
        <f t="shared" si="105"/>
        <v>0</v>
      </c>
      <c r="K209" s="61">
        <f t="shared" si="105"/>
        <v>0</v>
      </c>
      <c r="L209" s="61">
        <f t="shared" si="105"/>
        <v>0</v>
      </c>
      <c r="M209" s="61">
        <f t="shared" si="105"/>
        <v>0</v>
      </c>
      <c r="N209" s="61">
        <f t="shared" si="105"/>
        <v>0</v>
      </c>
      <c r="O209" s="61">
        <f t="shared" si="105"/>
        <v>0</v>
      </c>
      <c r="P209" s="61">
        <f t="shared" si="105"/>
        <v>0</v>
      </c>
      <c r="Q209" s="61">
        <f t="shared" si="105"/>
        <v>0</v>
      </c>
      <c r="R209" s="61">
        <f t="shared" si="105"/>
        <v>0</v>
      </c>
      <c r="S209" s="61">
        <f t="shared" si="105"/>
        <v>0</v>
      </c>
      <c r="T209" s="61">
        <f t="shared" si="105"/>
        <v>0</v>
      </c>
      <c r="U209" s="61">
        <f t="shared" si="105"/>
        <v>0</v>
      </c>
      <c r="V209" s="61">
        <f t="shared" si="105"/>
        <v>0</v>
      </c>
      <c r="W209" s="61">
        <f t="shared" si="105"/>
        <v>0</v>
      </c>
      <c r="X209" s="61">
        <f t="shared" si="105"/>
        <v>0</v>
      </c>
      <c r="Y209" s="61">
        <f t="shared" si="105"/>
        <v>0</v>
      </c>
    </row>
    <row r="210" spans="1:28" x14ac:dyDescent="0.25">
      <c r="A210" s="128" t="str">
        <f>A$24</f>
        <v>lot10</v>
      </c>
      <c r="B210" s="61">
        <f t="shared" ref="B210:Y210" si="106">IF(B85&gt;=4,B158,0)</f>
        <v>0</v>
      </c>
      <c r="C210" s="61">
        <f t="shared" si="106"/>
        <v>0</v>
      </c>
      <c r="D210" s="61">
        <f t="shared" si="106"/>
        <v>0</v>
      </c>
      <c r="E210" s="61">
        <f t="shared" si="106"/>
        <v>0</v>
      </c>
      <c r="F210" s="61">
        <f t="shared" si="106"/>
        <v>0</v>
      </c>
      <c r="G210" s="61">
        <f t="shared" si="106"/>
        <v>0</v>
      </c>
      <c r="H210" s="61">
        <f t="shared" si="106"/>
        <v>0</v>
      </c>
      <c r="I210" s="61">
        <f t="shared" si="106"/>
        <v>0</v>
      </c>
      <c r="J210" s="61">
        <f t="shared" si="106"/>
        <v>0</v>
      </c>
      <c r="K210" s="61">
        <f t="shared" si="106"/>
        <v>0</v>
      </c>
      <c r="L210" s="61">
        <f t="shared" si="106"/>
        <v>0</v>
      </c>
      <c r="M210" s="61">
        <f t="shared" si="106"/>
        <v>0</v>
      </c>
      <c r="N210" s="61">
        <f t="shared" si="106"/>
        <v>0</v>
      </c>
      <c r="O210" s="61">
        <f t="shared" si="106"/>
        <v>0</v>
      </c>
      <c r="P210" s="61">
        <f t="shared" si="106"/>
        <v>0</v>
      </c>
      <c r="Q210" s="61">
        <f t="shared" si="106"/>
        <v>0</v>
      </c>
      <c r="R210" s="61">
        <f t="shared" si="106"/>
        <v>0</v>
      </c>
      <c r="S210" s="61">
        <f t="shared" si="106"/>
        <v>0</v>
      </c>
      <c r="T210" s="61">
        <f t="shared" si="106"/>
        <v>0</v>
      </c>
      <c r="U210" s="61">
        <f t="shared" si="106"/>
        <v>0</v>
      </c>
      <c r="V210" s="61">
        <f t="shared" si="106"/>
        <v>0</v>
      </c>
      <c r="W210" s="61">
        <f t="shared" si="106"/>
        <v>0</v>
      </c>
      <c r="X210" s="61">
        <f t="shared" si="106"/>
        <v>0</v>
      </c>
      <c r="Y210" s="61">
        <f t="shared" si="106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107">SUM(C201:C210)</f>
        <v>0</v>
      </c>
      <c r="D211" s="61">
        <f t="shared" si="107"/>
        <v>0</v>
      </c>
      <c r="E211" s="61">
        <f t="shared" si="107"/>
        <v>0</v>
      </c>
      <c r="F211" s="61">
        <f t="shared" si="107"/>
        <v>0</v>
      </c>
      <c r="G211" s="61">
        <f t="shared" si="107"/>
        <v>0</v>
      </c>
      <c r="H211" s="61">
        <f t="shared" si="107"/>
        <v>0</v>
      </c>
      <c r="I211" s="61">
        <f t="shared" si="107"/>
        <v>0</v>
      </c>
      <c r="J211" s="61">
        <f t="shared" si="107"/>
        <v>0</v>
      </c>
      <c r="K211" s="61">
        <f t="shared" si="107"/>
        <v>0</v>
      </c>
      <c r="L211" s="61">
        <f t="shared" si="107"/>
        <v>0</v>
      </c>
      <c r="M211" s="61">
        <f t="shared" si="107"/>
        <v>5.3945077565217394</v>
      </c>
      <c r="N211" s="61">
        <f t="shared" si="107"/>
        <v>5.5743246817391308</v>
      </c>
      <c r="O211" s="61">
        <f t="shared" si="107"/>
        <v>5.5743246817391308</v>
      </c>
      <c r="P211" s="61">
        <f t="shared" si="107"/>
        <v>5.5743246817391308</v>
      </c>
      <c r="Q211" s="61">
        <f t="shared" si="107"/>
        <v>5.5743246817391308</v>
      </c>
      <c r="R211" s="61">
        <f t="shared" si="107"/>
        <v>5.3945077565217394</v>
      </c>
      <c r="S211" s="61">
        <f t="shared" si="107"/>
        <v>5.3945077565217394</v>
      </c>
      <c r="T211" s="61">
        <f t="shared" si="107"/>
        <v>0</v>
      </c>
      <c r="U211" s="61">
        <f t="shared" si="107"/>
        <v>0</v>
      </c>
      <c r="V211" s="61">
        <f t="shared" si="107"/>
        <v>0</v>
      </c>
      <c r="W211" s="61">
        <f t="shared" si="107"/>
        <v>0</v>
      </c>
      <c r="X211" s="61">
        <f t="shared" si="107"/>
        <v>0</v>
      </c>
      <c r="Y211" s="61">
        <f t="shared" si="107"/>
        <v>0</v>
      </c>
      <c r="AA211" s="64">
        <f>SUM(B211:Y211)</f>
        <v>38.48082199652174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108">C172</f>
        <v>0</v>
      </c>
      <c r="D215" s="61">
        <f t="shared" si="108"/>
        <v>0.35025029565217397</v>
      </c>
      <c r="E215" s="61">
        <f t="shared" si="108"/>
        <v>0.35025029565217397</v>
      </c>
      <c r="F215" s="61">
        <f t="shared" si="108"/>
        <v>0.38777711304347828</v>
      </c>
      <c r="G215" s="61">
        <f t="shared" si="108"/>
        <v>5.7650353015652183</v>
      </c>
      <c r="H215" s="61">
        <f t="shared" si="108"/>
        <v>5.5521037356521763</v>
      </c>
      <c r="I215" s="61">
        <f t="shared" si="108"/>
        <v>5.5251410504347831</v>
      </c>
      <c r="J215" s="61">
        <f t="shared" si="108"/>
        <v>6.3471139881739145</v>
      </c>
      <c r="K215" s="61">
        <f t="shared" si="108"/>
        <v>5.4289025280000009</v>
      </c>
      <c r="L215" s="61">
        <f t="shared" si="108"/>
        <v>5.2537766400000008</v>
      </c>
      <c r="M215" s="61">
        <f t="shared" si="108"/>
        <v>0.93817043478260886</v>
      </c>
      <c r="N215" s="61">
        <f t="shared" si="108"/>
        <v>0.96944278260869587</v>
      </c>
      <c r="O215" s="61">
        <f t="shared" si="108"/>
        <v>0.96944278260869587</v>
      </c>
      <c r="P215" s="61">
        <f t="shared" si="108"/>
        <v>0.96944278260869587</v>
      </c>
      <c r="Q215" s="61">
        <f t="shared" si="108"/>
        <v>0.96944278260869587</v>
      </c>
      <c r="R215" s="61">
        <f t="shared" si="108"/>
        <v>0.93817043478260886</v>
      </c>
      <c r="S215" s="61">
        <f t="shared" si="108"/>
        <v>0.93817043478260886</v>
      </c>
      <c r="T215" s="61">
        <f t="shared" si="108"/>
        <v>1.7648674307478269</v>
      </c>
      <c r="U215" s="61">
        <f t="shared" si="108"/>
        <v>2.8558665787826092</v>
      </c>
      <c r="V215" s="61">
        <f t="shared" si="108"/>
        <v>0</v>
      </c>
      <c r="W215" s="61">
        <f t="shared" si="108"/>
        <v>0</v>
      </c>
      <c r="X215" s="61">
        <f t="shared" si="108"/>
        <v>0</v>
      </c>
      <c r="Y215" s="61">
        <f t="shared" si="108"/>
        <v>0</v>
      </c>
    </row>
    <row r="216" spans="1:28" x14ac:dyDescent="0.25">
      <c r="A216" s="38" t="s">
        <v>218</v>
      </c>
      <c r="B216" s="61">
        <f>B185</f>
        <v>0.93215652173913055</v>
      </c>
      <c r="C216" s="61">
        <f t="shared" ref="C216:Y216" si="109">C185</f>
        <v>0.93215652173913055</v>
      </c>
      <c r="D216" s="61">
        <f t="shared" si="109"/>
        <v>0.84194782608695662</v>
      </c>
      <c r="E216" s="61">
        <f t="shared" si="109"/>
        <v>0.84194782608695662</v>
      </c>
      <c r="F216" s="61">
        <f t="shared" si="109"/>
        <v>0.22371756521739136</v>
      </c>
      <c r="G216" s="61">
        <f t="shared" si="109"/>
        <v>0.22371756521739136</v>
      </c>
      <c r="H216" s="61">
        <f t="shared" si="109"/>
        <v>0.21650086956521744</v>
      </c>
      <c r="I216" s="61">
        <f t="shared" si="109"/>
        <v>0.21650086956521744</v>
      </c>
      <c r="J216" s="61">
        <f t="shared" si="109"/>
        <v>0</v>
      </c>
      <c r="K216" s="61">
        <f t="shared" si="109"/>
        <v>0</v>
      </c>
      <c r="L216" s="61">
        <f t="shared" si="109"/>
        <v>0</v>
      </c>
      <c r="M216" s="61">
        <f t="shared" si="109"/>
        <v>0</v>
      </c>
      <c r="N216" s="61">
        <f t="shared" si="109"/>
        <v>0</v>
      </c>
      <c r="O216" s="61">
        <f t="shared" si="109"/>
        <v>0</v>
      </c>
      <c r="P216" s="61">
        <f t="shared" si="109"/>
        <v>0</v>
      </c>
      <c r="Q216" s="61">
        <f t="shared" si="109"/>
        <v>0</v>
      </c>
      <c r="R216" s="61">
        <f t="shared" si="109"/>
        <v>0</v>
      </c>
      <c r="S216" s="61">
        <f t="shared" si="109"/>
        <v>0</v>
      </c>
      <c r="T216" s="61">
        <f t="shared" si="109"/>
        <v>0</v>
      </c>
      <c r="U216" s="61">
        <f t="shared" si="109"/>
        <v>0.22371756521739136</v>
      </c>
      <c r="V216" s="61">
        <f t="shared" si="109"/>
        <v>0.21650086956521744</v>
      </c>
      <c r="W216" s="61">
        <f t="shared" si="109"/>
        <v>0.21650086956521744</v>
      </c>
      <c r="X216" s="61">
        <f t="shared" si="109"/>
        <v>0.22371756521739136</v>
      </c>
      <c r="Y216" s="61">
        <f t="shared" si="109"/>
        <v>0.93215652173913055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110">C198</f>
        <v>0</v>
      </c>
      <c r="D217" s="61">
        <f t="shared" si="110"/>
        <v>0</v>
      </c>
      <c r="E217" s="61">
        <f t="shared" si="110"/>
        <v>0</v>
      </c>
      <c r="F217" s="61">
        <f t="shared" si="110"/>
        <v>0.70843895652173916</v>
      </c>
      <c r="G217" s="61">
        <f t="shared" si="110"/>
        <v>0.70843895652173916</v>
      </c>
      <c r="H217" s="61">
        <f t="shared" si="110"/>
        <v>0.6855860869565219</v>
      </c>
      <c r="I217" s="61">
        <f t="shared" si="110"/>
        <v>0.6855860869565219</v>
      </c>
      <c r="J217" s="61">
        <f t="shared" si="110"/>
        <v>0.70843895652173916</v>
      </c>
      <c r="K217" s="61">
        <f t="shared" si="110"/>
        <v>0</v>
      </c>
      <c r="L217" s="61">
        <f t="shared" si="110"/>
        <v>0</v>
      </c>
      <c r="M217" s="61">
        <f t="shared" si="110"/>
        <v>0</v>
      </c>
      <c r="N217" s="61">
        <f t="shared" si="110"/>
        <v>0</v>
      </c>
      <c r="O217" s="61">
        <f t="shared" si="110"/>
        <v>0</v>
      </c>
      <c r="P217" s="61">
        <f t="shared" si="110"/>
        <v>0</v>
      </c>
      <c r="Q217" s="61">
        <f t="shared" si="110"/>
        <v>0</v>
      </c>
      <c r="R217" s="61">
        <f t="shared" si="110"/>
        <v>0</v>
      </c>
      <c r="S217" s="61">
        <f t="shared" si="110"/>
        <v>0</v>
      </c>
      <c r="T217" s="61">
        <f t="shared" si="110"/>
        <v>0</v>
      </c>
      <c r="U217" s="61">
        <f t="shared" si="110"/>
        <v>0.70843895652173916</v>
      </c>
      <c r="V217" s="61">
        <f t="shared" si="110"/>
        <v>0.6855860869565219</v>
      </c>
      <c r="W217" s="61">
        <f t="shared" si="110"/>
        <v>0.6855860869565219</v>
      </c>
      <c r="X217" s="61">
        <f t="shared" si="110"/>
        <v>0.70843895652173916</v>
      </c>
      <c r="Y217" s="61">
        <f t="shared" si="110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111">C211</f>
        <v>0</v>
      </c>
      <c r="D218" s="61">
        <f t="shared" si="111"/>
        <v>0</v>
      </c>
      <c r="E218" s="61">
        <f t="shared" si="111"/>
        <v>0</v>
      </c>
      <c r="F218" s="61">
        <f t="shared" si="111"/>
        <v>0</v>
      </c>
      <c r="G218" s="61">
        <f t="shared" si="111"/>
        <v>0</v>
      </c>
      <c r="H218" s="61">
        <f t="shared" si="111"/>
        <v>0</v>
      </c>
      <c r="I218" s="61">
        <f t="shared" si="111"/>
        <v>0</v>
      </c>
      <c r="J218" s="61">
        <f t="shared" si="111"/>
        <v>0</v>
      </c>
      <c r="K218" s="61">
        <f t="shared" si="111"/>
        <v>0</v>
      </c>
      <c r="L218" s="61">
        <f t="shared" si="111"/>
        <v>0</v>
      </c>
      <c r="M218" s="61">
        <f t="shared" si="111"/>
        <v>5.3945077565217394</v>
      </c>
      <c r="N218" s="61">
        <f t="shared" si="111"/>
        <v>5.5743246817391308</v>
      </c>
      <c r="O218" s="61">
        <f t="shared" si="111"/>
        <v>5.5743246817391308</v>
      </c>
      <c r="P218" s="61">
        <f t="shared" si="111"/>
        <v>5.5743246817391308</v>
      </c>
      <c r="Q218" s="61">
        <f t="shared" si="111"/>
        <v>5.5743246817391308</v>
      </c>
      <c r="R218" s="61">
        <f t="shared" si="111"/>
        <v>5.3945077565217394</v>
      </c>
      <c r="S218" s="61">
        <f t="shared" si="111"/>
        <v>5.3945077565217394</v>
      </c>
      <c r="T218" s="61">
        <f t="shared" si="111"/>
        <v>0</v>
      </c>
      <c r="U218" s="61">
        <f t="shared" si="111"/>
        <v>0</v>
      </c>
      <c r="V218" s="61">
        <f t="shared" si="111"/>
        <v>0</v>
      </c>
      <c r="W218" s="61">
        <f t="shared" si="111"/>
        <v>0</v>
      </c>
      <c r="X218" s="61">
        <f t="shared" si="111"/>
        <v>0</v>
      </c>
      <c r="Y218" s="61">
        <f t="shared" si="111"/>
        <v>0</v>
      </c>
    </row>
    <row r="219" spans="1:28" x14ac:dyDescent="0.25">
      <c r="AA219" s="30">
        <f>SUM(B215:Y218)</f>
        <v>97.279967475965179</v>
      </c>
      <c r="AB219" t="s">
        <v>222</v>
      </c>
    </row>
    <row r="220" spans="1:28" x14ac:dyDescent="0.25">
      <c r="AA220" s="30">
        <f>SUM(B215:Y217)</f>
        <v>58.799145479443467</v>
      </c>
      <c r="AB220" t="s">
        <v>223</v>
      </c>
    </row>
    <row r="221" spans="1:28" x14ac:dyDescent="0.25">
      <c r="AA221" s="30">
        <f>SUM(B218:Y218)</f>
        <v>38.48082199652174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48" activePane="bottomLeft" state="frozen"/>
      <selection pane="bottomLeft" activeCell="Y54" sqref="Y54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429</v>
      </c>
      <c r="B1" s="296" t="s">
        <v>2</v>
      </c>
      <c r="C1" s="296"/>
      <c r="D1" s="296" t="s">
        <v>0</v>
      </c>
      <c r="E1" s="296"/>
      <c r="F1" s="296" t="s">
        <v>1</v>
      </c>
      <c r="G1" s="296"/>
      <c r="H1" s="296" t="s">
        <v>3</v>
      </c>
      <c r="I1" s="296"/>
      <c r="J1" s="296" t="s">
        <v>4</v>
      </c>
      <c r="K1" s="296"/>
      <c r="L1" s="296" t="s">
        <v>5</v>
      </c>
      <c r="M1" s="296"/>
      <c r="N1" s="296" t="s">
        <v>6</v>
      </c>
      <c r="O1" s="296"/>
      <c r="P1" s="296" t="s">
        <v>7</v>
      </c>
      <c r="Q1" s="296"/>
      <c r="R1" s="296" t="s">
        <v>8</v>
      </c>
      <c r="S1" s="296"/>
      <c r="T1" s="296" t="s">
        <v>9</v>
      </c>
      <c r="U1" s="296"/>
      <c r="V1" s="296" t="s">
        <v>10</v>
      </c>
      <c r="W1" s="296"/>
      <c r="X1" s="296" t="s">
        <v>11</v>
      </c>
      <c r="Y1" s="296"/>
      <c r="Z1" s="83"/>
      <c r="AA1" t="s">
        <v>176</v>
      </c>
      <c r="AK1" t="s">
        <v>1428</v>
      </c>
    </row>
    <row r="2" spans="1:61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  <c r="AH2" s="14" t="s">
        <v>1429</v>
      </c>
      <c r="AI2" s="1">
        <v>25</v>
      </c>
      <c r="AK2" s="50" t="s">
        <v>226</v>
      </c>
      <c r="AL2" s="60">
        <v>19</v>
      </c>
      <c r="AM2" s="60">
        <v>19</v>
      </c>
      <c r="AN2" s="60">
        <v>19</v>
      </c>
      <c r="AO2" s="60">
        <v>19</v>
      </c>
      <c r="AP2" s="60">
        <v>19</v>
      </c>
      <c r="AQ2" s="60">
        <v>19</v>
      </c>
      <c r="AR2" s="60">
        <v>19</v>
      </c>
      <c r="AS2" s="60">
        <v>19</v>
      </c>
      <c r="AT2" s="60">
        <v>19</v>
      </c>
      <c r="AU2" s="60">
        <v>19</v>
      </c>
      <c r="AV2" s="60">
        <v>19</v>
      </c>
      <c r="AW2" s="60">
        <v>19</v>
      </c>
      <c r="AX2" s="60">
        <v>19</v>
      </c>
      <c r="AY2" s="60">
        <v>19</v>
      </c>
      <c r="AZ2" s="60">
        <v>19</v>
      </c>
      <c r="BA2" s="60">
        <v>19</v>
      </c>
      <c r="BB2" s="60">
        <v>18</v>
      </c>
      <c r="BC2" s="60">
        <v>18</v>
      </c>
      <c r="BD2" s="60">
        <v>18</v>
      </c>
      <c r="BE2" s="60">
        <v>18</v>
      </c>
      <c r="BF2" s="60">
        <v>19</v>
      </c>
      <c r="BG2" s="60">
        <v>19</v>
      </c>
      <c r="BH2" s="60">
        <v>19</v>
      </c>
      <c r="BI2" s="60">
        <v>19</v>
      </c>
    </row>
    <row r="3" spans="1:61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0</v>
      </c>
      <c r="AM3" s="60">
        <v>0</v>
      </c>
      <c r="AN3" s="60">
        <v>0</v>
      </c>
      <c r="AO3" s="60">
        <v>0</v>
      </c>
      <c r="AP3" s="60">
        <v>0</v>
      </c>
      <c r="AQ3" s="60">
        <v>2</v>
      </c>
      <c r="AR3" s="60">
        <v>4</v>
      </c>
      <c r="AS3" s="60">
        <v>6</v>
      </c>
      <c r="AT3" s="60">
        <v>6</v>
      </c>
      <c r="AU3" s="60">
        <v>6</v>
      </c>
      <c r="AV3" s="60">
        <v>6</v>
      </c>
      <c r="AW3" s="60">
        <v>6</v>
      </c>
      <c r="AX3" s="60">
        <v>6</v>
      </c>
      <c r="AY3" s="60">
        <v>6</v>
      </c>
      <c r="AZ3" s="60">
        <v>6</v>
      </c>
      <c r="BA3" s="60">
        <v>6</v>
      </c>
      <c r="BB3" s="60">
        <v>6</v>
      </c>
      <c r="BC3" s="60">
        <v>6</v>
      </c>
      <c r="BD3" s="60">
        <v>5</v>
      </c>
      <c r="BE3" s="60">
        <v>5</v>
      </c>
      <c r="BF3" s="60">
        <v>2</v>
      </c>
      <c r="BG3" s="60">
        <v>1</v>
      </c>
      <c r="BH3" s="60">
        <v>0</v>
      </c>
      <c r="BI3" s="60">
        <v>0</v>
      </c>
    </row>
    <row r="4" spans="1:61" x14ac:dyDescent="0.25">
      <c r="A4" s="2" t="s">
        <v>327</v>
      </c>
      <c r="AC4" t="s">
        <v>181</v>
      </c>
      <c r="AF4" s="289">
        <f>Troupeau!K17</f>
        <v>9</v>
      </c>
      <c r="AK4" s="50" t="s">
        <v>156</v>
      </c>
      <c r="AL4" s="60">
        <v>12</v>
      </c>
      <c r="AM4" s="60">
        <v>12</v>
      </c>
      <c r="AN4" s="60">
        <v>12</v>
      </c>
      <c r="AO4" s="60">
        <v>12</v>
      </c>
      <c r="AP4" s="60">
        <v>12</v>
      </c>
      <c r="AQ4" s="60">
        <v>12</v>
      </c>
      <c r="AR4" s="60">
        <v>12</v>
      </c>
      <c r="AS4" s="60">
        <v>12</v>
      </c>
      <c r="AT4" s="60">
        <v>12</v>
      </c>
      <c r="AU4" s="60">
        <v>12</v>
      </c>
      <c r="AV4" s="60">
        <v>12</v>
      </c>
      <c r="AW4" s="60">
        <v>12</v>
      </c>
      <c r="AX4" s="60">
        <v>12</v>
      </c>
      <c r="AY4" s="60">
        <v>12</v>
      </c>
      <c r="AZ4" s="60">
        <v>12</v>
      </c>
      <c r="BA4" s="60">
        <v>12</v>
      </c>
      <c r="BB4" s="60">
        <v>12</v>
      </c>
      <c r="BC4" s="60">
        <v>12</v>
      </c>
      <c r="BD4" s="60">
        <v>12</v>
      </c>
      <c r="BE4" s="60">
        <v>12</v>
      </c>
      <c r="BF4" s="60">
        <v>12</v>
      </c>
      <c r="BG4" s="60">
        <v>12</v>
      </c>
      <c r="BH4" s="60">
        <v>12</v>
      </c>
      <c r="BI4" s="60">
        <v>12</v>
      </c>
    </row>
    <row r="5" spans="1:61" x14ac:dyDescent="0.25">
      <c r="A5" s="51" t="s">
        <v>328</v>
      </c>
      <c r="B5" s="60">
        <v>1</v>
      </c>
      <c r="C5" s="60">
        <v>1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>
        <v>1</v>
      </c>
      <c r="Y5" s="60">
        <v>1</v>
      </c>
      <c r="Z5" s="52"/>
      <c r="AC5" t="s">
        <v>182</v>
      </c>
      <c r="AE5" s="17">
        <v>2</v>
      </c>
      <c r="AF5" s="125">
        <f>HLOOKUP(AF$4,[1]Anx!$C$36:$CO$48,AE5)</f>
        <v>5</v>
      </c>
      <c r="AG5" s="5"/>
      <c r="AK5" s="50" t="s">
        <v>157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12.25</v>
      </c>
      <c r="AG6" t="s">
        <v>192</v>
      </c>
      <c r="AK6" s="50" t="s">
        <v>158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14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11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442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  <c r="Z9" s="52"/>
      <c r="AC9" t="s">
        <v>200</v>
      </c>
      <c r="AD9">
        <v>4</v>
      </c>
      <c r="AE9" s="17">
        <v>6</v>
      </c>
      <c r="AF9" s="125">
        <f>HLOOKUP(AF$4,[1]Anx!$C$36:$CO$48,AE9)</f>
        <v>13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443</v>
      </c>
      <c r="B10" s="60"/>
      <c r="C10" s="60"/>
      <c r="D10" s="60"/>
      <c r="E10" s="60"/>
      <c r="F10" s="60"/>
      <c r="G10" s="60">
        <v>1</v>
      </c>
      <c r="H10" s="60">
        <v>1</v>
      </c>
      <c r="I10" s="60">
        <v>1</v>
      </c>
      <c r="J10" s="60">
        <v>1</v>
      </c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5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444</v>
      </c>
      <c r="B15" s="162">
        <f>CdTrp2!AL2*Troupeau!$C$17/CdTrp2!$AI$2</f>
        <v>14.44</v>
      </c>
      <c r="C15" s="162">
        <f>CdTrp2!AM2*Troupeau!$C$17/CdTrp2!$AI$2</f>
        <v>14.44</v>
      </c>
      <c r="D15" s="162">
        <f>CdTrp2!AN2*Troupeau!$C$17/CdTrp2!$AI$2</f>
        <v>14.44</v>
      </c>
      <c r="E15" s="162">
        <f>CdTrp2!AO2*Troupeau!$C$17/CdTrp2!$AI$2</f>
        <v>14.44</v>
      </c>
      <c r="F15" s="162">
        <f>CdTrp2!AP2*Troupeau!$C$17/CdTrp2!$AI$2</f>
        <v>14.44</v>
      </c>
      <c r="G15" s="162">
        <f>CdTrp2!AQ2*Troupeau!$C$17/CdTrp2!$AI$2</f>
        <v>14.44</v>
      </c>
      <c r="H15" s="162">
        <f>CdTrp2!AR2*Troupeau!$C$17/CdTrp2!$AI$2</f>
        <v>14.44</v>
      </c>
      <c r="I15" s="162">
        <f>CdTrp2!AS2*Troupeau!$C$17/CdTrp2!$AI$2</f>
        <v>14.44</v>
      </c>
      <c r="J15" s="162">
        <f>CdTrp2!AT2*Troupeau!$C$17/CdTrp2!$AI$2</f>
        <v>14.44</v>
      </c>
      <c r="K15" s="162">
        <f>CdTrp2!AU2*Troupeau!$C$17/CdTrp2!$AI$2</f>
        <v>14.44</v>
      </c>
      <c r="L15" s="162">
        <f>CdTrp2!AV2*Troupeau!$C$17/CdTrp2!$AI$2</f>
        <v>14.44</v>
      </c>
      <c r="M15" s="162">
        <f>CdTrp2!AW2*Troupeau!$C$17/CdTrp2!$AI$2</f>
        <v>14.44</v>
      </c>
      <c r="N15" s="162">
        <f>CdTrp2!AX2*Troupeau!$C$17/CdTrp2!$AI$2</f>
        <v>14.44</v>
      </c>
      <c r="O15" s="162">
        <f>CdTrp2!AY2*Troupeau!$C$17/CdTrp2!$AI$2</f>
        <v>14.44</v>
      </c>
      <c r="P15" s="162">
        <f>CdTrp2!AZ2*Troupeau!$C$17/CdTrp2!$AI$2</f>
        <v>14.44</v>
      </c>
      <c r="Q15" s="162">
        <f>CdTrp2!BA2*Troupeau!$C$17/CdTrp2!$AI$2</f>
        <v>14.44</v>
      </c>
      <c r="R15" s="162">
        <f>CdTrp2!BB2*Troupeau!$C$17/CdTrp2!$AI$2</f>
        <v>13.68</v>
      </c>
      <c r="S15" s="162">
        <f>CdTrp2!BC2*Troupeau!$C$17/CdTrp2!$AI$2</f>
        <v>13.68</v>
      </c>
      <c r="T15" s="162">
        <f>CdTrp2!BD2*Troupeau!$C$17/CdTrp2!$AI$2</f>
        <v>13.68</v>
      </c>
      <c r="U15" s="162">
        <f>CdTrp2!BE2*Troupeau!$C$17/CdTrp2!$AI$2</f>
        <v>13.68</v>
      </c>
      <c r="V15" s="162">
        <f>CdTrp2!BF2*Troupeau!$C$17/CdTrp2!$AI$2</f>
        <v>14.44</v>
      </c>
      <c r="W15" s="162">
        <f>CdTrp2!BG2*Troupeau!$C$17/CdTrp2!$AI$2</f>
        <v>14.44</v>
      </c>
      <c r="X15" s="162">
        <f>CdTrp2!BH2*Troupeau!$C$17/CdTrp2!$AI$2</f>
        <v>14.44</v>
      </c>
      <c r="Y15" s="162">
        <f>CdTrp2!BI2*Troupeau!$C$17/CdTrp2!$AI$2</f>
        <v>14.44</v>
      </c>
      <c r="Z15" s="52"/>
    </row>
    <row r="16" spans="1:61" x14ac:dyDescent="0.25">
      <c r="A16" s="50" t="s">
        <v>445</v>
      </c>
      <c r="B16" s="162">
        <f>CdTrp2!AL3*Troupeau!$C$17/CdTrp2!$AI$2</f>
        <v>0</v>
      </c>
      <c r="C16" s="162">
        <f>CdTrp2!AM3*Troupeau!$C$17/CdTrp2!$AI$2</f>
        <v>0</v>
      </c>
      <c r="D16" s="162">
        <f>CdTrp2!AN3*Troupeau!$C$17/CdTrp2!$AI$2</f>
        <v>0</v>
      </c>
      <c r="E16" s="162">
        <f>CdTrp2!AO3*Troupeau!$C$17/CdTrp2!$AI$2</f>
        <v>0</v>
      </c>
      <c r="F16" s="162">
        <f>CdTrp2!AP3*Troupeau!$C$17/CdTrp2!$AI$2</f>
        <v>0</v>
      </c>
      <c r="G16" s="162">
        <f>CdTrp2!AQ3*Troupeau!$C$17/CdTrp2!$AI$2</f>
        <v>1.52</v>
      </c>
      <c r="H16" s="162">
        <f>CdTrp2!AR3*Troupeau!$C$17/CdTrp2!$AI$2</f>
        <v>3.04</v>
      </c>
      <c r="I16" s="162">
        <f>CdTrp2!AS3*Troupeau!$C$17/CdTrp2!$AI$2</f>
        <v>4.5599999999999996</v>
      </c>
      <c r="J16" s="162">
        <f>CdTrp2!AT3*Troupeau!$C$17/CdTrp2!$AI$2</f>
        <v>4.5599999999999996</v>
      </c>
      <c r="K16" s="162">
        <f>CdTrp2!AU3*Troupeau!$C$17/CdTrp2!$AI$2</f>
        <v>4.5599999999999996</v>
      </c>
      <c r="L16" s="162">
        <f>CdTrp2!AV3*Troupeau!$C$17/CdTrp2!$AI$2</f>
        <v>4.5599999999999996</v>
      </c>
      <c r="M16" s="162">
        <f>CdTrp2!AW3*Troupeau!$C$17/CdTrp2!$AI$2</f>
        <v>4.5599999999999996</v>
      </c>
      <c r="N16" s="162">
        <f>CdTrp2!AX3*Troupeau!$C$17/CdTrp2!$AI$2</f>
        <v>4.5599999999999996</v>
      </c>
      <c r="O16" s="162">
        <f>CdTrp2!AY3*Troupeau!$C$17/CdTrp2!$AI$2</f>
        <v>4.5599999999999996</v>
      </c>
      <c r="P16" s="162">
        <f>CdTrp2!AZ3*Troupeau!$C$17/CdTrp2!$AI$2</f>
        <v>4.5599999999999996</v>
      </c>
      <c r="Q16" s="162">
        <f>CdTrp2!BA3*Troupeau!$C$17/CdTrp2!$AI$2</f>
        <v>4.5599999999999996</v>
      </c>
      <c r="R16" s="162">
        <f>CdTrp2!BB3*Troupeau!$C$17/CdTrp2!$AI$2</f>
        <v>4.5599999999999996</v>
      </c>
      <c r="S16" s="162">
        <f>CdTrp2!BC3*Troupeau!$C$17/CdTrp2!$AI$2</f>
        <v>4.5599999999999996</v>
      </c>
      <c r="T16" s="162">
        <f>CdTrp2!BD3*Troupeau!$C$17/CdTrp2!$AI$2</f>
        <v>3.8</v>
      </c>
      <c r="U16" s="162">
        <f>CdTrp2!BE3*Troupeau!$C$17/CdTrp2!$AI$2</f>
        <v>3.8</v>
      </c>
      <c r="V16" s="162">
        <f>CdTrp2!BF3*Troupeau!$C$17/CdTrp2!$AI$2</f>
        <v>1.52</v>
      </c>
      <c r="W16" s="162">
        <f>CdTrp2!BG3*Troupeau!$C$17/CdTrp2!$AI$2</f>
        <v>0.76</v>
      </c>
      <c r="X16" s="162">
        <f>CdTrp2!BH3*Troupeau!$C$17/CdTrp2!$AI$2</f>
        <v>0</v>
      </c>
      <c r="Y16" s="162">
        <f>CdTrp2!BI3*Troupeau!$C$17/CdTrp2!$AI$2</f>
        <v>0</v>
      </c>
      <c r="Z16" s="52"/>
      <c r="AC16" s="2" t="s">
        <v>421</v>
      </c>
      <c r="AI16" t="s">
        <v>287</v>
      </c>
      <c r="AK16" t="s">
        <v>319</v>
      </c>
    </row>
    <row r="17" spans="1:83" x14ac:dyDescent="0.25">
      <c r="A17" s="50" t="s">
        <v>446</v>
      </c>
      <c r="B17" s="162">
        <f>CdTrp2!AL4*Troupeau!$C$17/CdTrp2!$AI$2</f>
        <v>9.1199999999999992</v>
      </c>
      <c r="C17" s="162">
        <f>CdTrp2!AM4*Troupeau!$C$17/CdTrp2!$AI$2</f>
        <v>9.1199999999999992</v>
      </c>
      <c r="D17" s="162">
        <f>CdTrp2!AN4*Troupeau!$C$17/CdTrp2!$AI$2</f>
        <v>9.1199999999999992</v>
      </c>
      <c r="E17" s="162">
        <f>CdTrp2!AO4*Troupeau!$C$17/CdTrp2!$AI$2</f>
        <v>9.1199999999999992</v>
      </c>
      <c r="F17" s="162">
        <f>CdTrp2!AP4*Troupeau!$C$17/CdTrp2!$AI$2</f>
        <v>9.1199999999999992</v>
      </c>
      <c r="G17" s="162">
        <f>CdTrp2!AQ4*Troupeau!$C$17/CdTrp2!$AI$2</f>
        <v>9.1199999999999992</v>
      </c>
      <c r="H17" s="162">
        <f>CdTrp2!AR4*Troupeau!$C$17/CdTrp2!$AI$2</f>
        <v>9.1199999999999992</v>
      </c>
      <c r="I17" s="162">
        <f>CdTrp2!AS4*Troupeau!$C$17/CdTrp2!$AI$2</f>
        <v>9.1199999999999992</v>
      </c>
      <c r="J17" s="162">
        <f>CdTrp2!AT4*Troupeau!$C$17/CdTrp2!$AI$2</f>
        <v>9.1199999999999992</v>
      </c>
      <c r="K17" s="162">
        <f>CdTrp2!AU4*Troupeau!$C$17/CdTrp2!$AI$2</f>
        <v>9.1199999999999992</v>
      </c>
      <c r="L17" s="162">
        <f>CdTrp2!AV4*Troupeau!$C$17/CdTrp2!$AI$2</f>
        <v>9.1199999999999992</v>
      </c>
      <c r="M17" s="162">
        <f>CdTrp2!AW4*Troupeau!$C$17/CdTrp2!$AI$2</f>
        <v>9.1199999999999992</v>
      </c>
      <c r="N17" s="162">
        <f>CdTrp2!AX4*Troupeau!$C$17/CdTrp2!$AI$2</f>
        <v>9.1199999999999992</v>
      </c>
      <c r="O17" s="162">
        <f>CdTrp2!AY4*Troupeau!$C$17/CdTrp2!$AI$2</f>
        <v>9.1199999999999992</v>
      </c>
      <c r="P17" s="162">
        <f>CdTrp2!AZ4*Troupeau!$C$17/CdTrp2!$AI$2</f>
        <v>9.1199999999999992</v>
      </c>
      <c r="Q17" s="162">
        <f>CdTrp2!BA4*Troupeau!$C$17/CdTrp2!$AI$2</f>
        <v>9.1199999999999992</v>
      </c>
      <c r="R17" s="162">
        <f>CdTrp2!BB4*Troupeau!$C$17/CdTrp2!$AI$2</f>
        <v>9.1199999999999992</v>
      </c>
      <c r="S17" s="162">
        <f>CdTrp2!BC4*Troupeau!$C$17/CdTrp2!$AI$2</f>
        <v>9.1199999999999992</v>
      </c>
      <c r="T17" s="162">
        <f>CdTrp2!BD4*Troupeau!$C$17/CdTrp2!$AI$2</f>
        <v>9.1199999999999992</v>
      </c>
      <c r="U17" s="162">
        <f>CdTrp2!BE4*Troupeau!$C$17/CdTrp2!$AI$2</f>
        <v>9.1199999999999992</v>
      </c>
      <c r="V17" s="162">
        <f>CdTrp2!BF4*Troupeau!$C$17/CdTrp2!$AI$2</f>
        <v>9.1199999999999992</v>
      </c>
      <c r="W17" s="162">
        <f>CdTrp2!BG4*Troupeau!$C$17/CdTrp2!$AI$2</f>
        <v>9.1199999999999992</v>
      </c>
      <c r="X17" s="162">
        <f>CdTrp2!BH4*Troupeau!$C$17/CdTrp2!$AI$2</f>
        <v>9.1199999999999992</v>
      </c>
      <c r="Y17" s="162">
        <f>CdTrp2!BI4*Troupeau!$C$17/CdTrp2!$AI$2</f>
        <v>9.1199999999999992</v>
      </c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162"/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162"/>
      <c r="Q18" s="162"/>
      <c r="R18" s="162"/>
      <c r="S18" s="162"/>
      <c r="T18" s="162"/>
      <c r="U18" s="162"/>
      <c r="V18" s="162"/>
      <c r="W18" s="162"/>
      <c r="X18" s="162"/>
      <c r="Y18" s="162"/>
      <c r="Z18" s="52"/>
      <c r="AC18" t="s">
        <v>376</v>
      </c>
      <c r="AE18" s="17">
        <v>2</v>
      </c>
      <c r="AG18" s="126" t="str">
        <f>HLOOKUP(AF$4,[1]Anx!$C$86:$CO$121,AE18)</f>
        <v>15 -concentré bovin allaitant</v>
      </c>
      <c r="AH18" s="61">
        <f>VALUE(LEFT(AG18,2))</f>
        <v>15</v>
      </c>
      <c r="AI18" s="129">
        <f>Troupeau!C72</f>
        <v>5282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5.3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 t="str">
        <f>HLOOKUP(AF$4,[1]Anx!$C$86:$CO$121,AE19)</f>
        <v>16 -correcteur N bovin allaitant</v>
      </c>
      <c r="AH19" s="61">
        <f t="shared" ref="AH19:AH52" si="2">VALUE(LEFT(AG19,2))</f>
        <v>16</v>
      </c>
      <c r="AI19" s="129">
        <f>Troupeau!C73</f>
        <v>2242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2.2000000000000002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162"/>
      <c r="C20" s="162"/>
      <c r="D20" s="162"/>
      <c r="E20" s="162"/>
      <c r="F20" s="162"/>
      <c r="G20" s="162"/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62"/>
      <c r="S20" s="162"/>
      <c r="T20" s="162"/>
      <c r="U20" s="162"/>
      <c r="V20" s="162"/>
      <c r="W20" s="162"/>
      <c r="X20" s="162"/>
      <c r="Y20" s="162"/>
      <c r="Z20" s="52"/>
      <c r="AC20" t="s">
        <v>378</v>
      </c>
      <c r="AE20" s="17">
        <v>4</v>
      </c>
      <c r="AG20" s="126" t="str">
        <f>HLOOKUP(AF$4,[1]Anx!$C$86:$CO$121,AE20)</f>
        <v>8 -CMV bovin allaitant</v>
      </c>
      <c r="AH20" s="61">
        <f t="shared" si="2"/>
        <v>8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162"/>
      <c r="C21" s="162"/>
      <c r="D21" s="162"/>
      <c r="E21" s="162"/>
      <c r="F21" s="162"/>
      <c r="G21" s="162"/>
      <c r="H21" s="162"/>
      <c r="I21" s="162"/>
      <c r="J21" s="162"/>
      <c r="K21" s="162"/>
      <c r="L21" s="162"/>
      <c r="M21" s="162"/>
      <c r="N21" s="162"/>
      <c r="O21" s="162"/>
      <c r="P21" s="162"/>
      <c r="Q21" s="162"/>
      <c r="R21" s="162"/>
      <c r="S21" s="162"/>
      <c r="T21" s="162"/>
      <c r="U21" s="162"/>
      <c r="V21" s="162"/>
      <c r="W21" s="162"/>
      <c r="X21" s="162"/>
      <c r="Y21" s="162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162"/>
      <c r="C22" s="162"/>
      <c r="D22" s="162"/>
      <c r="E22" s="162"/>
      <c r="F22" s="162"/>
      <c r="G22" s="162"/>
      <c r="H22" s="162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B25" s="82">
        <v>31</v>
      </c>
      <c r="C25" s="82">
        <v>31</v>
      </c>
      <c r="D25" s="82">
        <v>31</v>
      </c>
      <c r="E25" s="82">
        <v>31</v>
      </c>
      <c r="F25" s="82">
        <v>31</v>
      </c>
      <c r="G25" s="82">
        <v>33</v>
      </c>
      <c r="H25" s="82">
        <v>35</v>
      </c>
      <c r="I25" s="82">
        <v>37</v>
      </c>
      <c r="J25" s="82">
        <v>37</v>
      </c>
      <c r="K25" s="82">
        <v>37</v>
      </c>
      <c r="L25" s="82">
        <v>37</v>
      </c>
      <c r="M25" s="82">
        <v>37</v>
      </c>
      <c r="N25" s="82">
        <v>37</v>
      </c>
      <c r="O25" s="82">
        <v>37</v>
      </c>
      <c r="P25" s="82">
        <v>37</v>
      </c>
      <c r="Q25" s="82">
        <v>37</v>
      </c>
      <c r="R25" s="82">
        <v>36</v>
      </c>
      <c r="S25" s="82">
        <v>36</v>
      </c>
      <c r="T25" s="82">
        <v>35</v>
      </c>
      <c r="U25" s="82">
        <v>35</v>
      </c>
      <c r="V25" s="82">
        <v>33</v>
      </c>
      <c r="W25" s="82">
        <v>32</v>
      </c>
      <c r="X25" s="82">
        <v>31</v>
      </c>
      <c r="Y25" s="82">
        <v>31</v>
      </c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 xml:space="preserve">vaches </v>
      </c>
      <c r="B27" s="60">
        <f>(19/25)*1+(6/25)*0.85</f>
        <v>0.96399999999999997</v>
      </c>
      <c r="C27" s="60">
        <v>0.96</v>
      </c>
      <c r="D27" s="60">
        <v>0.96</v>
      </c>
      <c r="E27" s="60">
        <v>0.96</v>
      </c>
      <c r="F27" s="60">
        <v>0.96</v>
      </c>
      <c r="G27" s="60">
        <f>(9/25)*1+(16/25)*0.85</f>
        <v>0.90400000000000003</v>
      </c>
      <c r="H27" s="60">
        <f>(6/25)*1+(19/25)*0.85</f>
        <v>0.88600000000000001</v>
      </c>
      <c r="I27" s="60">
        <f>(3/25)*1+(22/25)*0.85</f>
        <v>0.86799999999999999</v>
      </c>
      <c r="J27" s="60">
        <f>(0/25)*1+(25/25)*0.85</f>
        <v>0.85</v>
      </c>
      <c r="K27" s="60">
        <v>0.85</v>
      </c>
      <c r="L27" s="60">
        <v>0.85</v>
      </c>
      <c r="M27" s="60">
        <v>0.85</v>
      </c>
      <c r="N27" s="60">
        <v>0.85</v>
      </c>
      <c r="O27" s="60">
        <v>0.85</v>
      </c>
      <c r="P27" s="60">
        <v>0.85</v>
      </c>
      <c r="Q27" s="60">
        <v>0.85</v>
      </c>
      <c r="R27" s="60">
        <v>0.85</v>
      </c>
      <c r="S27" s="60">
        <v>0.85</v>
      </c>
      <c r="T27" s="60">
        <f>(4/25)*1+(21/25)*0.85</f>
        <v>0.874</v>
      </c>
      <c r="U27" s="60">
        <f>(8/25)*1+(17/25)*0.85</f>
        <v>0.89800000000000013</v>
      </c>
      <c r="V27" s="60">
        <f>(12/25)*1+(13/25)*0.85</f>
        <v>0.92199999999999993</v>
      </c>
      <c r="W27" s="60">
        <f>(15/25)*1+(10/25)*0.85</f>
        <v>0.94</v>
      </c>
      <c r="X27" s="60">
        <f>(18/25)*1+(7/25)*0.85</f>
        <v>0.95799999999999996</v>
      </c>
      <c r="Y27" s="60">
        <f>(21/25)*1+(4/25)*0.85</f>
        <v>0.97599999999999998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genisses -1an</v>
      </c>
      <c r="B28" s="60">
        <v>0.35</v>
      </c>
      <c r="C28" s="60">
        <v>0.35</v>
      </c>
      <c r="D28" s="60">
        <v>0.35</v>
      </c>
      <c r="E28" s="60">
        <v>0.35</v>
      </c>
      <c r="F28" s="60">
        <v>0.35</v>
      </c>
      <c r="G28" s="60">
        <v>0.35</v>
      </c>
      <c r="H28" s="60">
        <v>0.35</v>
      </c>
      <c r="I28" s="60">
        <v>0.35</v>
      </c>
      <c r="J28" s="60">
        <v>0.35</v>
      </c>
      <c r="K28" s="60">
        <v>0.35</v>
      </c>
      <c r="L28" s="60">
        <v>0.35</v>
      </c>
      <c r="M28" s="60">
        <v>0.35</v>
      </c>
      <c r="N28" s="60">
        <v>0.35</v>
      </c>
      <c r="O28" s="60">
        <v>0.35</v>
      </c>
      <c r="P28" s="60">
        <v>0.35</v>
      </c>
      <c r="Q28" s="60">
        <v>0.35</v>
      </c>
      <c r="R28" s="60">
        <v>0.35</v>
      </c>
      <c r="S28" s="60">
        <v>0.35</v>
      </c>
      <c r="T28" s="60">
        <v>0.35</v>
      </c>
      <c r="U28" s="60">
        <v>0.35</v>
      </c>
      <c r="V28" s="60">
        <v>0.35</v>
      </c>
      <c r="W28" s="60">
        <v>0.35</v>
      </c>
      <c r="X28" s="60">
        <v>0.35</v>
      </c>
      <c r="Y28" s="60">
        <v>0.35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genisses +1an</v>
      </c>
      <c r="B29" s="60">
        <f>(0.6+0.8)/2</f>
        <v>0.7</v>
      </c>
      <c r="C29" s="60">
        <f t="shared" ref="C29:Y29" si="7">(0.6+0.8)/2</f>
        <v>0.7</v>
      </c>
      <c r="D29" s="60">
        <f t="shared" si="7"/>
        <v>0.7</v>
      </c>
      <c r="E29" s="60">
        <f t="shared" si="7"/>
        <v>0.7</v>
      </c>
      <c r="F29" s="60">
        <f t="shared" si="7"/>
        <v>0.7</v>
      </c>
      <c r="G29" s="60">
        <f t="shared" si="7"/>
        <v>0.7</v>
      </c>
      <c r="H29" s="60">
        <f t="shared" si="7"/>
        <v>0.7</v>
      </c>
      <c r="I29" s="60">
        <f t="shared" si="7"/>
        <v>0.7</v>
      </c>
      <c r="J29" s="60">
        <f t="shared" si="7"/>
        <v>0.7</v>
      </c>
      <c r="K29" s="60">
        <f t="shared" si="7"/>
        <v>0.7</v>
      </c>
      <c r="L29" s="60">
        <f t="shared" si="7"/>
        <v>0.7</v>
      </c>
      <c r="M29" s="60">
        <f t="shared" si="7"/>
        <v>0.7</v>
      </c>
      <c r="N29" s="60">
        <f t="shared" si="7"/>
        <v>0.7</v>
      </c>
      <c r="O29" s="60">
        <f t="shared" si="7"/>
        <v>0.7</v>
      </c>
      <c r="P29" s="60">
        <f t="shared" si="7"/>
        <v>0.7</v>
      </c>
      <c r="Q29" s="60">
        <f t="shared" si="7"/>
        <v>0.7</v>
      </c>
      <c r="R29" s="60">
        <f t="shared" si="7"/>
        <v>0.7</v>
      </c>
      <c r="S29" s="60">
        <f t="shared" si="7"/>
        <v>0.7</v>
      </c>
      <c r="T29" s="60">
        <f t="shared" si="7"/>
        <v>0.7</v>
      </c>
      <c r="U29" s="60">
        <f t="shared" si="7"/>
        <v>0.7</v>
      </c>
      <c r="V29" s="60">
        <f t="shared" si="7"/>
        <v>0.7</v>
      </c>
      <c r="W29" s="60">
        <f t="shared" si="7"/>
        <v>0.7</v>
      </c>
      <c r="X29" s="60">
        <f t="shared" si="7"/>
        <v>0.7</v>
      </c>
      <c r="Y29" s="60">
        <f t="shared" si="7"/>
        <v>0.7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 xml:space="preserve">vaches </v>
      </c>
      <c r="B39" s="61">
        <f>B15*B27</f>
        <v>13.920159999999999</v>
      </c>
      <c r="C39" s="61">
        <f t="shared" ref="C39:Y48" si="13">C15*C27</f>
        <v>13.862399999999999</v>
      </c>
      <c r="D39" s="61">
        <f t="shared" si="13"/>
        <v>13.862399999999999</v>
      </c>
      <c r="E39" s="61">
        <f t="shared" si="13"/>
        <v>13.862399999999999</v>
      </c>
      <c r="F39" s="61">
        <f t="shared" si="13"/>
        <v>13.862399999999999</v>
      </c>
      <c r="G39" s="61">
        <f t="shared" si="13"/>
        <v>13.05376</v>
      </c>
      <c r="H39" s="61">
        <f t="shared" si="13"/>
        <v>12.793839999999999</v>
      </c>
      <c r="I39" s="61">
        <f t="shared" si="13"/>
        <v>12.53392</v>
      </c>
      <c r="J39" s="61">
        <f t="shared" si="13"/>
        <v>12.273999999999999</v>
      </c>
      <c r="K39" s="61">
        <f t="shared" si="13"/>
        <v>12.273999999999999</v>
      </c>
      <c r="L39" s="61">
        <f t="shared" si="13"/>
        <v>12.273999999999999</v>
      </c>
      <c r="M39" s="61">
        <f t="shared" si="13"/>
        <v>12.273999999999999</v>
      </c>
      <c r="N39" s="61">
        <f t="shared" si="13"/>
        <v>12.273999999999999</v>
      </c>
      <c r="O39" s="61">
        <f t="shared" si="13"/>
        <v>12.273999999999999</v>
      </c>
      <c r="P39" s="61">
        <f t="shared" si="13"/>
        <v>12.273999999999999</v>
      </c>
      <c r="Q39" s="61">
        <f t="shared" si="13"/>
        <v>12.273999999999999</v>
      </c>
      <c r="R39" s="61">
        <f t="shared" si="13"/>
        <v>11.628</v>
      </c>
      <c r="S39" s="61">
        <f t="shared" si="13"/>
        <v>11.628</v>
      </c>
      <c r="T39" s="61">
        <f t="shared" si="13"/>
        <v>11.95632</v>
      </c>
      <c r="U39" s="61">
        <f t="shared" si="13"/>
        <v>12.284640000000001</v>
      </c>
      <c r="V39" s="61">
        <f t="shared" si="13"/>
        <v>13.313679999999998</v>
      </c>
      <c r="W39" s="61">
        <f t="shared" si="13"/>
        <v>13.573599999999999</v>
      </c>
      <c r="X39" s="61">
        <f t="shared" si="13"/>
        <v>13.833519999999998</v>
      </c>
      <c r="Y39" s="61">
        <f t="shared" si="13"/>
        <v>14.093439999999999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genisses -1an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0.53199999999999992</v>
      </c>
      <c r="H40" s="61">
        <f t="shared" si="14"/>
        <v>1.0639999999999998</v>
      </c>
      <c r="I40" s="61">
        <f t="shared" si="14"/>
        <v>1.5959999999999999</v>
      </c>
      <c r="J40" s="61">
        <f t="shared" si="14"/>
        <v>1.5959999999999999</v>
      </c>
      <c r="K40" s="61">
        <f t="shared" si="14"/>
        <v>1.5959999999999999</v>
      </c>
      <c r="L40" s="61">
        <f t="shared" si="14"/>
        <v>1.5959999999999999</v>
      </c>
      <c r="M40" s="61">
        <f t="shared" si="14"/>
        <v>1.5959999999999999</v>
      </c>
      <c r="N40" s="61">
        <f t="shared" si="14"/>
        <v>1.5959999999999999</v>
      </c>
      <c r="O40" s="61">
        <f t="shared" si="14"/>
        <v>1.5959999999999999</v>
      </c>
      <c r="P40" s="61">
        <f t="shared" si="14"/>
        <v>1.5959999999999999</v>
      </c>
      <c r="Q40" s="61">
        <f t="shared" si="14"/>
        <v>1.5959999999999999</v>
      </c>
      <c r="R40" s="61">
        <f t="shared" si="13"/>
        <v>1.5959999999999999</v>
      </c>
      <c r="S40" s="61">
        <f t="shared" si="13"/>
        <v>1.5959999999999999</v>
      </c>
      <c r="T40" s="61">
        <f t="shared" si="13"/>
        <v>1.3299999999999998</v>
      </c>
      <c r="U40" s="61">
        <f t="shared" si="13"/>
        <v>1.3299999999999998</v>
      </c>
      <c r="V40" s="61">
        <f t="shared" si="13"/>
        <v>0.53199999999999992</v>
      </c>
      <c r="W40" s="61">
        <f t="shared" si="13"/>
        <v>0.26599999999999996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genisses +1an</v>
      </c>
      <c r="B41" s="61">
        <f t="shared" si="14"/>
        <v>6.3839999999999995</v>
      </c>
      <c r="C41" s="61">
        <f t="shared" si="13"/>
        <v>6.3839999999999995</v>
      </c>
      <c r="D41" s="61">
        <f t="shared" si="13"/>
        <v>6.3839999999999995</v>
      </c>
      <c r="E41" s="61">
        <f t="shared" si="13"/>
        <v>6.3839999999999995</v>
      </c>
      <c r="F41" s="61">
        <f t="shared" si="13"/>
        <v>6.3839999999999995</v>
      </c>
      <c r="G41" s="61">
        <f t="shared" si="13"/>
        <v>6.3839999999999995</v>
      </c>
      <c r="H41" s="61">
        <f t="shared" si="13"/>
        <v>6.3839999999999995</v>
      </c>
      <c r="I41" s="61">
        <f t="shared" si="13"/>
        <v>6.3839999999999995</v>
      </c>
      <c r="J41" s="61">
        <f t="shared" si="13"/>
        <v>6.3839999999999995</v>
      </c>
      <c r="K41" s="61">
        <f t="shared" si="13"/>
        <v>6.3839999999999995</v>
      </c>
      <c r="L41" s="61">
        <f t="shared" si="13"/>
        <v>6.3839999999999995</v>
      </c>
      <c r="M41" s="61">
        <f t="shared" si="13"/>
        <v>6.3839999999999995</v>
      </c>
      <c r="N41" s="61">
        <f t="shared" si="13"/>
        <v>6.3839999999999995</v>
      </c>
      <c r="O41" s="61">
        <f t="shared" si="13"/>
        <v>6.3839999999999995</v>
      </c>
      <c r="P41" s="61">
        <f t="shared" si="13"/>
        <v>6.3839999999999995</v>
      </c>
      <c r="Q41" s="61">
        <f t="shared" si="13"/>
        <v>6.3839999999999995</v>
      </c>
      <c r="R41" s="61">
        <f t="shared" si="13"/>
        <v>6.3839999999999995</v>
      </c>
      <c r="S41" s="61">
        <f t="shared" si="13"/>
        <v>6.3839999999999995</v>
      </c>
      <c r="T41" s="61">
        <f t="shared" si="13"/>
        <v>6.3839999999999995</v>
      </c>
      <c r="U41" s="61">
        <f t="shared" si="13"/>
        <v>6.3839999999999995</v>
      </c>
      <c r="V41" s="61">
        <f t="shared" si="13"/>
        <v>6.3839999999999995</v>
      </c>
      <c r="W41" s="61">
        <f t="shared" si="13"/>
        <v>6.3839999999999995</v>
      </c>
      <c r="X41" s="61">
        <f t="shared" si="13"/>
        <v>6.3839999999999995</v>
      </c>
      <c r="Y41" s="61">
        <f t="shared" si="13"/>
        <v>6.3839999999999995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>SUM(B39:B48)</f>
        <v>20.30416</v>
      </c>
      <c r="C49" s="62">
        <f t="shared" ref="C49:Y49" si="15">SUM(C39:C48)</f>
        <v>20.246399999999998</v>
      </c>
      <c r="D49" s="62">
        <f t="shared" si="15"/>
        <v>20.246399999999998</v>
      </c>
      <c r="E49" s="62">
        <f t="shared" si="15"/>
        <v>20.246399999999998</v>
      </c>
      <c r="F49" s="62">
        <f t="shared" si="15"/>
        <v>20.246399999999998</v>
      </c>
      <c r="G49" s="62">
        <f t="shared" si="15"/>
        <v>19.969760000000001</v>
      </c>
      <c r="H49" s="62">
        <f t="shared" si="15"/>
        <v>20.24184</v>
      </c>
      <c r="I49" s="62">
        <f t="shared" si="15"/>
        <v>20.513919999999999</v>
      </c>
      <c r="J49" s="62">
        <f t="shared" si="15"/>
        <v>20.253999999999998</v>
      </c>
      <c r="K49" s="62">
        <f t="shared" si="15"/>
        <v>20.253999999999998</v>
      </c>
      <c r="L49" s="62">
        <f t="shared" si="15"/>
        <v>20.253999999999998</v>
      </c>
      <c r="M49" s="62">
        <f t="shared" si="15"/>
        <v>20.253999999999998</v>
      </c>
      <c r="N49" s="62">
        <f t="shared" si="15"/>
        <v>20.253999999999998</v>
      </c>
      <c r="O49" s="62">
        <f t="shared" si="15"/>
        <v>20.253999999999998</v>
      </c>
      <c r="P49" s="62">
        <f t="shared" si="15"/>
        <v>20.253999999999998</v>
      </c>
      <c r="Q49" s="62">
        <f t="shared" si="15"/>
        <v>20.253999999999998</v>
      </c>
      <c r="R49" s="62">
        <f t="shared" si="15"/>
        <v>19.608000000000001</v>
      </c>
      <c r="S49" s="62">
        <f t="shared" si="15"/>
        <v>19.608000000000001</v>
      </c>
      <c r="T49" s="62">
        <f t="shared" si="15"/>
        <v>19.67032</v>
      </c>
      <c r="U49" s="62">
        <f t="shared" si="15"/>
        <v>19.998640000000002</v>
      </c>
      <c r="V49" s="62">
        <f t="shared" si="15"/>
        <v>20.229679999999998</v>
      </c>
      <c r="W49" s="62">
        <f t="shared" si="15"/>
        <v>20.223599999999998</v>
      </c>
      <c r="X49" s="62">
        <f t="shared" si="15"/>
        <v>20.217519999999997</v>
      </c>
      <c r="Y49" s="62">
        <f t="shared" si="15"/>
        <v>20.477439999999998</v>
      </c>
      <c r="Z49" s="23"/>
      <c r="AA49" s="46">
        <f>AVERAGE(B49:Y49)</f>
        <v>20.170019999999997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 xml:space="preserve">vaches </v>
      </c>
      <c r="B52" s="60">
        <v>1</v>
      </c>
      <c r="C52" s="60">
        <v>1</v>
      </c>
      <c r="D52" s="60">
        <v>1</v>
      </c>
      <c r="E52" s="60">
        <v>1</v>
      </c>
      <c r="F52" s="60">
        <v>1</v>
      </c>
      <c r="G52" s="60">
        <v>1</v>
      </c>
      <c r="H52" s="60">
        <v>0.5</v>
      </c>
      <c r="I52" s="60">
        <v>0.5</v>
      </c>
      <c r="J52" s="60">
        <v>0.5</v>
      </c>
      <c r="K52" s="60">
        <v>0.5</v>
      </c>
      <c r="L52" s="60">
        <v>0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0.5</v>
      </c>
      <c r="U52" s="60">
        <v>0.5</v>
      </c>
      <c r="V52" s="60">
        <v>0.5</v>
      </c>
      <c r="W52" s="60">
        <v>0.5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genisses -1an</v>
      </c>
      <c r="B53" s="60">
        <v>3</v>
      </c>
      <c r="C53" s="60">
        <v>3</v>
      </c>
      <c r="D53" s="60">
        <v>3</v>
      </c>
      <c r="E53" s="60">
        <v>3</v>
      </c>
      <c r="F53" s="60">
        <v>3</v>
      </c>
      <c r="G53" s="60">
        <v>0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0">
        <v>0</v>
      </c>
      <c r="T53" s="60">
        <v>0</v>
      </c>
      <c r="U53" s="60">
        <v>0</v>
      </c>
      <c r="V53" s="60">
        <v>0.5</v>
      </c>
      <c r="W53" s="60">
        <v>0.5</v>
      </c>
      <c r="X53" s="60">
        <v>3</v>
      </c>
      <c r="Y53" s="60">
        <v>3</v>
      </c>
      <c r="Z53" s="52"/>
      <c r="AG53" s="5"/>
    </row>
    <row r="54" spans="1:83" x14ac:dyDescent="0.25">
      <c r="A54" s="128" t="str">
        <f>A$17</f>
        <v>genisses +1an</v>
      </c>
      <c r="B54" s="60">
        <v>1</v>
      </c>
      <c r="C54" s="60">
        <v>1</v>
      </c>
      <c r="D54" s="60">
        <v>0</v>
      </c>
      <c r="E54" s="60">
        <v>0</v>
      </c>
      <c r="F54" s="60">
        <v>0</v>
      </c>
      <c r="G54" s="60">
        <v>0</v>
      </c>
      <c r="H54" s="60">
        <v>0</v>
      </c>
      <c r="I54" s="60">
        <v>0</v>
      </c>
      <c r="J54" s="60">
        <v>0</v>
      </c>
      <c r="K54" s="60">
        <v>0</v>
      </c>
      <c r="L54" s="60">
        <v>0</v>
      </c>
      <c r="M54" s="60">
        <v>0</v>
      </c>
      <c r="N54" s="60">
        <v>0</v>
      </c>
      <c r="O54" s="60">
        <v>0</v>
      </c>
      <c r="P54" s="60">
        <v>0</v>
      </c>
      <c r="Q54" s="60">
        <v>0</v>
      </c>
      <c r="R54" s="60">
        <v>0</v>
      </c>
      <c r="S54" s="60">
        <v>0</v>
      </c>
      <c r="T54" s="60">
        <v>0</v>
      </c>
      <c r="U54" s="60">
        <v>0</v>
      </c>
      <c r="V54" s="60">
        <v>0</v>
      </c>
      <c r="W54" s="60">
        <v>0</v>
      </c>
      <c r="X54" s="60">
        <v>1</v>
      </c>
      <c r="Y54" s="60">
        <v>1</v>
      </c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5.3</v>
      </c>
      <c r="AZ54" s="84">
        <f t="shared" si="17"/>
        <v>2.2000000000000002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14.2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 xml:space="preserve">vaches </v>
      </c>
      <c r="B63" s="61">
        <f t="shared" ref="B63:Y72" si="18">B39*B52*B$3</f>
        <v>215.76247999999998</v>
      </c>
      <c r="C63" s="61">
        <f t="shared" si="18"/>
        <v>214.8672</v>
      </c>
      <c r="D63" s="61">
        <f t="shared" si="18"/>
        <v>194.0736</v>
      </c>
      <c r="E63" s="61">
        <f t="shared" si="18"/>
        <v>194.0736</v>
      </c>
      <c r="F63" s="61">
        <f t="shared" si="18"/>
        <v>214.8672</v>
      </c>
      <c r="G63" s="61">
        <f t="shared" si="18"/>
        <v>202.33328</v>
      </c>
      <c r="H63" s="61">
        <f t="shared" si="18"/>
        <v>95.953800000000001</v>
      </c>
      <c r="I63" s="61">
        <f t="shared" si="18"/>
        <v>94.004400000000004</v>
      </c>
      <c r="J63" s="61">
        <f t="shared" si="18"/>
        <v>95.123499999999993</v>
      </c>
      <c r="K63" s="61">
        <f t="shared" si="18"/>
        <v>95.123499999999993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92.661479999999997</v>
      </c>
      <c r="U63" s="61">
        <f t="shared" si="18"/>
        <v>95.205960000000005</v>
      </c>
      <c r="V63" s="61">
        <f t="shared" si="18"/>
        <v>99.852599999999981</v>
      </c>
      <c r="W63" s="61">
        <f t="shared" si="18"/>
        <v>101.80199999999999</v>
      </c>
      <c r="X63" s="61">
        <f t="shared" si="18"/>
        <v>214.41955999999996</v>
      </c>
      <c r="Y63" s="61">
        <f t="shared" si="18"/>
        <v>218.44832</v>
      </c>
      <c r="Z63" s="52"/>
      <c r="AE63" s="86"/>
    </row>
    <row r="64" spans="1:83" s="5" customFormat="1" hidden="1" x14ac:dyDescent="0.25">
      <c r="A64" s="38" t="str">
        <f>A$16</f>
        <v>genisses -1an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3.9899999999999993</v>
      </c>
      <c r="W64" s="61">
        <f t="shared" si="18"/>
        <v>1.9949999999999997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genisses +1an</v>
      </c>
      <c r="B65" s="61">
        <f t="shared" si="18"/>
        <v>98.951999999999998</v>
      </c>
      <c r="C65" s="61">
        <f t="shared" si="18"/>
        <v>98.951999999999998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98.951999999999998</v>
      </c>
      <c r="Y65" s="61">
        <f t="shared" si="18"/>
        <v>98.951999999999998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315</v>
      </c>
      <c r="C73" s="64">
        <f t="shared" ref="C73:Y73" si="19">ROUND(SUM(C63:C72),0)</f>
        <v>314</v>
      </c>
      <c r="D73" s="64">
        <f t="shared" si="19"/>
        <v>194</v>
      </c>
      <c r="E73" s="64">
        <f t="shared" si="19"/>
        <v>194</v>
      </c>
      <c r="F73" s="64">
        <f t="shared" si="19"/>
        <v>215</v>
      </c>
      <c r="G73" s="64">
        <f t="shared" si="19"/>
        <v>202</v>
      </c>
      <c r="H73" s="64">
        <f t="shared" si="19"/>
        <v>96</v>
      </c>
      <c r="I73" s="64">
        <f t="shared" si="19"/>
        <v>94</v>
      </c>
      <c r="J73" s="64">
        <f t="shared" si="19"/>
        <v>95</v>
      </c>
      <c r="K73" s="64">
        <f t="shared" si="19"/>
        <v>95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93</v>
      </c>
      <c r="U73" s="64">
        <f t="shared" si="19"/>
        <v>95</v>
      </c>
      <c r="V73" s="64">
        <f t="shared" si="19"/>
        <v>104</v>
      </c>
      <c r="W73" s="64">
        <f t="shared" si="19"/>
        <v>104</v>
      </c>
      <c r="X73" s="64">
        <f t="shared" si="19"/>
        <v>313</v>
      </c>
      <c r="Y73" s="64">
        <f t="shared" si="19"/>
        <v>317</v>
      </c>
      <c r="Z73" s="52"/>
      <c r="AA73" s="56">
        <f>ROUND(SUM(B73:Y73),0)</f>
        <v>2840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484</v>
      </c>
      <c r="AG75" s="5"/>
    </row>
    <row r="76" spans="1:33" x14ac:dyDescent="0.25">
      <c r="A76" s="127" t="str">
        <f>A$15</f>
        <v xml:space="preserve">vaches </v>
      </c>
      <c r="B76" s="60"/>
      <c r="C76" s="60"/>
      <c r="D76" s="60"/>
      <c r="E76" s="60"/>
      <c r="F76" s="60"/>
      <c r="G76" s="60"/>
      <c r="H76" s="60">
        <v>1</v>
      </c>
      <c r="I76" s="60">
        <v>1</v>
      </c>
      <c r="J76" s="60">
        <v>2</v>
      </c>
      <c r="K76" s="60">
        <v>2</v>
      </c>
      <c r="L76" s="60">
        <v>2</v>
      </c>
      <c r="M76" s="60">
        <v>2</v>
      </c>
      <c r="N76" s="60">
        <v>2</v>
      </c>
      <c r="O76" s="60">
        <v>1</v>
      </c>
      <c r="P76" s="60">
        <v>1</v>
      </c>
      <c r="Q76" s="60">
        <v>1</v>
      </c>
      <c r="R76" s="60">
        <v>2</v>
      </c>
      <c r="S76" s="60">
        <v>2</v>
      </c>
      <c r="T76" s="60">
        <v>3</v>
      </c>
      <c r="U76" s="60">
        <v>3</v>
      </c>
      <c r="V76" s="60">
        <v>2</v>
      </c>
      <c r="W76" s="60">
        <v>2</v>
      </c>
      <c r="X76" s="60"/>
      <c r="Y76" s="60"/>
      <c r="Z76"/>
      <c r="AG76" s="5"/>
    </row>
    <row r="77" spans="1:33" x14ac:dyDescent="0.25">
      <c r="A77" s="128" t="str">
        <f>A$16</f>
        <v>genisses -1an</v>
      </c>
      <c r="B77" s="60"/>
      <c r="C77" s="60"/>
      <c r="D77" s="60"/>
      <c r="E77" s="60"/>
      <c r="F77" s="60"/>
      <c r="G77" s="60">
        <v>1</v>
      </c>
      <c r="H77" s="60">
        <v>1</v>
      </c>
      <c r="I77" s="60">
        <v>1</v>
      </c>
      <c r="J77" s="60">
        <v>1</v>
      </c>
      <c r="K77" s="60">
        <v>1</v>
      </c>
      <c r="L77" s="60">
        <v>1</v>
      </c>
      <c r="M77" s="60">
        <v>1</v>
      </c>
      <c r="N77" s="60">
        <v>1</v>
      </c>
      <c r="O77" s="60">
        <v>1</v>
      </c>
      <c r="P77" s="60">
        <v>1</v>
      </c>
      <c r="Q77" s="60">
        <v>1</v>
      </c>
      <c r="R77" s="60">
        <v>1</v>
      </c>
      <c r="S77" s="60">
        <v>1</v>
      </c>
      <c r="T77" s="60">
        <v>1</v>
      </c>
      <c r="U77" s="60">
        <v>1</v>
      </c>
      <c r="V77" s="60">
        <v>1</v>
      </c>
      <c r="W77" s="60">
        <v>1</v>
      </c>
      <c r="X77" s="60"/>
      <c r="Y77" s="60"/>
      <c r="AB77" t="s">
        <v>447</v>
      </c>
      <c r="AC77">
        <f>COUNTIF($B$76:$Y$85,"&gt;0")/2</f>
        <v>26.5</v>
      </c>
      <c r="AG77" s="5"/>
    </row>
    <row r="78" spans="1:33" x14ac:dyDescent="0.25">
      <c r="A78" s="128" t="str">
        <f>A$17</f>
        <v>genisses +1an</v>
      </c>
      <c r="B78" s="60"/>
      <c r="C78" s="60"/>
      <c r="D78" s="60">
        <v>2</v>
      </c>
      <c r="E78" s="60">
        <v>2</v>
      </c>
      <c r="F78" s="60">
        <v>2</v>
      </c>
      <c r="G78" s="60">
        <v>2</v>
      </c>
      <c r="H78" s="60">
        <v>2</v>
      </c>
      <c r="I78" s="60">
        <v>2</v>
      </c>
      <c r="J78" s="60">
        <v>2</v>
      </c>
      <c r="K78" s="60">
        <v>2</v>
      </c>
      <c r="L78" s="60">
        <v>2</v>
      </c>
      <c r="M78" s="60">
        <v>2</v>
      </c>
      <c r="N78" s="60">
        <v>2</v>
      </c>
      <c r="O78" s="60">
        <v>2</v>
      </c>
      <c r="P78" s="60">
        <v>2</v>
      </c>
      <c r="Q78" s="60">
        <v>2</v>
      </c>
      <c r="R78" s="60">
        <v>2</v>
      </c>
      <c r="S78" s="60">
        <v>2</v>
      </c>
      <c r="T78" s="60">
        <v>3</v>
      </c>
      <c r="U78" s="60">
        <v>1</v>
      </c>
      <c r="V78" s="60">
        <v>1</v>
      </c>
      <c r="W78" s="60">
        <v>1</v>
      </c>
      <c r="X78" s="60"/>
      <c r="Y78" s="60"/>
      <c r="AB78">
        <v>1</v>
      </c>
      <c r="AC78">
        <f>COUNTIF($B$76:$Y$85,AB78)/2</f>
        <v>12.5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12.5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1.5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 xml:space="preserve">vaches </v>
      </c>
      <c r="B88" s="60">
        <v>4</v>
      </c>
      <c r="C88" s="60">
        <v>4</v>
      </c>
      <c r="D88" s="60">
        <v>4</v>
      </c>
      <c r="E88" s="60">
        <v>4</v>
      </c>
      <c r="F88" s="60">
        <v>4</v>
      </c>
      <c r="G88" s="60">
        <v>4</v>
      </c>
      <c r="H88" s="156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3</v>
      </c>
      <c r="S88" s="60">
        <v>3</v>
      </c>
      <c r="T88" s="60">
        <v>2</v>
      </c>
      <c r="U88" s="60">
        <v>2</v>
      </c>
      <c r="V88" s="60">
        <v>2</v>
      </c>
      <c r="W88" s="60">
        <v>2</v>
      </c>
      <c r="X88" s="60">
        <v>4</v>
      </c>
      <c r="Y88" s="60">
        <v>4</v>
      </c>
    </row>
    <row r="89" spans="1:33" x14ac:dyDescent="0.25">
      <c r="A89" s="128" t="str">
        <f>A$16</f>
        <v>genisses -1an</v>
      </c>
      <c r="B89" s="60">
        <v>4</v>
      </c>
      <c r="C89" s="60">
        <v>4</v>
      </c>
      <c r="D89" s="60">
        <v>4</v>
      </c>
      <c r="E89" s="60">
        <v>4</v>
      </c>
      <c r="F89" s="60">
        <v>4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4</v>
      </c>
      <c r="Y89" s="60">
        <v>4</v>
      </c>
    </row>
    <row r="90" spans="1:33" x14ac:dyDescent="0.25">
      <c r="A90" s="128" t="str">
        <f>A$17</f>
        <v>genisses +1an</v>
      </c>
      <c r="B90" s="60">
        <v>4</v>
      </c>
      <c r="C90" s="60">
        <v>4</v>
      </c>
      <c r="D90" s="60">
        <v>4</v>
      </c>
      <c r="E90" s="60">
        <v>4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4</v>
      </c>
      <c r="Y90" s="60">
        <v>4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 xml:space="preserve">vaches </v>
      </c>
      <c r="B99" s="61">
        <f>VLOOKUP(B88,$AD$6:$AF$10,3)</f>
        <v>13</v>
      </c>
      <c r="C99" s="61">
        <f t="shared" ref="C99:Y99" si="21">VLOOKUP(C88,$AD$6:$AF$10,3)</f>
        <v>13</v>
      </c>
      <c r="D99" s="61">
        <f t="shared" si="21"/>
        <v>13</v>
      </c>
      <c r="E99" s="61">
        <f t="shared" si="21"/>
        <v>13</v>
      </c>
      <c r="F99" s="61">
        <f t="shared" si="21"/>
        <v>13</v>
      </c>
      <c r="G99" s="61">
        <f t="shared" si="21"/>
        <v>13</v>
      </c>
      <c r="H99" s="61">
        <f t="shared" si="21"/>
        <v>12.25</v>
      </c>
      <c r="I99" s="61">
        <f t="shared" si="21"/>
        <v>12.25</v>
      </c>
      <c r="J99" s="61">
        <f t="shared" si="21"/>
        <v>12.25</v>
      </c>
      <c r="K99" s="61">
        <f t="shared" si="21"/>
        <v>12.25</v>
      </c>
      <c r="L99" s="61">
        <f t="shared" si="21"/>
        <v>12.25</v>
      </c>
      <c r="M99" s="61">
        <f t="shared" si="21"/>
        <v>12.25</v>
      </c>
      <c r="N99" s="61">
        <f t="shared" si="21"/>
        <v>12.25</v>
      </c>
      <c r="O99" s="61">
        <f t="shared" si="21"/>
        <v>12.25</v>
      </c>
      <c r="P99" s="61">
        <f t="shared" si="21"/>
        <v>12.25</v>
      </c>
      <c r="Q99" s="61">
        <f t="shared" si="21"/>
        <v>12.25</v>
      </c>
      <c r="R99" s="61">
        <f t="shared" si="21"/>
        <v>11</v>
      </c>
      <c r="S99" s="61">
        <f t="shared" si="21"/>
        <v>11</v>
      </c>
      <c r="T99" s="61">
        <f t="shared" si="21"/>
        <v>14</v>
      </c>
      <c r="U99" s="61">
        <f t="shared" si="21"/>
        <v>14</v>
      </c>
      <c r="V99" s="61">
        <f t="shared" si="21"/>
        <v>14</v>
      </c>
      <c r="W99" s="61">
        <f t="shared" si="21"/>
        <v>14</v>
      </c>
      <c r="X99" s="61">
        <f t="shared" si="21"/>
        <v>13</v>
      </c>
      <c r="Y99" s="61">
        <f t="shared" si="21"/>
        <v>13</v>
      </c>
    </row>
    <row r="100" spans="1:33" x14ac:dyDescent="0.25">
      <c r="A100" s="128" t="str">
        <f>A$16</f>
        <v>genisses -1an</v>
      </c>
      <c r="B100" s="61">
        <f t="shared" ref="B100:Y100" si="22">VLOOKUP(B89,$AD$6:$AF$10,3)</f>
        <v>13</v>
      </c>
      <c r="C100" s="61">
        <f t="shared" si="22"/>
        <v>13</v>
      </c>
      <c r="D100" s="61">
        <f t="shared" si="22"/>
        <v>13</v>
      </c>
      <c r="E100" s="61">
        <f t="shared" si="22"/>
        <v>13</v>
      </c>
      <c r="F100" s="61">
        <f t="shared" si="22"/>
        <v>13</v>
      </c>
      <c r="G100" s="61">
        <f t="shared" si="22"/>
        <v>13</v>
      </c>
      <c r="H100" s="61">
        <f t="shared" si="22"/>
        <v>13</v>
      </c>
      <c r="I100" s="61">
        <f t="shared" si="22"/>
        <v>13</v>
      </c>
      <c r="J100" s="61">
        <f t="shared" si="22"/>
        <v>13</v>
      </c>
      <c r="K100" s="61">
        <f t="shared" si="22"/>
        <v>13</v>
      </c>
      <c r="L100" s="61">
        <f t="shared" si="22"/>
        <v>13</v>
      </c>
      <c r="M100" s="61">
        <f t="shared" si="22"/>
        <v>13</v>
      </c>
      <c r="N100" s="61">
        <f t="shared" si="22"/>
        <v>13</v>
      </c>
      <c r="O100" s="61">
        <f t="shared" si="22"/>
        <v>13</v>
      </c>
      <c r="P100" s="61">
        <f t="shared" si="22"/>
        <v>13</v>
      </c>
      <c r="Q100" s="61">
        <f t="shared" si="22"/>
        <v>13</v>
      </c>
      <c r="R100" s="61">
        <f t="shared" si="22"/>
        <v>13</v>
      </c>
      <c r="S100" s="61">
        <f t="shared" si="22"/>
        <v>13</v>
      </c>
      <c r="T100" s="61">
        <f t="shared" si="22"/>
        <v>13</v>
      </c>
      <c r="U100" s="61">
        <f t="shared" si="22"/>
        <v>13</v>
      </c>
      <c r="V100" s="61">
        <f t="shared" si="22"/>
        <v>13</v>
      </c>
      <c r="W100" s="61">
        <f t="shared" si="22"/>
        <v>13</v>
      </c>
      <c r="X100" s="61">
        <f t="shared" si="22"/>
        <v>13</v>
      </c>
      <c r="Y100" s="61">
        <f t="shared" si="22"/>
        <v>13</v>
      </c>
    </row>
    <row r="101" spans="1:33" x14ac:dyDescent="0.25">
      <c r="A101" s="128" t="str">
        <f>A$17</f>
        <v>genisses +1an</v>
      </c>
      <c r="B101" s="61">
        <f t="shared" ref="B101:Y101" si="23">VLOOKUP(B90,$AD$6:$AF$10,3)</f>
        <v>13</v>
      </c>
      <c r="C101" s="61">
        <f t="shared" si="23"/>
        <v>13</v>
      </c>
      <c r="D101" s="61">
        <f t="shared" si="23"/>
        <v>13</v>
      </c>
      <c r="E101" s="61">
        <f t="shared" si="23"/>
        <v>13</v>
      </c>
      <c r="F101" s="61">
        <f t="shared" si="23"/>
        <v>13</v>
      </c>
      <c r="G101" s="61">
        <f t="shared" si="23"/>
        <v>13</v>
      </c>
      <c r="H101" s="61">
        <f t="shared" si="23"/>
        <v>13</v>
      </c>
      <c r="I101" s="61">
        <f t="shared" si="23"/>
        <v>13</v>
      </c>
      <c r="J101" s="61">
        <f t="shared" si="23"/>
        <v>13</v>
      </c>
      <c r="K101" s="61">
        <f t="shared" si="23"/>
        <v>13</v>
      </c>
      <c r="L101" s="61">
        <f t="shared" si="23"/>
        <v>13</v>
      </c>
      <c r="M101" s="61">
        <f t="shared" si="23"/>
        <v>13</v>
      </c>
      <c r="N101" s="61">
        <f t="shared" si="23"/>
        <v>13</v>
      </c>
      <c r="O101" s="61">
        <f t="shared" si="23"/>
        <v>13</v>
      </c>
      <c r="P101" s="61">
        <f t="shared" si="23"/>
        <v>13</v>
      </c>
      <c r="Q101" s="61">
        <f t="shared" si="23"/>
        <v>13</v>
      </c>
      <c r="R101" s="61">
        <f t="shared" si="23"/>
        <v>13</v>
      </c>
      <c r="S101" s="61">
        <f t="shared" si="23"/>
        <v>13</v>
      </c>
      <c r="T101" s="61">
        <f t="shared" si="23"/>
        <v>13</v>
      </c>
      <c r="U101" s="61">
        <f t="shared" si="23"/>
        <v>13</v>
      </c>
      <c r="V101" s="61">
        <f t="shared" si="23"/>
        <v>13</v>
      </c>
      <c r="W101" s="61">
        <f t="shared" si="23"/>
        <v>13</v>
      </c>
      <c r="X101" s="61">
        <f t="shared" si="23"/>
        <v>13</v>
      </c>
      <c r="Y101" s="61">
        <f t="shared" si="23"/>
        <v>13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12.25</v>
      </c>
      <c r="C102" s="61">
        <f t="shared" si="24"/>
        <v>12.25</v>
      </c>
      <c r="D102" s="61">
        <f t="shared" si="24"/>
        <v>12.25</v>
      </c>
      <c r="E102" s="61">
        <f t="shared" si="24"/>
        <v>12.25</v>
      </c>
      <c r="F102" s="61">
        <f t="shared" si="24"/>
        <v>12.25</v>
      </c>
      <c r="G102" s="61">
        <f t="shared" si="24"/>
        <v>12.25</v>
      </c>
      <c r="H102" s="61">
        <f t="shared" si="24"/>
        <v>12.25</v>
      </c>
      <c r="I102" s="61">
        <f t="shared" si="24"/>
        <v>12.25</v>
      </c>
      <c r="J102" s="61">
        <f t="shared" si="24"/>
        <v>12.25</v>
      </c>
      <c r="K102" s="61">
        <f t="shared" si="24"/>
        <v>12.25</v>
      </c>
      <c r="L102" s="61">
        <f t="shared" si="24"/>
        <v>12.25</v>
      </c>
      <c r="M102" s="61">
        <f t="shared" si="24"/>
        <v>12.25</v>
      </c>
      <c r="N102" s="61">
        <f t="shared" si="24"/>
        <v>12.25</v>
      </c>
      <c r="O102" s="61">
        <f t="shared" si="24"/>
        <v>12.25</v>
      </c>
      <c r="P102" s="61">
        <f t="shared" si="24"/>
        <v>12.25</v>
      </c>
      <c r="Q102" s="61">
        <f t="shared" si="24"/>
        <v>12.25</v>
      </c>
      <c r="R102" s="61">
        <f t="shared" si="24"/>
        <v>12.25</v>
      </c>
      <c r="S102" s="61">
        <f t="shared" si="24"/>
        <v>12.25</v>
      </c>
      <c r="T102" s="61">
        <f t="shared" si="24"/>
        <v>12.25</v>
      </c>
      <c r="U102" s="61">
        <f t="shared" si="24"/>
        <v>12.25</v>
      </c>
      <c r="V102" s="61">
        <f t="shared" si="24"/>
        <v>12.25</v>
      </c>
      <c r="W102" s="61">
        <f t="shared" si="24"/>
        <v>12.25</v>
      </c>
      <c r="X102" s="61">
        <f t="shared" si="24"/>
        <v>12.25</v>
      </c>
      <c r="Y102" s="61">
        <f t="shared" si="24"/>
        <v>12.25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12.25</v>
      </c>
      <c r="C103" s="61">
        <f t="shared" si="25"/>
        <v>12.25</v>
      </c>
      <c r="D103" s="61">
        <f t="shared" si="25"/>
        <v>12.25</v>
      </c>
      <c r="E103" s="61">
        <f t="shared" si="25"/>
        <v>12.25</v>
      </c>
      <c r="F103" s="61">
        <f t="shared" si="25"/>
        <v>12.25</v>
      </c>
      <c r="G103" s="61">
        <f t="shared" si="25"/>
        <v>12.25</v>
      </c>
      <c r="H103" s="61">
        <f t="shared" si="25"/>
        <v>12.25</v>
      </c>
      <c r="I103" s="61">
        <f t="shared" si="25"/>
        <v>12.25</v>
      </c>
      <c r="J103" s="61">
        <f t="shared" si="25"/>
        <v>12.25</v>
      </c>
      <c r="K103" s="61">
        <f t="shared" si="25"/>
        <v>12.25</v>
      </c>
      <c r="L103" s="61">
        <f t="shared" si="25"/>
        <v>12.25</v>
      </c>
      <c r="M103" s="61">
        <f t="shared" si="25"/>
        <v>12.25</v>
      </c>
      <c r="N103" s="61">
        <f t="shared" si="25"/>
        <v>12.25</v>
      </c>
      <c r="O103" s="61">
        <f t="shared" si="25"/>
        <v>12.25</v>
      </c>
      <c r="P103" s="61">
        <f t="shared" si="25"/>
        <v>12.25</v>
      </c>
      <c r="Q103" s="61">
        <f t="shared" si="25"/>
        <v>12.25</v>
      </c>
      <c r="R103" s="61">
        <f t="shared" si="25"/>
        <v>12.25</v>
      </c>
      <c r="S103" s="61">
        <f t="shared" si="25"/>
        <v>12.25</v>
      </c>
      <c r="T103" s="61">
        <f t="shared" si="25"/>
        <v>12.25</v>
      </c>
      <c r="U103" s="61">
        <f t="shared" si="25"/>
        <v>12.25</v>
      </c>
      <c r="V103" s="61">
        <f t="shared" si="25"/>
        <v>12.25</v>
      </c>
      <c r="W103" s="61">
        <f t="shared" si="25"/>
        <v>12.25</v>
      </c>
      <c r="X103" s="61">
        <f t="shared" si="25"/>
        <v>12.25</v>
      </c>
      <c r="Y103" s="61">
        <f t="shared" si="25"/>
        <v>12.25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12.25</v>
      </c>
      <c r="C104" s="61">
        <f t="shared" si="26"/>
        <v>12.25</v>
      </c>
      <c r="D104" s="61">
        <f t="shared" si="26"/>
        <v>12.25</v>
      </c>
      <c r="E104" s="61">
        <f t="shared" si="26"/>
        <v>12.25</v>
      </c>
      <c r="F104" s="61">
        <f t="shared" si="26"/>
        <v>12.25</v>
      </c>
      <c r="G104" s="61">
        <f t="shared" si="26"/>
        <v>12.25</v>
      </c>
      <c r="H104" s="61">
        <f t="shared" si="26"/>
        <v>12.25</v>
      </c>
      <c r="I104" s="61">
        <f t="shared" si="26"/>
        <v>12.25</v>
      </c>
      <c r="J104" s="61">
        <f t="shared" si="26"/>
        <v>12.25</v>
      </c>
      <c r="K104" s="61">
        <f t="shared" si="26"/>
        <v>12.25</v>
      </c>
      <c r="L104" s="61">
        <f t="shared" si="26"/>
        <v>12.25</v>
      </c>
      <c r="M104" s="61">
        <f t="shared" si="26"/>
        <v>12.25</v>
      </c>
      <c r="N104" s="61">
        <f t="shared" si="26"/>
        <v>12.25</v>
      </c>
      <c r="O104" s="61">
        <f t="shared" si="26"/>
        <v>12.25</v>
      </c>
      <c r="P104" s="61">
        <f t="shared" si="26"/>
        <v>12.25</v>
      </c>
      <c r="Q104" s="61">
        <f t="shared" si="26"/>
        <v>12.25</v>
      </c>
      <c r="R104" s="61">
        <f t="shared" si="26"/>
        <v>12.25</v>
      </c>
      <c r="S104" s="61">
        <f t="shared" si="26"/>
        <v>12.25</v>
      </c>
      <c r="T104" s="61">
        <f t="shared" si="26"/>
        <v>12.25</v>
      </c>
      <c r="U104" s="61">
        <f t="shared" si="26"/>
        <v>12.25</v>
      </c>
      <c r="V104" s="61">
        <f t="shared" si="26"/>
        <v>12.25</v>
      </c>
      <c r="W104" s="61">
        <f t="shared" si="26"/>
        <v>12.25</v>
      </c>
      <c r="X104" s="61">
        <f t="shared" si="26"/>
        <v>12.25</v>
      </c>
      <c r="Y104" s="61">
        <f t="shared" si="26"/>
        <v>12.25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12.25</v>
      </c>
      <c r="C105" s="61">
        <f t="shared" si="27"/>
        <v>12.25</v>
      </c>
      <c r="D105" s="61">
        <f t="shared" si="27"/>
        <v>12.25</v>
      </c>
      <c r="E105" s="61">
        <f t="shared" si="27"/>
        <v>12.25</v>
      </c>
      <c r="F105" s="61">
        <f t="shared" si="27"/>
        <v>12.25</v>
      </c>
      <c r="G105" s="61">
        <f t="shared" si="27"/>
        <v>12.25</v>
      </c>
      <c r="H105" s="61">
        <f t="shared" si="27"/>
        <v>12.25</v>
      </c>
      <c r="I105" s="61">
        <f t="shared" si="27"/>
        <v>12.25</v>
      </c>
      <c r="J105" s="61">
        <f t="shared" si="27"/>
        <v>12.25</v>
      </c>
      <c r="K105" s="61">
        <f t="shared" si="27"/>
        <v>12.25</v>
      </c>
      <c r="L105" s="61">
        <f t="shared" si="27"/>
        <v>12.25</v>
      </c>
      <c r="M105" s="61">
        <f t="shared" si="27"/>
        <v>12.25</v>
      </c>
      <c r="N105" s="61">
        <f t="shared" si="27"/>
        <v>12.25</v>
      </c>
      <c r="O105" s="61">
        <f t="shared" si="27"/>
        <v>12.25</v>
      </c>
      <c r="P105" s="61">
        <f t="shared" si="27"/>
        <v>12.25</v>
      </c>
      <c r="Q105" s="61">
        <f t="shared" si="27"/>
        <v>12.25</v>
      </c>
      <c r="R105" s="61">
        <f t="shared" si="27"/>
        <v>12.25</v>
      </c>
      <c r="S105" s="61">
        <f t="shared" si="27"/>
        <v>12.25</v>
      </c>
      <c r="T105" s="61">
        <f t="shared" si="27"/>
        <v>12.25</v>
      </c>
      <c r="U105" s="61">
        <f t="shared" si="27"/>
        <v>12.25</v>
      </c>
      <c r="V105" s="61">
        <f t="shared" si="27"/>
        <v>12.25</v>
      </c>
      <c r="W105" s="61">
        <f t="shared" si="27"/>
        <v>12.25</v>
      </c>
      <c r="X105" s="61">
        <f t="shared" si="27"/>
        <v>12.25</v>
      </c>
      <c r="Y105" s="61">
        <f t="shared" si="27"/>
        <v>12.25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12.25</v>
      </c>
      <c r="C106" s="61">
        <f t="shared" si="28"/>
        <v>12.25</v>
      </c>
      <c r="D106" s="61">
        <f t="shared" si="28"/>
        <v>12.25</v>
      </c>
      <c r="E106" s="61">
        <f t="shared" si="28"/>
        <v>12.25</v>
      </c>
      <c r="F106" s="61">
        <f t="shared" si="28"/>
        <v>12.25</v>
      </c>
      <c r="G106" s="61">
        <f t="shared" si="28"/>
        <v>12.25</v>
      </c>
      <c r="H106" s="61">
        <f t="shared" si="28"/>
        <v>12.25</v>
      </c>
      <c r="I106" s="61">
        <f t="shared" si="28"/>
        <v>12.25</v>
      </c>
      <c r="J106" s="61">
        <f t="shared" si="28"/>
        <v>12.25</v>
      </c>
      <c r="K106" s="61">
        <f t="shared" si="28"/>
        <v>12.25</v>
      </c>
      <c r="L106" s="61">
        <f t="shared" si="28"/>
        <v>12.25</v>
      </c>
      <c r="M106" s="61">
        <f t="shared" si="28"/>
        <v>12.25</v>
      </c>
      <c r="N106" s="61">
        <f t="shared" si="28"/>
        <v>12.25</v>
      </c>
      <c r="O106" s="61">
        <f t="shared" si="28"/>
        <v>12.25</v>
      </c>
      <c r="P106" s="61">
        <f t="shared" si="28"/>
        <v>12.25</v>
      </c>
      <c r="Q106" s="61">
        <f t="shared" si="28"/>
        <v>12.25</v>
      </c>
      <c r="R106" s="61">
        <f t="shared" si="28"/>
        <v>12.25</v>
      </c>
      <c r="S106" s="61">
        <f t="shared" si="28"/>
        <v>12.25</v>
      </c>
      <c r="T106" s="61">
        <f t="shared" si="28"/>
        <v>12.25</v>
      </c>
      <c r="U106" s="61">
        <f t="shared" si="28"/>
        <v>12.25</v>
      </c>
      <c r="V106" s="61">
        <f t="shared" si="28"/>
        <v>12.25</v>
      </c>
      <c r="W106" s="61">
        <f t="shared" si="28"/>
        <v>12.25</v>
      </c>
      <c r="X106" s="61">
        <f t="shared" si="28"/>
        <v>12.25</v>
      </c>
      <c r="Y106" s="61">
        <f t="shared" si="28"/>
        <v>12.25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12.25</v>
      </c>
      <c r="C107" s="61">
        <f t="shared" si="29"/>
        <v>12.25</v>
      </c>
      <c r="D107" s="61">
        <f t="shared" si="29"/>
        <v>12.25</v>
      </c>
      <c r="E107" s="61">
        <f t="shared" si="29"/>
        <v>12.25</v>
      </c>
      <c r="F107" s="61">
        <f t="shared" si="29"/>
        <v>12.25</v>
      </c>
      <c r="G107" s="61">
        <f t="shared" si="29"/>
        <v>12.25</v>
      </c>
      <c r="H107" s="61">
        <f t="shared" si="29"/>
        <v>12.25</v>
      </c>
      <c r="I107" s="61">
        <f t="shared" si="29"/>
        <v>12.25</v>
      </c>
      <c r="J107" s="61">
        <f t="shared" si="29"/>
        <v>12.25</v>
      </c>
      <c r="K107" s="61">
        <f t="shared" si="29"/>
        <v>12.25</v>
      </c>
      <c r="L107" s="61">
        <f t="shared" si="29"/>
        <v>12.25</v>
      </c>
      <c r="M107" s="61">
        <f t="shared" si="29"/>
        <v>12.25</v>
      </c>
      <c r="N107" s="61">
        <f t="shared" si="29"/>
        <v>12.25</v>
      </c>
      <c r="O107" s="61">
        <f t="shared" si="29"/>
        <v>12.25</v>
      </c>
      <c r="P107" s="61">
        <f t="shared" si="29"/>
        <v>12.25</v>
      </c>
      <c r="Q107" s="61">
        <f t="shared" si="29"/>
        <v>12.25</v>
      </c>
      <c r="R107" s="61">
        <f t="shared" si="29"/>
        <v>12.25</v>
      </c>
      <c r="S107" s="61">
        <f t="shared" si="29"/>
        <v>12.25</v>
      </c>
      <c r="T107" s="61">
        <f t="shared" si="29"/>
        <v>12.25</v>
      </c>
      <c r="U107" s="61">
        <f t="shared" si="29"/>
        <v>12.25</v>
      </c>
      <c r="V107" s="61">
        <f t="shared" si="29"/>
        <v>12.25</v>
      </c>
      <c r="W107" s="61">
        <f t="shared" si="29"/>
        <v>12.25</v>
      </c>
      <c r="X107" s="61">
        <f t="shared" si="29"/>
        <v>12.25</v>
      </c>
      <c r="Y107" s="61">
        <f t="shared" si="29"/>
        <v>12.25</v>
      </c>
    </row>
    <row r="108" spans="1:33" x14ac:dyDescent="0.25">
      <c r="A108" s="128" t="str">
        <f>A$24</f>
        <v>lot10</v>
      </c>
      <c r="B108" s="61">
        <f t="shared" ref="B108:X108" si="30">VLOOKUP(B97,$AD$6:$AF$10,3)</f>
        <v>12.25</v>
      </c>
      <c r="C108" s="61">
        <f t="shared" si="30"/>
        <v>12.25</v>
      </c>
      <c r="D108" s="61">
        <f t="shared" si="30"/>
        <v>12.25</v>
      </c>
      <c r="E108" s="61">
        <f t="shared" si="30"/>
        <v>12.25</v>
      </c>
      <c r="F108" s="61">
        <f t="shared" si="30"/>
        <v>12.25</v>
      </c>
      <c r="G108" s="61">
        <f t="shared" si="30"/>
        <v>12.25</v>
      </c>
      <c r="H108" s="61">
        <f t="shared" si="30"/>
        <v>12.25</v>
      </c>
      <c r="I108" s="61">
        <f t="shared" si="30"/>
        <v>12.25</v>
      </c>
      <c r="J108" s="61">
        <f t="shared" si="30"/>
        <v>12.25</v>
      </c>
      <c r="K108" s="61">
        <f t="shared" si="30"/>
        <v>12.25</v>
      </c>
      <c r="L108" s="61">
        <f t="shared" si="30"/>
        <v>12.25</v>
      </c>
      <c r="M108" s="61">
        <f t="shared" si="30"/>
        <v>12.25</v>
      </c>
      <c r="N108" s="61">
        <f t="shared" si="30"/>
        <v>12.25</v>
      </c>
      <c r="O108" s="61">
        <f t="shared" si="30"/>
        <v>12.25</v>
      </c>
      <c r="P108" s="61">
        <f t="shared" si="30"/>
        <v>12.25</v>
      </c>
      <c r="Q108" s="61">
        <f t="shared" si="30"/>
        <v>12.25</v>
      </c>
      <c r="R108" s="61">
        <f t="shared" si="30"/>
        <v>12.25</v>
      </c>
      <c r="S108" s="61">
        <f t="shared" si="30"/>
        <v>12.25</v>
      </c>
      <c r="T108" s="61">
        <f t="shared" si="30"/>
        <v>12.25</v>
      </c>
      <c r="U108" s="61">
        <f t="shared" si="30"/>
        <v>12.25</v>
      </c>
      <c r="V108" s="61">
        <f t="shared" si="30"/>
        <v>12.25</v>
      </c>
      <c r="W108" s="61">
        <f t="shared" si="30"/>
        <v>12.25</v>
      </c>
      <c r="X108" s="61">
        <f t="shared" si="30"/>
        <v>12.25</v>
      </c>
      <c r="Y108" s="61">
        <f>VLOOKUP(Y97,$AD$6:$AF$10,3)</f>
        <v>12.25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 xml:space="preserve">vaches </v>
      </c>
      <c r="B110" s="61">
        <f t="shared" ref="B110:Y119" si="31">(B39*B$3*B99)/1000</f>
        <v>2.8049122399999997</v>
      </c>
      <c r="C110" s="61">
        <f t="shared" si="31"/>
        <v>2.7932736</v>
      </c>
      <c r="D110" s="61">
        <f t="shared" si="31"/>
        <v>2.5229567999999998</v>
      </c>
      <c r="E110" s="61">
        <f t="shared" si="31"/>
        <v>2.5229567999999998</v>
      </c>
      <c r="F110" s="61">
        <f t="shared" si="31"/>
        <v>2.7932736</v>
      </c>
      <c r="G110" s="61">
        <f t="shared" si="31"/>
        <v>2.6303326400000002</v>
      </c>
      <c r="H110" s="61">
        <f t="shared" si="31"/>
        <v>2.3508681</v>
      </c>
      <c r="I110" s="61">
        <f t="shared" si="31"/>
        <v>2.3031078000000003</v>
      </c>
      <c r="J110" s="61">
        <f t="shared" si="31"/>
        <v>2.3305257499999996</v>
      </c>
      <c r="K110" s="61">
        <f t="shared" si="31"/>
        <v>2.3305257499999996</v>
      </c>
      <c r="L110" s="61">
        <f t="shared" si="31"/>
        <v>2.2553475000000001</v>
      </c>
      <c r="M110" s="61">
        <f t="shared" si="31"/>
        <v>2.2553475000000001</v>
      </c>
      <c r="N110" s="61">
        <f t="shared" si="31"/>
        <v>2.3305257499999996</v>
      </c>
      <c r="O110" s="61">
        <f t="shared" si="31"/>
        <v>2.3305257499999996</v>
      </c>
      <c r="P110" s="61">
        <f t="shared" si="31"/>
        <v>2.3305257499999996</v>
      </c>
      <c r="Q110" s="61">
        <f t="shared" si="31"/>
        <v>2.3305257499999996</v>
      </c>
      <c r="R110" s="61">
        <f t="shared" si="31"/>
        <v>1.9186200000000002</v>
      </c>
      <c r="S110" s="61">
        <f t="shared" si="31"/>
        <v>1.9186200000000002</v>
      </c>
      <c r="T110" s="61">
        <f t="shared" si="31"/>
        <v>2.5945214399999998</v>
      </c>
      <c r="U110" s="61">
        <f t="shared" si="31"/>
        <v>2.6657668800000001</v>
      </c>
      <c r="V110" s="61">
        <f t="shared" si="31"/>
        <v>2.7958727999999997</v>
      </c>
      <c r="W110" s="61">
        <f t="shared" si="31"/>
        <v>2.8504559999999999</v>
      </c>
      <c r="X110" s="61">
        <f t="shared" si="31"/>
        <v>2.7874542799999995</v>
      </c>
      <c r="Y110" s="61">
        <f t="shared" si="31"/>
        <v>2.8398281600000002</v>
      </c>
    </row>
    <row r="111" spans="1:33" x14ac:dyDescent="0.25">
      <c r="A111" s="128" t="str">
        <f>A$16</f>
        <v>genisses -1an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0.10719799999999997</v>
      </c>
      <c r="H111" s="61">
        <f t="shared" si="31"/>
        <v>0.20747999999999997</v>
      </c>
      <c r="I111" s="61">
        <f t="shared" si="31"/>
        <v>0.31122</v>
      </c>
      <c r="J111" s="61">
        <f t="shared" si="31"/>
        <v>0.32159399999999999</v>
      </c>
      <c r="K111" s="61">
        <f t="shared" si="31"/>
        <v>0.32159399999999999</v>
      </c>
      <c r="L111" s="61">
        <f t="shared" si="31"/>
        <v>0.31122</v>
      </c>
      <c r="M111" s="61">
        <f t="shared" si="31"/>
        <v>0.31122</v>
      </c>
      <c r="N111" s="61">
        <f t="shared" si="31"/>
        <v>0.32159399999999999</v>
      </c>
      <c r="O111" s="61">
        <f t="shared" si="31"/>
        <v>0.32159399999999999</v>
      </c>
      <c r="P111" s="61">
        <f t="shared" si="31"/>
        <v>0.32159399999999999</v>
      </c>
      <c r="Q111" s="61">
        <f t="shared" si="31"/>
        <v>0.32159399999999999</v>
      </c>
      <c r="R111" s="61">
        <f t="shared" si="31"/>
        <v>0.31122</v>
      </c>
      <c r="S111" s="61">
        <f t="shared" si="31"/>
        <v>0.31122</v>
      </c>
      <c r="T111" s="61">
        <f t="shared" si="31"/>
        <v>0.26799499999999998</v>
      </c>
      <c r="U111" s="61">
        <f t="shared" si="31"/>
        <v>0.26799499999999998</v>
      </c>
      <c r="V111" s="61">
        <f t="shared" si="31"/>
        <v>0.10373999999999999</v>
      </c>
      <c r="W111" s="61">
        <f t="shared" si="31"/>
        <v>5.1869999999999993E-2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genisses +1an</v>
      </c>
      <c r="B112" s="61">
        <f t="shared" si="31"/>
        <v>1.286376</v>
      </c>
      <c r="C112" s="61">
        <f t="shared" si="31"/>
        <v>1.286376</v>
      </c>
      <c r="D112" s="61">
        <f t="shared" si="31"/>
        <v>1.1618879999999998</v>
      </c>
      <c r="E112" s="61">
        <f t="shared" si="31"/>
        <v>1.1618879999999998</v>
      </c>
      <c r="F112" s="61">
        <f t="shared" si="31"/>
        <v>1.286376</v>
      </c>
      <c r="G112" s="61">
        <f t="shared" si="31"/>
        <v>1.286376</v>
      </c>
      <c r="H112" s="61">
        <f t="shared" si="31"/>
        <v>1.24488</v>
      </c>
      <c r="I112" s="61">
        <f t="shared" si="31"/>
        <v>1.24488</v>
      </c>
      <c r="J112" s="61">
        <f t="shared" si="31"/>
        <v>1.286376</v>
      </c>
      <c r="K112" s="61">
        <f t="shared" si="31"/>
        <v>1.286376</v>
      </c>
      <c r="L112" s="61">
        <f t="shared" si="31"/>
        <v>1.24488</v>
      </c>
      <c r="M112" s="61">
        <f t="shared" si="31"/>
        <v>1.24488</v>
      </c>
      <c r="N112" s="61">
        <f t="shared" si="31"/>
        <v>1.286376</v>
      </c>
      <c r="O112" s="61">
        <f t="shared" si="31"/>
        <v>1.286376</v>
      </c>
      <c r="P112" s="61">
        <f t="shared" si="31"/>
        <v>1.286376</v>
      </c>
      <c r="Q112" s="61">
        <f t="shared" si="31"/>
        <v>1.286376</v>
      </c>
      <c r="R112" s="61">
        <f t="shared" si="31"/>
        <v>1.24488</v>
      </c>
      <c r="S112" s="61">
        <f t="shared" si="31"/>
        <v>1.24488</v>
      </c>
      <c r="T112" s="61">
        <f t="shared" si="31"/>
        <v>1.286376</v>
      </c>
      <c r="U112" s="61">
        <f t="shared" si="31"/>
        <v>1.286376</v>
      </c>
      <c r="V112" s="61">
        <f t="shared" si="31"/>
        <v>1.24488</v>
      </c>
      <c r="W112" s="61">
        <f t="shared" si="31"/>
        <v>1.24488</v>
      </c>
      <c r="X112" s="61">
        <f t="shared" si="31"/>
        <v>1.286376</v>
      </c>
      <c r="Y112" s="61">
        <f t="shared" si="31"/>
        <v>1.286376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202</v>
      </c>
      <c r="B120" s="61">
        <f>ROUNDUP(SUM(B110:B119),1)</f>
        <v>4.0999999999999996</v>
      </c>
      <c r="C120" s="61">
        <f t="shared" ref="C120:Y120" si="32">SUM(C110:C119)</f>
        <v>4.0796495999999998</v>
      </c>
      <c r="D120" s="61">
        <f t="shared" si="32"/>
        <v>3.6848447999999996</v>
      </c>
      <c r="E120" s="61">
        <f t="shared" si="32"/>
        <v>3.6848447999999996</v>
      </c>
      <c r="F120" s="61">
        <f t="shared" si="32"/>
        <v>4.0796495999999998</v>
      </c>
      <c r="G120" s="61">
        <f t="shared" si="32"/>
        <v>4.0239066399999999</v>
      </c>
      <c r="H120" s="61">
        <f t="shared" si="32"/>
        <v>3.8032281000000001</v>
      </c>
      <c r="I120" s="61">
        <f t="shared" si="32"/>
        <v>3.8592078000000001</v>
      </c>
      <c r="J120" s="61">
        <f t="shared" si="32"/>
        <v>3.9384957499999995</v>
      </c>
      <c r="K120" s="61">
        <f t="shared" si="32"/>
        <v>3.9384957499999995</v>
      </c>
      <c r="L120" s="61">
        <f t="shared" si="32"/>
        <v>3.8114474999999999</v>
      </c>
      <c r="M120" s="61">
        <f t="shared" si="32"/>
        <v>3.8114474999999999</v>
      </c>
      <c r="N120" s="61">
        <f t="shared" si="32"/>
        <v>3.9384957499999995</v>
      </c>
      <c r="O120" s="61">
        <f t="shared" si="32"/>
        <v>3.9384957499999995</v>
      </c>
      <c r="P120" s="61">
        <f t="shared" si="32"/>
        <v>3.9384957499999995</v>
      </c>
      <c r="Q120" s="61">
        <f t="shared" si="32"/>
        <v>3.9384957499999995</v>
      </c>
      <c r="R120" s="61">
        <f t="shared" si="32"/>
        <v>3.4747200000000005</v>
      </c>
      <c r="S120" s="61">
        <f t="shared" si="32"/>
        <v>3.4747200000000005</v>
      </c>
      <c r="T120" s="61">
        <f t="shared" si="32"/>
        <v>4.14889244</v>
      </c>
      <c r="U120" s="61">
        <f t="shared" si="32"/>
        <v>4.2201378800000002</v>
      </c>
      <c r="V120" s="61">
        <f t="shared" si="32"/>
        <v>4.1444928000000001</v>
      </c>
      <c r="W120" s="61">
        <f t="shared" si="32"/>
        <v>4.1472059999999997</v>
      </c>
      <c r="X120" s="61">
        <f t="shared" si="32"/>
        <v>4.0738302799999992</v>
      </c>
      <c r="Y120" s="61">
        <f t="shared" si="32"/>
        <v>4.1262041600000003</v>
      </c>
      <c r="AA120" s="57">
        <f>SUM(B120:Y120)</f>
        <v>94.379404399999999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 xml:space="preserve">vaches </v>
      </c>
      <c r="B123" s="60"/>
      <c r="C123" s="60"/>
      <c r="D123" s="60"/>
      <c r="E123" s="60"/>
      <c r="F123" s="60"/>
      <c r="G123" s="60"/>
      <c r="H123" s="60">
        <v>1</v>
      </c>
      <c r="I123" s="60">
        <v>1</v>
      </c>
      <c r="J123" s="60">
        <v>1</v>
      </c>
      <c r="K123" s="60">
        <v>1</v>
      </c>
      <c r="L123" s="60">
        <v>1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60">
        <v>1</v>
      </c>
      <c r="S123" s="60">
        <v>1</v>
      </c>
      <c r="T123" s="60">
        <v>0.5</v>
      </c>
      <c r="U123" s="60">
        <v>0.5</v>
      </c>
      <c r="V123" s="60">
        <v>0.5</v>
      </c>
      <c r="W123" s="60">
        <v>0.5</v>
      </c>
      <c r="X123" s="60"/>
      <c r="Y123" s="60"/>
    </row>
    <row r="124" spans="1:29" x14ac:dyDescent="0.25">
      <c r="A124" s="128" t="str">
        <f>A$16</f>
        <v>genisses -1an</v>
      </c>
      <c r="B124" s="60"/>
      <c r="C124" s="60"/>
      <c r="D124" s="60"/>
      <c r="E124" s="60"/>
      <c r="F124" s="60">
        <v>0.5</v>
      </c>
      <c r="G124" s="60">
        <v>0.5</v>
      </c>
      <c r="H124" s="60">
        <v>0.5</v>
      </c>
      <c r="I124" s="60">
        <v>0.5</v>
      </c>
      <c r="J124" s="60">
        <v>0.5</v>
      </c>
      <c r="K124" s="60">
        <v>0.5</v>
      </c>
      <c r="L124" s="60">
        <v>0.5</v>
      </c>
      <c r="M124" s="60">
        <v>0.5</v>
      </c>
      <c r="N124" s="60">
        <v>0.5</v>
      </c>
      <c r="O124" s="60">
        <v>0.5</v>
      </c>
      <c r="P124" s="60">
        <v>0.5</v>
      </c>
      <c r="Q124" s="60">
        <v>0.5</v>
      </c>
      <c r="R124" s="60">
        <v>0.5</v>
      </c>
      <c r="S124" s="60">
        <v>0.5</v>
      </c>
      <c r="T124" s="60">
        <v>0.5</v>
      </c>
      <c r="U124" s="60">
        <v>0.5</v>
      </c>
      <c r="V124" s="60">
        <v>0.5</v>
      </c>
      <c r="W124" s="60">
        <v>0.5</v>
      </c>
      <c r="X124" s="60"/>
      <c r="Y124" s="60"/>
    </row>
    <row r="125" spans="1:29" x14ac:dyDescent="0.25">
      <c r="A125" s="128" t="str">
        <f>A$17</f>
        <v>genisses +1an</v>
      </c>
      <c r="B125" s="60"/>
      <c r="C125" s="60"/>
      <c r="D125" s="60"/>
      <c r="E125" s="60"/>
      <c r="F125" s="60">
        <v>1</v>
      </c>
      <c r="G125" s="60">
        <v>1</v>
      </c>
      <c r="H125" s="60">
        <v>1</v>
      </c>
      <c r="I125" s="60">
        <v>1</v>
      </c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>
        <v>1</v>
      </c>
      <c r="Q125" s="60">
        <v>1</v>
      </c>
      <c r="R125" s="60">
        <v>1</v>
      </c>
      <c r="S125" s="60">
        <v>1</v>
      </c>
      <c r="T125" s="60">
        <v>1</v>
      </c>
      <c r="U125" s="60">
        <v>1</v>
      </c>
      <c r="V125" s="60">
        <v>1</v>
      </c>
      <c r="W125" s="60">
        <v>1</v>
      </c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 xml:space="preserve">vaches </v>
      </c>
      <c r="B136" s="61">
        <f>B110*(1-B123)</f>
        <v>2.8049122399999997</v>
      </c>
      <c r="C136" s="61">
        <f t="shared" ref="C136:Y136" si="33">C110*(1-C123)</f>
        <v>2.7932736</v>
      </c>
      <c r="D136" s="61">
        <f t="shared" si="33"/>
        <v>2.5229567999999998</v>
      </c>
      <c r="E136" s="61">
        <f t="shared" si="33"/>
        <v>2.5229567999999998</v>
      </c>
      <c r="F136" s="61">
        <f t="shared" si="33"/>
        <v>2.7932736</v>
      </c>
      <c r="G136" s="61">
        <f t="shared" si="33"/>
        <v>2.6303326400000002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1.2972607199999999</v>
      </c>
      <c r="U136" s="61">
        <f t="shared" si="33"/>
        <v>1.33288344</v>
      </c>
      <c r="V136" s="61">
        <f t="shared" si="33"/>
        <v>1.3979363999999999</v>
      </c>
      <c r="W136" s="61">
        <f t="shared" si="33"/>
        <v>1.4252279999999999</v>
      </c>
      <c r="X136" s="61">
        <f t="shared" si="33"/>
        <v>2.7874542799999995</v>
      </c>
      <c r="Y136" s="61">
        <f t="shared" si="33"/>
        <v>2.8398281600000002</v>
      </c>
      <c r="AA136" s="61">
        <f>SUM(B136:Y136)</f>
        <v>27.148296679999994</v>
      </c>
    </row>
    <row r="137" spans="1:31" x14ac:dyDescent="0.25">
      <c r="A137" s="128" t="str">
        <f>A$16</f>
        <v>genisses -1an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5.3598999999999987E-2</v>
      </c>
      <c r="H137" s="61">
        <f t="shared" si="34"/>
        <v>0.10373999999999999</v>
      </c>
      <c r="I137" s="61">
        <f t="shared" si="34"/>
        <v>0.15561</v>
      </c>
      <c r="J137" s="61">
        <f t="shared" si="34"/>
        <v>0.160797</v>
      </c>
      <c r="K137" s="61">
        <f t="shared" si="34"/>
        <v>0.160797</v>
      </c>
      <c r="L137" s="61">
        <f t="shared" si="34"/>
        <v>0.15561</v>
      </c>
      <c r="M137" s="61">
        <f t="shared" si="34"/>
        <v>0.15561</v>
      </c>
      <c r="N137" s="61">
        <f t="shared" si="34"/>
        <v>0.160797</v>
      </c>
      <c r="O137" s="61">
        <f t="shared" si="34"/>
        <v>0.160797</v>
      </c>
      <c r="P137" s="61">
        <f t="shared" si="34"/>
        <v>0.160797</v>
      </c>
      <c r="Q137" s="61">
        <f t="shared" si="34"/>
        <v>0.160797</v>
      </c>
      <c r="R137" s="61">
        <f t="shared" si="34"/>
        <v>0.15561</v>
      </c>
      <c r="S137" s="61">
        <f t="shared" si="34"/>
        <v>0.15561</v>
      </c>
      <c r="T137" s="61">
        <f t="shared" si="34"/>
        <v>0.13399749999999999</v>
      </c>
      <c r="U137" s="61">
        <f t="shared" si="34"/>
        <v>0.13399749999999999</v>
      </c>
      <c r="V137" s="61">
        <f t="shared" si="34"/>
        <v>5.1869999999999993E-2</v>
      </c>
      <c r="W137" s="61">
        <f t="shared" si="34"/>
        <v>2.5934999999999996E-2</v>
      </c>
      <c r="X137" s="61">
        <f t="shared" si="34"/>
        <v>0</v>
      </c>
      <c r="Y137" s="61">
        <f t="shared" si="34"/>
        <v>0</v>
      </c>
      <c r="AA137" s="61">
        <f>SUM(B137:Y137)</f>
        <v>2.2459710000000004</v>
      </c>
    </row>
    <row r="138" spans="1:31" x14ac:dyDescent="0.25">
      <c r="A138" s="128" t="str">
        <f>A$17</f>
        <v>genisses +1an</v>
      </c>
      <c r="B138" s="61">
        <f t="shared" si="34"/>
        <v>1.286376</v>
      </c>
      <c r="C138" s="61">
        <f t="shared" si="34"/>
        <v>1.286376</v>
      </c>
      <c r="D138" s="61">
        <f t="shared" si="34"/>
        <v>1.1618879999999998</v>
      </c>
      <c r="E138" s="61">
        <f t="shared" si="34"/>
        <v>1.1618879999999998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1.286376</v>
      </c>
      <c r="Y138" s="61">
        <f t="shared" si="34"/>
        <v>1.286376</v>
      </c>
      <c r="AA138" s="61">
        <f t="shared" ref="AA138:AA144" si="35">SUM(B138:Y138)</f>
        <v>7.4692799999999995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36.863547679999996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38.706725063999997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 xml:space="preserve">vaches 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2.3508681</v>
      </c>
      <c r="I149" s="61">
        <f t="shared" si="37"/>
        <v>2.3031078000000003</v>
      </c>
      <c r="J149" s="61">
        <f t="shared" si="37"/>
        <v>2.3305257499999996</v>
      </c>
      <c r="K149" s="61">
        <f t="shared" si="37"/>
        <v>2.3305257499999996</v>
      </c>
      <c r="L149" s="61">
        <f t="shared" si="37"/>
        <v>2.2553475000000001</v>
      </c>
      <c r="M149" s="61">
        <f t="shared" si="37"/>
        <v>2.2553475000000001</v>
      </c>
      <c r="N149" s="61">
        <f t="shared" si="37"/>
        <v>2.3305257499999996</v>
      </c>
      <c r="O149" s="61">
        <f t="shared" si="37"/>
        <v>2.3305257499999996</v>
      </c>
      <c r="P149" s="61">
        <f t="shared" si="37"/>
        <v>2.3305257499999996</v>
      </c>
      <c r="Q149" s="61">
        <f t="shared" si="37"/>
        <v>2.3305257499999996</v>
      </c>
      <c r="R149" s="61">
        <f t="shared" si="37"/>
        <v>1.9186200000000002</v>
      </c>
      <c r="S149" s="61">
        <f t="shared" si="37"/>
        <v>1.9186200000000002</v>
      </c>
      <c r="T149" s="61">
        <f t="shared" si="37"/>
        <v>1.2972607199999999</v>
      </c>
      <c r="U149" s="61">
        <f t="shared" si="37"/>
        <v>1.33288344</v>
      </c>
      <c r="V149" s="61">
        <f t="shared" si="37"/>
        <v>1.3979363999999999</v>
      </c>
      <c r="W149" s="61">
        <f t="shared" si="37"/>
        <v>1.4252279999999999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genisses -1an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5.3598999999999987E-2</v>
      </c>
      <c r="H150" s="61">
        <f t="shared" si="38"/>
        <v>0.10373999999999999</v>
      </c>
      <c r="I150" s="61">
        <f t="shared" si="38"/>
        <v>0.15561</v>
      </c>
      <c r="J150" s="61">
        <f t="shared" si="38"/>
        <v>0.160797</v>
      </c>
      <c r="K150" s="61">
        <f t="shared" si="38"/>
        <v>0.160797</v>
      </c>
      <c r="L150" s="61">
        <f t="shared" si="38"/>
        <v>0.15561</v>
      </c>
      <c r="M150" s="61">
        <f t="shared" si="38"/>
        <v>0.15561</v>
      </c>
      <c r="N150" s="61">
        <f t="shared" si="38"/>
        <v>0.160797</v>
      </c>
      <c r="O150" s="61">
        <f t="shared" si="38"/>
        <v>0.160797</v>
      </c>
      <c r="P150" s="61">
        <f t="shared" si="38"/>
        <v>0.160797</v>
      </c>
      <c r="Q150" s="61">
        <f t="shared" si="38"/>
        <v>0.160797</v>
      </c>
      <c r="R150" s="61">
        <f t="shared" si="38"/>
        <v>0.15561</v>
      </c>
      <c r="S150" s="61">
        <f t="shared" si="38"/>
        <v>0.15561</v>
      </c>
      <c r="T150" s="61">
        <f t="shared" si="38"/>
        <v>0.13399749999999999</v>
      </c>
      <c r="U150" s="61">
        <f t="shared" si="38"/>
        <v>0.13399749999999999</v>
      </c>
      <c r="V150" s="61">
        <f t="shared" si="38"/>
        <v>5.1869999999999993E-2</v>
      </c>
      <c r="W150" s="61">
        <f t="shared" si="38"/>
        <v>2.5934999999999996E-2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genisses +1an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1.286376</v>
      </c>
      <c r="G151" s="61">
        <f t="shared" si="39"/>
        <v>1.286376</v>
      </c>
      <c r="H151" s="61">
        <f t="shared" si="39"/>
        <v>1.24488</v>
      </c>
      <c r="I151" s="61">
        <f t="shared" si="39"/>
        <v>1.24488</v>
      </c>
      <c r="J151" s="61">
        <f t="shared" si="39"/>
        <v>1.286376</v>
      </c>
      <c r="K151" s="61">
        <f t="shared" si="39"/>
        <v>1.286376</v>
      </c>
      <c r="L151" s="61">
        <f t="shared" si="39"/>
        <v>1.24488</v>
      </c>
      <c r="M151" s="61">
        <f t="shared" si="39"/>
        <v>1.24488</v>
      </c>
      <c r="N151" s="61">
        <f t="shared" si="39"/>
        <v>1.286376</v>
      </c>
      <c r="O151" s="61">
        <f t="shared" si="39"/>
        <v>1.286376</v>
      </c>
      <c r="P151" s="61">
        <f t="shared" si="39"/>
        <v>1.286376</v>
      </c>
      <c r="Q151" s="61">
        <f t="shared" si="39"/>
        <v>1.286376</v>
      </c>
      <c r="R151" s="61">
        <f t="shared" si="39"/>
        <v>1.24488</v>
      </c>
      <c r="S151" s="61">
        <f t="shared" si="39"/>
        <v>1.24488</v>
      </c>
      <c r="T151" s="61">
        <f t="shared" si="39"/>
        <v>1.286376</v>
      </c>
      <c r="U151" s="61">
        <f t="shared" si="39"/>
        <v>1.286376</v>
      </c>
      <c r="V151" s="61">
        <f t="shared" si="39"/>
        <v>1.24488</v>
      </c>
      <c r="W151" s="61">
        <f t="shared" si="39"/>
        <v>1.24488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57.507144960000012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 xml:space="preserve">vaches 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2.3508681</v>
      </c>
      <c r="I162" s="61">
        <f t="shared" si="47"/>
        <v>2.3031078000000003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2.3305257499999996</v>
      </c>
      <c r="P162" s="61">
        <f t="shared" si="47"/>
        <v>2.3305257499999996</v>
      </c>
      <c r="Q162" s="61">
        <f t="shared" si="47"/>
        <v>2.3305257499999996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genisses -1an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5.3598999999999987E-2</v>
      </c>
      <c r="H163" s="61">
        <f t="shared" si="48"/>
        <v>0.10373999999999999</v>
      </c>
      <c r="I163" s="61">
        <f t="shared" si="48"/>
        <v>0.15561</v>
      </c>
      <c r="J163" s="61">
        <f t="shared" si="48"/>
        <v>0.160797</v>
      </c>
      <c r="K163" s="61">
        <f t="shared" si="48"/>
        <v>0.160797</v>
      </c>
      <c r="L163" s="61">
        <f t="shared" si="48"/>
        <v>0.15561</v>
      </c>
      <c r="M163" s="61">
        <f t="shared" si="48"/>
        <v>0.15561</v>
      </c>
      <c r="N163" s="61">
        <f t="shared" si="48"/>
        <v>0.160797</v>
      </c>
      <c r="O163" s="61">
        <f t="shared" si="48"/>
        <v>0.160797</v>
      </c>
      <c r="P163" s="61">
        <f t="shared" si="48"/>
        <v>0.160797</v>
      </c>
      <c r="Q163" s="61">
        <f t="shared" si="48"/>
        <v>0.160797</v>
      </c>
      <c r="R163" s="61">
        <f t="shared" si="48"/>
        <v>0.15561</v>
      </c>
      <c r="S163" s="61">
        <f t="shared" si="48"/>
        <v>0.15561</v>
      </c>
      <c r="T163" s="61">
        <f t="shared" si="48"/>
        <v>0.13399749999999999</v>
      </c>
      <c r="U163" s="61">
        <f t="shared" si="48"/>
        <v>0.13399749999999999</v>
      </c>
      <c r="V163" s="61">
        <f t="shared" si="48"/>
        <v>5.1869999999999993E-2</v>
      </c>
      <c r="W163" s="61">
        <f t="shared" si="48"/>
        <v>2.5934999999999996E-2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genisses +1an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1.286376</v>
      </c>
      <c r="V164" s="61">
        <f t="shared" si="49"/>
        <v>1.24488</v>
      </c>
      <c r="W164" s="61">
        <f t="shared" si="49"/>
        <v>1.24488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5.3598999999999987E-2</v>
      </c>
      <c r="H172" s="61">
        <f t="shared" si="57"/>
        <v>2.4546081000000002</v>
      </c>
      <c r="I172" s="61">
        <f t="shared" si="57"/>
        <v>2.4587178000000001</v>
      </c>
      <c r="J172" s="61">
        <f t="shared" si="57"/>
        <v>0.160797</v>
      </c>
      <c r="K172" s="61">
        <f t="shared" si="57"/>
        <v>0.160797</v>
      </c>
      <c r="L172" s="61">
        <f t="shared" si="57"/>
        <v>0.15561</v>
      </c>
      <c r="M172" s="61">
        <f t="shared" si="57"/>
        <v>0.15561</v>
      </c>
      <c r="N172" s="61">
        <f t="shared" si="57"/>
        <v>0.160797</v>
      </c>
      <c r="O172" s="61">
        <f t="shared" si="57"/>
        <v>2.4913227499999997</v>
      </c>
      <c r="P172" s="61">
        <f t="shared" si="57"/>
        <v>2.4913227499999997</v>
      </c>
      <c r="Q172" s="61">
        <f t="shared" si="57"/>
        <v>2.4913227499999997</v>
      </c>
      <c r="R172" s="61">
        <f t="shared" si="57"/>
        <v>0.15561</v>
      </c>
      <c r="S172" s="61">
        <f t="shared" si="57"/>
        <v>0.15561</v>
      </c>
      <c r="T172" s="61">
        <f t="shared" si="57"/>
        <v>0.13399749999999999</v>
      </c>
      <c r="U172" s="61">
        <f t="shared" si="57"/>
        <v>1.4203735</v>
      </c>
      <c r="V172" s="61">
        <f t="shared" si="57"/>
        <v>1.2967500000000001</v>
      </c>
      <c r="W172" s="61">
        <f t="shared" si="57"/>
        <v>1.270815</v>
      </c>
      <c r="X172" s="61">
        <f t="shared" si="57"/>
        <v>0</v>
      </c>
      <c r="Y172" s="61">
        <f t="shared" si="57"/>
        <v>0</v>
      </c>
      <c r="AA172" s="64">
        <f>SUM(B172:Y172)</f>
        <v>17.667660149999996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 xml:space="preserve">vaches 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2.3305257499999996</v>
      </c>
      <c r="K175" s="61">
        <f t="shared" si="58"/>
        <v>2.3305257499999996</v>
      </c>
      <c r="L175" s="61">
        <f t="shared" si="58"/>
        <v>2.2553475000000001</v>
      </c>
      <c r="M175" s="61">
        <f t="shared" si="58"/>
        <v>2.2553475000000001</v>
      </c>
      <c r="N175" s="61">
        <f t="shared" si="58"/>
        <v>2.3305257499999996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1.9186200000000002</v>
      </c>
      <c r="S175" s="61">
        <f t="shared" si="58"/>
        <v>1.9186200000000002</v>
      </c>
      <c r="T175" s="61">
        <f t="shared" si="58"/>
        <v>0</v>
      </c>
      <c r="U175" s="61">
        <f t="shared" si="58"/>
        <v>0</v>
      </c>
      <c r="V175" s="61">
        <f t="shared" si="58"/>
        <v>1.3979363999999999</v>
      </c>
      <c r="W175" s="61">
        <f t="shared" si="58"/>
        <v>1.4252279999999999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genisses -1an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genisses +1an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1.286376</v>
      </c>
      <c r="G177" s="61">
        <f t="shared" si="60"/>
        <v>1.286376</v>
      </c>
      <c r="H177" s="61">
        <f t="shared" si="60"/>
        <v>1.24488</v>
      </c>
      <c r="I177" s="61">
        <f t="shared" si="60"/>
        <v>1.24488</v>
      </c>
      <c r="J177" s="61">
        <f t="shared" si="60"/>
        <v>1.286376</v>
      </c>
      <c r="K177" s="61">
        <f t="shared" si="60"/>
        <v>1.286376</v>
      </c>
      <c r="L177" s="61">
        <f t="shared" si="60"/>
        <v>1.24488</v>
      </c>
      <c r="M177" s="61">
        <f t="shared" si="60"/>
        <v>1.24488</v>
      </c>
      <c r="N177" s="61">
        <f t="shared" si="60"/>
        <v>1.286376</v>
      </c>
      <c r="O177" s="61">
        <f t="shared" si="60"/>
        <v>1.286376</v>
      </c>
      <c r="P177" s="61">
        <f t="shared" si="60"/>
        <v>1.286376</v>
      </c>
      <c r="Q177" s="61">
        <f t="shared" si="60"/>
        <v>1.286376</v>
      </c>
      <c r="R177" s="61">
        <f t="shared" si="60"/>
        <v>1.24488</v>
      </c>
      <c r="S177" s="61">
        <f t="shared" si="60"/>
        <v>1.24488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317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1.286376</v>
      </c>
      <c r="G185" s="61">
        <f>SUM(CdTrp2!G175:G184)</f>
        <v>1.286376</v>
      </c>
      <c r="H185" s="61">
        <f>SUM(CdTrp2!H175:H184)</f>
        <v>1.24488</v>
      </c>
      <c r="I185" s="61">
        <f>SUM(CdTrp2!I175:I184)</f>
        <v>1.24488</v>
      </c>
      <c r="J185" s="61">
        <f>SUM(CdTrp2!J175:J184)</f>
        <v>3.6169017499999994</v>
      </c>
      <c r="K185" s="61">
        <f>SUM(CdTrp2!K175:K184)</f>
        <v>3.6169017499999994</v>
      </c>
      <c r="L185" s="61">
        <f>SUM(CdTrp2!L175:L184)</f>
        <v>3.5002275000000003</v>
      </c>
      <c r="M185" s="61">
        <f>SUM(CdTrp2!M175:M184)</f>
        <v>3.5002275000000003</v>
      </c>
      <c r="N185" s="61">
        <f>SUM(CdTrp2!N175:N184)</f>
        <v>3.6169017499999994</v>
      </c>
      <c r="O185" s="61">
        <f>SUM(CdTrp2!O175:O184)</f>
        <v>1.286376</v>
      </c>
      <c r="P185" s="61">
        <f>SUM(CdTrp2!P175:P184)</f>
        <v>1.286376</v>
      </c>
      <c r="Q185" s="61">
        <f>SUM(CdTrp2!Q175:Q184)</f>
        <v>1.286376</v>
      </c>
      <c r="R185" s="61">
        <f>SUM(CdTrp2!R175:R184)</f>
        <v>3.1635</v>
      </c>
      <c r="S185" s="61">
        <f>SUM(CdTrp2!S175:S184)</f>
        <v>3.1635</v>
      </c>
      <c r="T185" s="61">
        <f>SUM(CdTrp2!T175:T184)</f>
        <v>0</v>
      </c>
      <c r="U185" s="61">
        <f>SUM(CdTrp2!U175:U184)</f>
        <v>0</v>
      </c>
      <c r="V185" s="61">
        <f>SUM(CdTrp2!V175:V184)</f>
        <v>1.3979363999999999</v>
      </c>
      <c r="W185" s="61">
        <f>SUM(CdTrp2!W175:W184)</f>
        <v>1.4252279999999999</v>
      </c>
      <c r="X185" s="61">
        <f>SUM(CdTrp2!X175:X184)</f>
        <v>0</v>
      </c>
      <c r="Y185" s="61">
        <f>SUM(CdTrp2!Y175:Y184)</f>
        <v>0</v>
      </c>
      <c r="AA185" s="64">
        <f>SUM(B185:Y185)</f>
        <v>35.922964649999997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 xml:space="preserve">vaches 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1.2972607199999999</v>
      </c>
      <c r="U188" s="61">
        <f t="shared" si="68"/>
        <v>1.33288344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genisses -1an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genisses +1an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1.286376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2.5836367199999999</v>
      </c>
      <c r="U198" s="61">
        <f t="shared" si="78"/>
        <v>1.33288344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3.9165201600000001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 xml:space="preserve">vaches 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genisses -1an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genisses +1an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5.3598999999999987E-2</v>
      </c>
      <c r="H215" s="61">
        <f t="shared" si="90"/>
        <v>2.4546081000000002</v>
      </c>
      <c r="I215" s="61">
        <f t="shared" si="90"/>
        <v>2.4587178000000001</v>
      </c>
      <c r="J215" s="61">
        <f t="shared" si="90"/>
        <v>0.160797</v>
      </c>
      <c r="K215" s="61">
        <f t="shared" si="90"/>
        <v>0.160797</v>
      </c>
      <c r="L215" s="61">
        <f t="shared" si="90"/>
        <v>0.15561</v>
      </c>
      <c r="M215" s="61">
        <f t="shared" si="90"/>
        <v>0.15561</v>
      </c>
      <c r="N215" s="61">
        <f t="shared" si="90"/>
        <v>0.160797</v>
      </c>
      <c r="O215" s="61">
        <f t="shared" si="90"/>
        <v>2.4913227499999997</v>
      </c>
      <c r="P215" s="61">
        <f t="shared" si="90"/>
        <v>2.4913227499999997</v>
      </c>
      <c r="Q215" s="61">
        <f t="shared" si="90"/>
        <v>2.4913227499999997</v>
      </c>
      <c r="R215" s="61">
        <f t="shared" si="90"/>
        <v>0.15561</v>
      </c>
      <c r="S215" s="61">
        <f t="shared" si="90"/>
        <v>0.15561</v>
      </c>
      <c r="T215" s="61">
        <f t="shared" si="90"/>
        <v>0.13399749999999999</v>
      </c>
      <c r="U215" s="61">
        <f t="shared" si="90"/>
        <v>1.4203735</v>
      </c>
      <c r="V215" s="61">
        <f t="shared" si="90"/>
        <v>1.2967500000000001</v>
      </c>
      <c r="W215" s="61">
        <f t="shared" si="90"/>
        <v>1.270815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1.286376</v>
      </c>
      <c r="G216" s="61">
        <f t="shared" si="91"/>
        <v>1.286376</v>
      </c>
      <c r="H216" s="61">
        <f t="shared" si="91"/>
        <v>1.24488</v>
      </c>
      <c r="I216" s="61">
        <f t="shared" si="91"/>
        <v>1.24488</v>
      </c>
      <c r="J216" s="61">
        <f t="shared" si="91"/>
        <v>3.6169017499999994</v>
      </c>
      <c r="K216" s="61">
        <f t="shared" si="91"/>
        <v>3.6169017499999994</v>
      </c>
      <c r="L216" s="61">
        <f t="shared" si="91"/>
        <v>3.5002275000000003</v>
      </c>
      <c r="M216" s="61">
        <f t="shared" si="91"/>
        <v>3.5002275000000003</v>
      </c>
      <c r="N216" s="61">
        <f t="shared" si="91"/>
        <v>3.6169017499999994</v>
      </c>
      <c r="O216" s="61">
        <f t="shared" si="91"/>
        <v>1.286376</v>
      </c>
      <c r="P216" s="61">
        <f t="shared" si="91"/>
        <v>1.286376</v>
      </c>
      <c r="Q216" s="61">
        <f t="shared" si="91"/>
        <v>1.286376</v>
      </c>
      <c r="R216" s="61">
        <f t="shared" si="91"/>
        <v>3.1635</v>
      </c>
      <c r="S216" s="61">
        <f t="shared" si="91"/>
        <v>3.1635</v>
      </c>
      <c r="T216" s="61">
        <f t="shared" si="91"/>
        <v>0</v>
      </c>
      <c r="U216" s="61">
        <f t="shared" si="91"/>
        <v>0</v>
      </c>
      <c r="V216" s="61">
        <f t="shared" si="91"/>
        <v>1.3979363999999999</v>
      </c>
      <c r="W216" s="61">
        <f t="shared" si="91"/>
        <v>1.4252279999999999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2.5836367199999999</v>
      </c>
      <c r="U217" s="61">
        <f t="shared" si="92"/>
        <v>1.33288344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57.507144959999984</v>
      </c>
      <c r="AB219" t="s">
        <v>222</v>
      </c>
    </row>
    <row r="220" spans="1:28" x14ac:dyDescent="0.25">
      <c r="AA220" s="30">
        <f>SUM(B215:Y217)</f>
        <v>57.507144959999984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Alim_Surf</vt:lpstr>
      <vt:lpstr>Feuil1</vt:lpstr>
      <vt:lpstr>Parcellaire</vt:lpstr>
      <vt:lpstr>fonctionnement trp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2023-01-09T09:56:34Z</dcterms:modified>
</cp:coreProperties>
</file>