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08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AX23" i="29"/>
  <c r="AY23" i="29"/>
  <c r="AZ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L13" i="29"/>
  <c r="BK13" i="29"/>
  <c r="BG13" i="29"/>
  <c r="BI13" i="29"/>
  <c r="BJ13" i="29"/>
  <c r="BG12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I92" i="30" s="1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BA91" i="30" s="1"/>
  <c r="AZ38" i="30"/>
  <c r="AY38" i="30"/>
  <c r="AX38" i="30"/>
  <c r="AX91" i="30" s="1"/>
  <c r="AW38" i="30"/>
  <c r="AV38" i="30"/>
  <c r="AV91" i="30" s="1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P91" i="30"/>
  <c r="BO91" i="30"/>
  <c r="BM91" i="30"/>
  <c r="BI91" i="30"/>
  <c r="BH91" i="30"/>
  <c r="BG91" i="30"/>
  <c r="AZ91" i="30"/>
  <c r="AY91" i="30"/>
  <c r="AW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W136" i="31" l="1"/>
  <c r="AG127" i="31"/>
  <c r="AG142" i="31"/>
  <c r="AG145" i="31"/>
  <c r="AG133" i="31"/>
  <c r="AG130" i="31"/>
  <c r="AG139" i="31"/>
  <c r="AG136" i="31"/>
  <c r="W133" i="31"/>
  <c r="U133" i="31"/>
  <c r="U137" i="31"/>
  <c r="U132" i="31"/>
  <c r="U136" i="31"/>
  <c r="U135" i="31"/>
  <c r="U134" i="31"/>
  <c r="AF139" i="31"/>
  <c r="AF133" i="31"/>
  <c r="AF142" i="31"/>
  <c r="AF136" i="31"/>
  <c r="AF130" i="31"/>
  <c r="AF127" i="31"/>
  <c r="AF145" i="31"/>
  <c r="D16" i="30"/>
  <c r="F16" i="30" s="1"/>
  <c r="AK191" i="33" s="1"/>
  <c r="AO191" i="33" s="1"/>
  <c r="CX91" i="30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BN99" i="30" s="1"/>
  <c r="BN100" i="30" s="1"/>
  <c r="BN101" i="30" s="1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L72" i="30" s="1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W72" i="30" l="1"/>
  <c r="Q72" i="30"/>
  <c r="M8" i="29"/>
  <c r="X8" i="29"/>
  <c r="AB72" i="30"/>
  <c r="U72" i="30"/>
  <c r="Q8" i="29"/>
  <c r="Q201" i="29" s="1"/>
  <c r="Z8" i="29"/>
  <c r="Z201" i="29" s="1"/>
  <c r="AD72" i="30"/>
  <c r="V72" i="30"/>
  <c r="R8" i="29"/>
  <c r="P72" i="30"/>
  <c r="L8" i="29"/>
  <c r="L201" i="29" s="1"/>
  <c r="N72" i="30"/>
  <c r="J8" i="29"/>
  <c r="N8" i="29"/>
  <c r="N201" i="29" s="1"/>
  <c r="R72" i="30"/>
  <c r="O8" i="29"/>
  <c r="S72" i="30"/>
  <c r="O72" i="30"/>
  <c r="K8" i="29"/>
  <c r="K201" i="29" s="1"/>
  <c r="G72" i="30"/>
  <c r="C8" i="29"/>
  <c r="C201" i="29" s="1"/>
  <c r="C212" i="29" s="1"/>
  <c r="AC72" i="30"/>
  <c r="M72" i="30"/>
  <c r="I8" i="29"/>
  <c r="P8" i="29"/>
  <c r="P201" i="29" s="1"/>
  <c r="T72" i="30"/>
  <c r="U8" i="29"/>
  <c r="U201" i="29" s="1"/>
  <c r="Y72" i="30"/>
  <c r="I72" i="30"/>
  <c r="E8" i="29"/>
  <c r="E201" i="29" s="1"/>
  <c r="E212" i="29" s="1"/>
  <c r="X72" i="30"/>
  <c r="T8" i="29"/>
  <c r="H72" i="30"/>
  <c r="D8" i="29"/>
  <c r="S8" i="29"/>
  <c r="S201" i="29" s="1"/>
  <c r="F8" i="29"/>
  <c r="F201" i="29" s="1"/>
  <c r="J72" i="30"/>
  <c r="AA72" i="30"/>
  <c r="G8" i="29"/>
  <c r="G201" i="29" s="1"/>
  <c r="K72" i="30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I201" i="29"/>
  <c r="M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7" i="30"/>
  <c r="CD86" i="30"/>
  <c r="CC86" i="30"/>
  <c r="CC87" i="30"/>
  <c r="CB87" i="30"/>
  <c r="CB86" i="30"/>
  <c r="CF86" i="30"/>
  <c r="CF87" i="30"/>
  <c r="CE86" i="30"/>
  <c r="CE87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D230" i="33" l="1"/>
  <c r="F10" i="30"/>
  <c r="C249" i="33" s="1"/>
  <c r="C270" i="33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6" i="33" l="1"/>
  <c r="AW152" i="33"/>
  <c r="AV76" i="33"/>
  <c r="AV152" i="33"/>
  <c r="BS76" i="33"/>
  <c r="BS133" i="33" s="1"/>
  <c r="BS152" i="33"/>
  <c r="AX76" i="33"/>
  <c r="AX152" i="33"/>
  <c r="BR76" i="33"/>
  <c r="BR152" i="33"/>
  <c r="BD76" i="33"/>
  <c r="BD152" i="33"/>
  <c r="AY76" i="33"/>
  <c r="AY152" i="33"/>
  <c r="BB76" i="33"/>
  <c r="BB152" i="33"/>
  <c r="BQ76" i="33"/>
  <c r="BQ152" i="33"/>
  <c r="BA76" i="33"/>
  <c r="BA152" i="33"/>
  <c r="AZ76" i="33"/>
  <c r="AZ152" i="33"/>
  <c r="BC76" i="33"/>
  <c r="BC122" i="33" s="1"/>
  <c r="BC168" i="33" s="1"/>
  <c r="BC152" i="33"/>
  <c r="AW78" i="33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54" i="33"/>
  <c r="BC78" i="33"/>
  <c r="BC154" i="33"/>
  <c r="AZ78" i="33"/>
  <c r="AZ124" i="33" s="1"/>
  <c r="AZ170" i="33" s="1"/>
  <c r="AZ154" i="33"/>
  <c r="BB78" i="33"/>
  <c r="BB135" i="33" s="1"/>
  <c r="BB154" i="33"/>
  <c r="BA78" i="33"/>
  <c r="BA154" i="33"/>
  <c r="BO78" i="33"/>
  <c r="BO154" i="33"/>
  <c r="BQ78" i="33"/>
  <c r="BQ124" i="33" s="1"/>
  <c r="BQ170" i="33" s="1"/>
  <c r="BQ154" i="33"/>
  <c r="AX78" i="33"/>
  <c r="AX124" i="33" s="1"/>
  <c r="AX170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Q135" i="33" l="1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201" i="24" l="1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71" i="33" l="1"/>
  <c r="D159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BB17" i="29" s="1"/>
  <c r="BH17" i="29" s="1"/>
  <c r="T10" i="7"/>
  <c r="BB12" i="29" s="1"/>
  <c r="BH12" i="29" s="1"/>
  <c r="V22" i="7"/>
  <c r="T22" i="7"/>
  <c r="BB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BG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BG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AQ228" i="33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C237" i="33" l="1"/>
  <c r="C241" i="33" s="1"/>
  <c r="D237" i="33"/>
  <c r="D241" i="33" s="1"/>
  <c r="D242" i="33" s="1"/>
  <c r="D157" i="33"/>
  <c r="C174" i="33"/>
  <c r="D173" i="33"/>
  <c r="B180" i="31"/>
  <c r="B181" i="31" s="1"/>
  <c r="B175" i="31"/>
  <c r="C238" i="33" l="1"/>
  <c r="D238" i="33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<sst xmlns="http://schemas.openxmlformats.org/spreadsheetml/2006/main" count="3098" uniqueCount="1464">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</sst>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0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51.183999999999997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162.91208485435135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</v>
      </c>
      <c r="L5" s="143">
        <f>CdTrp1!G215+CdTrp2!G215+CdTrp3!G215+CdTrp4!G215</f>
        <v>5.43085718852174</v>
      </c>
      <c r="M5" s="143">
        <f>CdTrp1!H215+CdTrp2!H215+CdTrp3!H215+CdTrp4!H215</f>
        <v>7.6314436617391337</v>
      </c>
      <c r="N5" s="143">
        <f>CdTrp1!I215+CdTrp2!I215+CdTrp3!I215+CdTrp4!I215</f>
        <v>7.6085906765217395</v>
      </c>
      <c r="O5" s="143">
        <f>CdTrp1!J215+CdTrp2!J215+CdTrp3!J215+CdTrp4!J215</f>
        <v>5.4266094229565223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2.5483915950956533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149.29258497857393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1.286376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1.24488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1.3979363999999999</v>
      </c>
      <c r="AB6" s="143">
        <f>CdTrp1!W216+CdTrp2!W216+CdTrp3!W216+CdTrp4!W216</f>
        <v>1.4252279999999999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151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9.5619097486956566</v>
      </c>
      <c r="N8" s="143">
        <f t="shared" si="0"/>
        <v>9.5390567634782624</v>
      </c>
      <c r="O8" s="143">
        <f t="shared" si="0"/>
        <v>9.75195012947826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5.1320283150956527</v>
      </c>
      <c r="Z8" s="143">
        <f t="shared" si="0"/>
        <v>6.3175624753043484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110.81176298205219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47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25.5</v>
      </c>
      <c r="H18" s="158">
        <f>G18/G17</f>
        <v>0.54255319148936165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12.5</v>
      </c>
      <c r="H19" s="158">
        <f>G19/G17</f>
        <v>0.26595744680851063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0.11702127659574468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38"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9.5619097486956566</v>
      </c>
      <c r="AZ5" s="13">
        <f>'Conduite Trp'!N8</f>
        <v>9.5390567634782624</v>
      </c>
      <c r="BA5" s="13">
        <f>'Conduite Trp'!O8</f>
        <v>9.75195012947826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5.1320283150956527</v>
      </c>
      <c r="BL5" s="13">
        <f>'Conduite Trp'!Z8</f>
        <v>6.3175624753043484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3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9.8999999999999986</v>
      </c>
      <c r="AF7" s="61">
        <f t="shared" ref="AF7:AF26" si="1">$R7*W7</f>
        <v>9</v>
      </c>
      <c r="AG7" s="61">
        <f t="shared" ref="AG7:AG26" si="2">$R7*X7</f>
        <v>6.8999999999999995</v>
      </c>
      <c r="AH7" s="61">
        <f t="shared" ref="AH7:AH26" si="3">$R7*Y7</f>
        <v>1.5</v>
      </c>
      <c r="AI7" s="61">
        <f t="shared" ref="AI7:AI26" si="4">$R7*Z7</f>
        <v>2.0999999999999996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9.5619097486956566</v>
      </c>
      <c r="AZ7" s="61">
        <f t="shared" si="7"/>
        <v>9.5390567634782624</v>
      </c>
      <c r="BA7" s="61">
        <f t="shared" si="7"/>
        <v>9.75195012947826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51.563139994434792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51.183999999999997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18.700000000000003</v>
      </c>
      <c r="P8">
        <v>2</v>
      </c>
      <c r="Q8" s="39">
        <v>241</v>
      </c>
      <c r="R8" s="39">
        <v>8.6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12.899999999999999</v>
      </c>
      <c r="AF8" s="61">
        <f t="shared" si="1"/>
        <v>0</v>
      </c>
      <c r="AG8" s="61">
        <f t="shared" si="2"/>
        <v>6.4499999999999993</v>
      </c>
      <c r="AH8" s="61">
        <f t="shared" si="3"/>
        <v>6.4499999999999993</v>
      </c>
      <c r="AI8" s="61">
        <f t="shared" si="4"/>
        <v>8.6</v>
      </c>
      <c r="AJ8" s="61">
        <f t="shared" si="5"/>
        <v>0</v>
      </c>
      <c r="AK8" s="141"/>
      <c r="AL8" s="61">
        <f t="shared" si="6"/>
        <v>43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51.183999999999997</v>
      </c>
      <c r="G9" s="81"/>
      <c r="H9" s="61">
        <f>SUM(L34:L43)</f>
        <v>0</v>
      </c>
      <c r="I9" s="81"/>
      <c r="J9" s="81"/>
      <c r="K9" s="93">
        <f>H9-F9</f>
        <v>-51.183999999999997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5.1320283150956527</v>
      </c>
      <c r="BL9" s="61">
        <f t="shared" si="10"/>
        <v>6.3175624753043484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26.726053233878261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2.1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3.7800000000000002</v>
      </c>
      <c r="AF11" s="61">
        <f t="shared" si="1"/>
        <v>2.52</v>
      </c>
      <c r="AG11" s="61">
        <f t="shared" si="2"/>
        <v>3.7800000000000002</v>
      </c>
      <c r="AH11" s="61">
        <f t="shared" si="3"/>
        <v>1.05</v>
      </c>
      <c r="AI11" s="61">
        <f t="shared" si="4"/>
        <v>1.47</v>
      </c>
      <c r="AJ11" s="61">
        <f t="shared" si="5"/>
        <v>0</v>
      </c>
      <c r="AK11" s="141"/>
      <c r="AL11" s="61">
        <f t="shared" si="6"/>
        <v>7.9799999999999995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23.000000000000004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</v>
      </c>
      <c r="AX15" s="13">
        <f>'Conduite Trp'!L5</f>
        <v>5.43085718852174</v>
      </c>
      <c r="AY15" s="13">
        <f>'Conduite Trp'!M5</f>
        <v>7.6314436617391337</v>
      </c>
      <c r="AZ15" s="13">
        <f>'Conduite Trp'!N5</f>
        <v>7.6085906765217395</v>
      </c>
      <c r="BA15" s="13">
        <f>'Conduite Trp'!O5</f>
        <v>5.4266094229565223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2.5483915950956533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1.286376</v>
      </c>
      <c r="AX16" s="13">
        <f>'Conduite Trp'!L6</f>
        <v>1.286376</v>
      </c>
      <c r="AY16" s="13">
        <f>'Conduite Trp'!M6</f>
        <v>1.24488</v>
      </c>
      <c r="AZ16" s="13">
        <f>'Conduite Trp'!N6</f>
        <v>1.24488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</v>
      </c>
      <c r="BM16" s="13">
        <f>'Conduite Trp'!AA6</f>
        <v>1.3979363999999999</v>
      </c>
      <c r="BN16" s="13">
        <f>'Conduite Trp'!AB6</f>
        <v>1.4252279999999999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7.6314436617391337</v>
      </c>
      <c r="AZ19" s="61">
        <f t="shared" si="15"/>
        <v>7.6085906765217395</v>
      </c>
      <c r="BA19" s="61">
        <f t="shared" si="15"/>
        <v>5.4266094229565223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32.759510364000008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2.5483915950956533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11.579757543443479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</v>
      </c>
      <c r="AX23" s="61">
        <f t="shared" si="20"/>
        <v>5.43085718852174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6.7106178841739137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53.529999999999994</v>
      </c>
      <c r="E24" s="61">
        <f t="shared" si="21"/>
        <v>21.194999999999997</v>
      </c>
      <c r="F24" s="61">
        <f t="shared" si="21"/>
        <v>37.86</v>
      </c>
      <c r="G24" s="61">
        <f t="shared" si="21"/>
        <v>16.881</v>
      </c>
      <c r="H24" s="61">
        <f t="shared" si="21"/>
        <v>25.741</v>
      </c>
      <c r="I24" s="61">
        <f t="shared" si="21"/>
        <v>0</v>
      </c>
      <c r="J24" s="63"/>
      <c r="K24" s="61">
        <f>AL27+AL49+AL71</f>
        <v>101.08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51.563139994434792</v>
      </c>
      <c r="E25" s="61">
        <f>BR8</f>
        <v>18.988566130434783</v>
      </c>
      <c r="F25" s="61">
        <f>BR9</f>
        <v>26.726053233878261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151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1.9668600055652021</v>
      </c>
      <c r="E27" s="93">
        <f t="shared" si="23"/>
        <v>2.2064338695652133</v>
      </c>
      <c r="F27" s="93">
        <f t="shared" si="23"/>
        <v>11.133946766121738</v>
      </c>
      <c r="G27" s="93">
        <f t="shared" si="23"/>
        <v>14.047244173913043</v>
      </c>
      <c r="H27" s="93">
        <f t="shared" si="23"/>
        <v>15.040752202782608</v>
      </c>
      <c r="I27" s="93">
        <f t="shared" si="23"/>
        <v>0</v>
      </c>
      <c r="J27" s="63"/>
      <c r="K27" s="93">
        <f>K24-K25</f>
        <v>-49.92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34.08</v>
      </c>
      <c r="AF27" s="75">
        <f t="shared" ref="AF27:AJ27" si="24">SUM(AF7:AF26)</f>
        <v>11.52</v>
      </c>
      <c r="AG27" s="75">
        <f t="shared" si="24"/>
        <v>20.88</v>
      </c>
      <c r="AH27" s="75">
        <f t="shared" si="24"/>
        <v>12.75</v>
      </c>
      <c r="AI27" s="75">
        <f t="shared" si="24"/>
        <v>17.47</v>
      </c>
      <c r="AJ27" s="75">
        <f t="shared" si="24"/>
        <v>0</v>
      </c>
      <c r="AK27"/>
      <c r="AL27" s="75">
        <f>SUM(AL7:AL26)</f>
        <v>67.33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1.24488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16.7240185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</v>
      </c>
      <c r="BM29" s="61">
        <f t="shared" si="35"/>
        <v>1.3979363999999999</v>
      </c>
      <c r="BN29" s="61">
        <f t="shared" si="35"/>
        <v>1.4252279999999999</v>
      </c>
      <c r="BO29" s="61">
        <f t="shared" si="35"/>
        <v>0</v>
      </c>
      <c r="BP29" s="61">
        <f t="shared" si="35"/>
        <v>0</v>
      </c>
      <c r="BR29" s="61">
        <f t="shared" si="27"/>
        <v>9.1501643999999995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1.286376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2.5727519999999999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34.08</v>
      </c>
      <c r="E72" s="61">
        <f t="shared" ref="E72:H72" si="69">AF27</f>
        <v>11.52</v>
      </c>
      <c r="F72" s="61">
        <f t="shared" si="69"/>
        <v>20.88</v>
      </c>
      <c r="G72" s="61">
        <f t="shared" si="69"/>
        <v>12.75</v>
      </c>
      <c r="H72" s="61">
        <f t="shared" si="69"/>
        <v>17.47</v>
      </c>
      <c r="I72" s="61">
        <f t="shared" ref="I72" si="70">AJ75+AJ97+AJ119</f>
        <v>0</v>
      </c>
      <c r="J72" s="63"/>
      <c r="K72" s="61">
        <f>+K24</f>
        <v>101.08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32.759510364000008</v>
      </c>
      <c r="E73" s="61">
        <f>BR20</f>
        <v>11.512536380434783</v>
      </c>
      <c r="F73" s="61">
        <f>BR21</f>
        <v>11.579757543443479</v>
      </c>
      <c r="G73" s="61">
        <f>BR22</f>
        <v>2.8337558260869566</v>
      </c>
      <c r="H73" s="61">
        <f>BR23</f>
        <v>6.7106178841739137</v>
      </c>
      <c r="I73" s="61">
        <f>BR60</f>
        <v>0</v>
      </c>
      <c r="J73" s="63"/>
      <c r="K73" s="76">
        <f>+K25</f>
        <v>151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1.3204896359999907</v>
      </c>
      <c r="E75" s="93">
        <f t="shared" ref="E75:I75" si="71">E72-E73</f>
        <v>7.4636195652164616E-3</v>
      </c>
      <c r="F75" s="93">
        <f t="shared" si="71"/>
        <v>9.3002424565565196</v>
      </c>
      <c r="G75" s="93">
        <f t="shared" si="71"/>
        <v>9.9162441739130429</v>
      </c>
      <c r="H75" s="93">
        <f t="shared" si="71"/>
        <v>10.759382115826085</v>
      </c>
      <c r="I75" s="93">
        <f t="shared" si="71"/>
        <v>0</v>
      </c>
      <c r="J75" s="63"/>
      <c r="K75" s="93">
        <f>+K27</f>
        <v>-49.92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16.7240185</v>
      </c>
      <c r="E83" s="61">
        <f>BR28</f>
        <v>7.4760297499999986</v>
      </c>
      <c r="F83" s="61">
        <f>BR29</f>
        <v>9.1501643999999995</v>
      </c>
      <c r="G83" s="61">
        <f>BR30</f>
        <v>0</v>
      </c>
      <c r="H83" s="61">
        <f>BR31</f>
        <v>2.5727519999999999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0.57598149999999748</v>
      </c>
      <c r="E85" s="93">
        <f t="shared" ref="E85:H85" si="73">E82-E83</f>
        <v>1.1239702500000011</v>
      </c>
      <c r="F85" s="93">
        <f t="shared" si="73"/>
        <v>1.4398356000000003</v>
      </c>
      <c r="G85" s="93">
        <f t="shared" si="73"/>
        <v>3.1849999999999996</v>
      </c>
      <c r="H85" s="93">
        <f t="shared" si="73"/>
        <v>4.7522479999999998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0.94599999999999995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6598.766962657658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1010.7818755794941</v>
      </c>
      <c r="U20" s="10">
        <f t="shared" si="5"/>
        <v>0</v>
      </c>
      <c r="V20" s="27">
        <f t="shared" si="6"/>
        <v>1010.7818755794941</v>
      </c>
      <c r="W20" s="3"/>
      <c r="X20" s="3"/>
      <c r="Z20" s="20"/>
      <c r="AA20" s="136">
        <f>AA18+AA19</f>
        <v>6598.766962657658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1271.0940169790747</v>
      </c>
      <c r="U21" s="10">
        <f t="shared" si="5"/>
        <v>0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0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29.8</v>
      </c>
      <c r="H66" s="170"/>
      <c r="I66" s="170">
        <f>SUMIF(Parcellaire!$B$2:$B$65,1,Parcellaire!I2:I65)</f>
        <v>34</v>
      </c>
      <c r="J66" s="170">
        <f>SUMIF(Parcellaire!$B$2:$B$65,1,Parcellaire!J2:J65)</f>
        <v>8</v>
      </c>
      <c r="K66" s="170">
        <f>SUMIF(Parcellaire!$B$2:$B$65,1,Parcellaire!K2:K65)</f>
        <v>32.010000000000005</v>
      </c>
      <c r="L66" s="170">
        <f>SUMIF(Parcellaire!$B$2:$B$65,1,Parcellaire!L2:L65)</f>
        <v>36.132000000000005</v>
      </c>
      <c r="M66" s="170">
        <f>SUMIF(Parcellaire!$B$2:$B$65,1,Parcellaire!M2:M65)</f>
        <v>1339.6217754484478</v>
      </c>
      <c r="N66" s="170">
        <f>SUMIF(Parcellaire!$B$2:$B$65,1,Parcellaire!N2:N65)</f>
        <v>78</v>
      </c>
      <c r="O66" s="170">
        <f>SUMIF(Parcellaire!$B$2:$B$65,1,Parcellaire!O2:O65)</f>
        <v>72</v>
      </c>
      <c r="P66" s="170">
        <f>SUMIF(Parcellaire!$B$2:$B$65,1,Parcellaire!P2:P65)</f>
        <v>0</v>
      </c>
      <c r="Q66" s="170">
        <f>SUMIF(Parcellaire!$B$2:$B$65,1,Parcellaire!Q2:Q65)</f>
        <v>30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6598.766962657658</v>
      </c>
      <c r="U66" s="170">
        <f>SUMIF(Parcellaire!$B$2:$B$65,1,Parcellaire!U2:U65)</f>
        <v>2877.927380066059</v>
      </c>
      <c r="V66" s="170">
        <f>SUMIF(Parcellaire!$B$2:$B$65,1,Parcellaire!V2:V65)</f>
        <v>8037.7306526906868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8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20.7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13.6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23.000000000000004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2.0699999999999998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29.000000000000004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3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3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8.6</v>
      </c>
      <c r="T165" s="173">
        <f>VLOOKUP(R165,[1]MEP!$A$4:$M$300,13)</f>
        <v>2</v>
      </c>
      <c r="U165" s="173">
        <f t="shared" ref="U165:U207" si="10">IF($T165&gt;0,$S165,0)</f>
        <v>8.6</v>
      </c>
      <c r="V165" s="173">
        <f t="shared" ref="V165:V207" si="11">IF($T165&gt;1,$S165,0)</f>
        <v>8.6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8.6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8.6</v>
      </c>
      <c r="AL165" s="5"/>
      <c r="AN165" s="32" t="s">
        <v>659</v>
      </c>
      <c r="AO165" s="173">
        <f>SUM(AD164:AD183)</f>
        <v>18.700000000000003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10"/>
        <v>2.1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2.1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2.1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28.000000000000004</v>
      </c>
      <c r="U228" s="62">
        <f>SUM(U164:U227)</f>
        <v>20.7</v>
      </c>
      <c r="V228" s="62">
        <f t="shared" ref="V228:W228" si="22">SUM(V164:V227)</f>
        <v>13.6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23.000000000000004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7.3</v>
      </c>
      <c r="AI228" s="62">
        <f t="shared" si="24"/>
        <v>7.1</v>
      </c>
      <c r="AJ228" s="62">
        <f t="shared" si="24"/>
        <v>8.6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6599</v>
      </c>
      <c r="AQ4">
        <f>SUM(BJ31:BL31)</f>
        <v>29.799999999999997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2</v>
      </c>
      <c r="H8" s="177">
        <f>(H3+H4)*[1]Protect!$B$12</f>
        <v>2</v>
      </c>
      <c r="I8" s="177">
        <f>(I3+I4)*[1]Protect!$B$12</f>
        <v>2</v>
      </c>
      <c r="J8" s="177">
        <f>(J3+J4)*[1]Protect!$B$12</f>
        <v>2</v>
      </c>
      <c r="K8" s="177">
        <f>(K3+K4)*[1]Protect!$B$12</f>
        <v>2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2</v>
      </c>
      <c r="W8" s="177">
        <f>(W3+W4)*[1]Protect!$B$12</f>
        <v>0</v>
      </c>
      <c r="X8" s="177">
        <f>(X3+X4)*[1]Protect!$B$12</f>
        <v>0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5</v>
      </c>
      <c r="H11" s="177">
        <f t="shared" si="14"/>
        <v>5</v>
      </c>
      <c r="I11" s="177">
        <f t="shared" si="14"/>
        <v>5</v>
      </c>
      <c r="J11" s="177">
        <f t="shared" si="14"/>
        <v>5</v>
      </c>
      <c r="K11" s="177">
        <f t="shared" si="14"/>
        <v>5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5</v>
      </c>
      <c r="W11" s="177">
        <f t="shared" si="14"/>
        <v>3</v>
      </c>
      <c r="X11" s="177">
        <f t="shared" si="14"/>
        <v>3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5</v>
      </c>
      <c r="H13" s="177">
        <f t="shared" si="15"/>
        <v>5</v>
      </c>
      <c r="I13" s="177">
        <f t="shared" si="15"/>
        <v>5</v>
      </c>
      <c r="J13" s="177">
        <f t="shared" si="15"/>
        <v>5</v>
      </c>
      <c r="K13" s="177">
        <f t="shared" si="15"/>
        <v>5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5</v>
      </c>
      <c r="W13" s="177">
        <f t="shared" si="15"/>
        <v>3</v>
      </c>
      <c r="X13" s="177">
        <f t="shared" si="15"/>
        <v>3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6599</v>
      </c>
      <c r="AE20" s="64">
        <v>0</v>
      </c>
      <c r="AF20" s="64">
        <f>SUM(AD20:AE20)</f>
        <v>6599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6599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6599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29.799999999999997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11.1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5</v>
      </c>
      <c r="H201" s="173">
        <f>IF(Troupeau!$B$3="OL",H8+H9,0)</f>
        <v>5</v>
      </c>
      <c r="I201" s="173">
        <f>IF(Troupeau!$B$3="OL",I8+I9,0)</f>
        <v>5</v>
      </c>
      <c r="J201" s="173">
        <f>IF(Troupeau!$B$3="OL",J8+J9,0)</f>
        <v>5</v>
      </c>
      <c r="K201" s="173">
        <f>IF(Troupeau!$B$3="OL",K8+K9,0)</f>
        <v>5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5</v>
      </c>
      <c r="W201" s="173">
        <f>IF(Troupeau!$B$3="OL",W8+W9,0)</f>
        <v>3</v>
      </c>
      <c r="X201" s="173">
        <f>IF(Troupeau!$B$3="OL",X8+X9,0)</f>
        <v>3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5</v>
      </c>
      <c r="H203" s="173">
        <f t="shared" si="51"/>
        <v>5</v>
      </c>
      <c r="I203" s="173">
        <f t="shared" si="51"/>
        <v>5</v>
      </c>
      <c r="J203" s="173">
        <f t="shared" si="51"/>
        <v>5</v>
      </c>
      <c r="K203" s="173">
        <f t="shared" si="51"/>
        <v>5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5</v>
      </c>
      <c r="W203" s="173">
        <f t="shared" si="51"/>
        <v>3</v>
      </c>
      <c r="X203" s="173">
        <f t="shared" si="51"/>
        <v>3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5</v>
      </c>
      <c r="H212" s="173">
        <f t="shared" si="52"/>
        <v>5</v>
      </c>
      <c r="I212" s="173">
        <f t="shared" si="52"/>
        <v>5</v>
      </c>
      <c r="J212" s="173">
        <f t="shared" si="52"/>
        <v>5</v>
      </c>
      <c r="K212" s="173">
        <f t="shared" si="52"/>
        <v>5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5</v>
      </c>
      <c r="W212" s="173">
        <f t="shared" si="52"/>
        <v>3</v>
      </c>
      <c r="X212" s="173">
        <f t="shared" si="52"/>
        <v>3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5</v>
      </c>
      <c r="H214" s="173">
        <f t="shared" si="53"/>
        <v>5</v>
      </c>
      <c r="I214" s="173">
        <f t="shared" si="53"/>
        <v>5</v>
      </c>
      <c r="J214" s="173">
        <f t="shared" si="53"/>
        <v>5</v>
      </c>
      <c r="K214" s="173">
        <f t="shared" si="53"/>
        <v>5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5</v>
      </c>
      <c r="W214" s="173">
        <f t="shared" si="53"/>
        <v>3</v>
      </c>
      <c r="X214" s="173">
        <f t="shared" si="53"/>
        <v>3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3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532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2331.0413913043481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135.0366956521739</v>
      </c>
      <c r="L13" s="30">
        <f t="shared" si="8"/>
        <v>138.4904347826087</v>
      </c>
      <c r="M13" s="30">
        <f t="shared" si="8"/>
        <v>127.94417391304347</v>
      </c>
      <c r="N13" s="30">
        <f t="shared" si="8"/>
        <v>127.89791304347827</v>
      </c>
      <c r="O13" s="30">
        <f t="shared" si="8"/>
        <v>131.30539130434784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128.16756521739131</v>
      </c>
      <c r="AA13" s="30">
        <f t="shared" si="8"/>
        <v>121.16756521739131</v>
      </c>
      <c r="AB13" s="30">
        <f t="shared" si="8"/>
        <v>123.06426086956522</v>
      </c>
      <c r="AC13" s="30">
        <f t="shared" si="8"/>
        <v>109.06426086956522</v>
      </c>
      <c r="AD13" s="30">
        <f t="shared" si="8"/>
        <v>109.06426086956522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28.000000000000004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18.63</v>
      </c>
      <c r="C55" s="190">
        <f>IF(B55&gt;[1]Trav!E121,[1]Trav!C121,[1]Trav!B121)</f>
        <v>7.2</v>
      </c>
      <c r="D55"/>
      <c r="E55" s="172"/>
      <c r="F55" s="173">
        <f t="shared" si="32"/>
        <v>134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13.6</v>
      </c>
      <c r="C56" s="190">
        <f>IF(B56&gt;[1]Trav!E121,[1]Trav!C121,[1]Trav!B121)</f>
        <v>7.2</v>
      </c>
      <c r="D56"/>
      <c r="E56" s="172"/>
      <c r="F56" s="173">
        <f t="shared" si="32"/>
        <v>98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2.0700000000000003</v>
      </c>
      <c r="C58" s="190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6.5990000000000002</v>
      </c>
      <c r="C83" s="190">
        <f>[1]Protect!$B$24+[1]Protect!$B$26</f>
        <v>0.33</v>
      </c>
      <c r="D83" s="172"/>
      <c r="E83" s="172"/>
      <c r="F83" s="173">
        <f>ROUND(B83*C83,1)</f>
        <v>2.2000000000000002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5.3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0.70000000000000007</v>
      </c>
      <c r="C86" s="176"/>
      <c r="D86" s="176"/>
      <c r="E86" s="176"/>
      <c r="F86" s="173">
        <f>B86*[1]Eco!$B$108*[1]Eco!$B$109</f>
        <v>168.00000000000003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1512.0413913043478</v>
      </c>
      <c r="C91" s="5"/>
      <c r="D91" s="202">
        <f>B91/Troupeau!$B$17</f>
        <v>4.9738203661327232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2205.0413913043476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297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7.5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168.00000000000003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4538.6113913043482</v>
      </c>
      <c r="D118" s="202">
        <f>B118/Troupeau!$B$17</f>
        <v>14.929642734553777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777</v>
      </c>
      <c r="D119" s="202">
        <f>IF(B119=0,0,B119/Troupeau!$C$17)</f>
        <v>40.89473684210526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5315.6113913043482</v>
      </c>
    </row>
    <row r="123" spans="1:132" x14ac:dyDescent="0.25">
      <c r="A123" s="2" t="s">
        <v>856</v>
      </c>
      <c r="B123" s="30">
        <f>B108</f>
        <v>297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203.50000000000003</v>
      </c>
    </row>
    <row r="128" spans="1:132" x14ac:dyDescent="0.25">
      <c r="A128" s="2" t="s">
        <v>873</v>
      </c>
      <c r="B128" s="201">
        <f>SUM(B122:B126)</f>
        <v>6610.6113913043482</v>
      </c>
    </row>
    <row r="129" spans="1:2" x14ac:dyDescent="0.25">
      <c r="A129" s="2" t="s">
        <v>874</v>
      </c>
      <c r="B129" s="30">
        <f>IF(Scénario!K129=1,Travail!F77+Travail!F86,F86)</f>
        <v>446.5</v>
      </c>
    </row>
    <row r="130" spans="1:2" x14ac:dyDescent="0.25">
      <c r="A130" s="2" t="s">
        <v>875</v>
      </c>
      <c r="B130" s="201">
        <f>ROUND((B128-B129)/(Scénario!K4+Scénario!K6),0)</f>
        <v>3082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6212.8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153198.32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49.92</v>
      </c>
      <c r="C118" s="190">
        <f>IF(Scénario!$K$12="BV",[1]Eco!$B$78,IF(Scénario!$K$12="BL",[1]Eco!$B$77,[1]Eco!$B$76))</f>
        <v>223</v>
      </c>
      <c r="J118" s="173">
        <f>B118*C118</f>
        <v>11132.16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51.183999999999997</v>
      </c>
      <c r="C119" s="190">
        <f>[1]Eco!$B$79</f>
        <v>80</v>
      </c>
      <c r="J119" s="173">
        <f>B119*C119</f>
        <v>4094.72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7.3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328.5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7.1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429.62099999999998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8.6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582.65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633.91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55963.061000000009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29.000000000000004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945.4000000000002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20.7</v>
      </c>
      <c r="X153" t="s">
        <v>52</v>
      </c>
      <c r="Y153" s="173">
        <f>W153-Scénario!K28</f>
        <v>-2.8000000000000007</v>
      </c>
      <c r="Z153" s="173">
        <f>Y153-Y156</f>
        <v>-2.5200000000000005</v>
      </c>
    </row>
    <row r="154" spans="1:39" x14ac:dyDescent="0.25">
      <c r="A154" t="s">
        <v>1076</v>
      </c>
      <c r="B154" s="173">
        <f>Scénario!K48</f>
        <v>29.000000000000004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8430.3000000000011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13.6</v>
      </c>
      <c r="X154" t="s">
        <v>52</v>
      </c>
      <c r="Y154" s="173">
        <f>W154-Scénario!K29</f>
        <v>-2.4000000000000004</v>
      </c>
      <c r="Z154" s="173">
        <f>Y154</f>
        <v>-2.4000000000000004</v>
      </c>
    </row>
    <row r="155" spans="1:39" x14ac:dyDescent="0.25">
      <c r="A155" s="17" t="s">
        <v>1078</v>
      </c>
      <c r="B155" s="239">
        <f>B154</f>
        <v>29.000000000000004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1740.0000000000002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-0.28000000000000008</v>
      </c>
      <c r="Z156" s="173">
        <f t="shared" si="68"/>
        <v>-0.28000000000000008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-2.5200000000000005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-91.224000000000018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-2.4000000000000004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-72.000000000000014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-0.28000000000000008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-43.512000000000015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3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3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8.6</v>
      </c>
      <c r="T165" s="173">
        <f>VLOOKUP(R165,[1]MEP!$A$4:$M$300,13)</f>
        <v>2</v>
      </c>
      <c r="U165" s="173">
        <f t="shared" ref="U165:U207" si="72">IF($T165&gt;0,$S165,0)</f>
        <v>8.6</v>
      </c>
      <c r="V165" s="173">
        <f t="shared" ref="V165:V207" si="73">IF($T165&gt;1,$S165,0)</f>
        <v>8.6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8.6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8.6</v>
      </c>
      <c r="AN165" s="32" t="s">
        <v>659</v>
      </c>
      <c r="AO165" s="173">
        <f>SUM(AD164:AD183)</f>
        <v>18.700000000000003</v>
      </c>
    </row>
    <row r="166" spans="1:41" x14ac:dyDescent="0.25">
      <c r="A166" s="5" t="s">
        <v>1423</v>
      </c>
      <c r="B166" s="30">
        <f>T246*[1]Eco!$B$108*[1]Eco!$B$109</f>
        <v>168.00000000000003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1785.8400000000004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289.5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3077.3850000000002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72"/>
        <v>2.1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2.1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2.1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50714.189000000006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46521.069999999985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23261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3019.888390422364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32501.181609577623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16251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28.000000000000004</v>
      </c>
      <c r="U228" s="62">
        <f>SUM(U164:U227)</f>
        <v>20.7</v>
      </c>
      <c r="V228" s="62">
        <f t="shared" ref="V228:W228" si="84">SUM(V164:V227)</f>
        <v>13.6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23.000000000000004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7.3</v>
      </c>
      <c r="AI228" s="62">
        <f t="shared" si="86"/>
        <v>7.1</v>
      </c>
      <c r="AJ228" s="62">
        <f t="shared" si="86"/>
        <v>8.6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6599</v>
      </c>
      <c r="U234" t="s">
        <v>1101</v>
      </c>
      <c r="V234" s="173"/>
      <c r="W234" s="173">
        <f>[1]Protect!$B$4</f>
        <v>6</v>
      </c>
      <c r="X234" s="173">
        <f>T234*W234</f>
        <v>39594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39994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24494</v>
      </c>
      <c r="AB237" s="30">
        <f>(Scénario!K127/100)*AA237</f>
        <v>0</v>
      </c>
      <c r="AC237" s="30">
        <f>AA237-AB237</f>
        <v>24494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3019.888390422364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0.70000000000000007</v>
      </c>
      <c r="W246" s="173">
        <f>[1]Eco!$B$106*[1]Eco!$B$108*[1]Eco!$B$109</f>
        <v>2551.2000000000003</v>
      </c>
      <c r="X246" s="173">
        <f>T246*W246</f>
        <v>1785.8400000000004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7766.52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7766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6212.8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6212.8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6212.8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98.984999999999999</v>
      </c>
      <c r="U272" s="173"/>
      <c r="V272" s="173"/>
      <c r="W272" s="173">
        <f>W234</f>
        <v>6</v>
      </c>
      <c r="X272" s="173">
        <f>T272*W272</f>
        <v>593.91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Z1_OLBV_T3F_MC1s2</v>
      </c>
      <c r="D1" s="275" t="str">
        <f>CONCATENATE(C1,"_corr")</f>
        <v>Z1_OLBV_T3F_MC1s2_corr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18.700000000000003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20.7</v>
      </c>
      <c r="D85" s="261">
        <f>ROUND(C85*$D$82/$C$82,3)</f>
        <v>19.873999999999999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13.6</v>
      </c>
      <c r="D86" s="261">
        <f t="shared" ref="D86:D97" si="14">ROUND(C86*$D$82/$C$82,3)</f>
        <v>13.057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2.0699999999999998</v>
      </c>
      <c r="D88" s="261">
        <f t="shared" si="14"/>
        <v>1.9870000000000001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47</v>
      </c>
      <c r="D109" s="173">
        <f t="shared" si="25"/>
        <v>47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13</v>
      </c>
      <c r="D110" s="173">
        <f t="shared" si="25"/>
        <v>13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</v>
      </c>
      <c r="D116" s="173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0.76470588235294112</v>
      </c>
      <c r="D133" s="262">
        <f t="shared" si="25"/>
        <v>0.76470588235294112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0.58620689655172409</v>
      </c>
      <c r="D136" s="262">
        <f t="shared" si="25"/>
        <v>0.58620689655172409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91.785440018573851</v>
      </c>
      <c r="D161" s="263">
        <f t="shared" si="50"/>
        <v>88.123178072695595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124.20535979035137</v>
      </c>
      <c r="D162" s="263">
        <f t="shared" si="50"/>
        <v>119.24953496081115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155.20699999999999</v>
      </c>
      <c r="D169" s="263">
        <f t="shared" si="50"/>
        <v>149.01420199501246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110.81176298205219</v>
      </c>
      <c r="D170" s="263">
        <f t="shared" si="50"/>
        <v>106.39034600521219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101.08</v>
      </c>
      <c r="D171" s="263">
        <f t="shared" si="50"/>
        <v>97.046882793017446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151</v>
      </c>
      <c r="D172" s="263">
        <f t="shared" si="50"/>
        <v>144.97506234413964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44.395237017947807</v>
      </c>
      <c r="D173" s="263">
        <f t="shared" si="50"/>
        <v>42.623855989800262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71.400000000000006</v>
      </c>
      <c r="D174" s="263">
        <f t="shared" si="50"/>
        <v>68.551122194513709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-49.92</v>
      </c>
      <c r="D175" s="263">
        <f>C175*$D$82/$C$82</f>
        <v>-47.928179551122192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49.92</v>
      </c>
      <c r="D176" s="263">
        <f>C176*$D$82/$C$82</f>
        <v>47.928179551122192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81</v>
      </c>
      <c r="D178" s="173">
        <f>ROUND((D170+D171)/(D170+D172),2)*100</f>
        <v>81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6599</v>
      </c>
      <c r="D183" s="264">
        <f>ROUND(D184*D185,0)</f>
        <v>6323</v>
      </c>
      <c r="E183" s="17" t="s">
        <v>1295</v>
      </c>
    </row>
    <row r="184" spans="1:132" x14ac:dyDescent="0.25">
      <c r="B184" s="14" t="s">
        <v>1296</v>
      </c>
      <c r="C184" s="173">
        <f>Protection!AK26</f>
        <v>29.799999999999997</v>
      </c>
      <c r="D184" s="265">
        <f>C184*D82/C82</f>
        <v>28.61097256857855</v>
      </c>
    </row>
    <row r="185" spans="1:132" x14ac:dyDescent="0.25">
      <c r="B185" s="14" t="s">
        <v>1297</v>
      </c>
      <c r="C185" s="173">
        <f>IF(C183=0,0,ROUND(C183/C184,0))</f>
        <v>221</v>
      </c>
      <c r="D185" s="173">
        <f>C185</f>
        <v>221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21.000000000000004</v>
      </c>
      <c r="D190" s="173">
        <f>C190</f>
        <v>21.000000000000004</v>
      </c>
      <c r="AH190" s="15"/>
      <c r="AJ190" s="14" t="s">
        <v>1115</v>
      </c>
      <c r="AK190" s="30">
        <f>D190/30</f>
        <v>0.70000000000000007</v>
      </c>
      <c r="AN190" s="173">
        <f>[1]Eco!$B$106*[1]Eco!$B$108*[1]Eco!$B$109</f>
        <v>2551.2000000000003</v>
      </c>
      <c r="AO190" s="173">
        <f>AK190*AN190</f>
        <v>1785.8400000000004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0.9375</v>
      </c>
      <c r="D192" s="266">
        <f>ROUND((D183/1000)*([1]Protect!$B$25*8/10+[1]Protect!$B$26),2)/8</f>
        <v>0.89249999999999996</v>
      </c>
      <c r="E192" s="17" t="s">
        <v>1308</v>
      </c>
      <c r="I192" s="5"/>
      <c r="AN192" s="14" t="s">
        <v>1117</v>
      </c>
      <c r="AO192" s="173">
        <f>SUM(AO189:AO191)</f>
        <v>7766.52</v>
      </c>
    </row>
    <row r="193" spans="1:43" x14ac:dyDescent="0.25">
      <c r="B193" s="14" t="s">
        <v>1309</v>
      </c>
      <c r="C193" s="173">
        <f>(Travail!F75+Travail!F76+Travail!F81)/8</f>
        <v>17.0625</v>
      </c>
      <c r="D193" s="173">
        <f>C193</f>
        <v>17.0625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7766.52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7766.52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7766.52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6213</v>
      </c>
      <c r="D210" s="264">
        <f>ROUND(AL207,0)</f>
        <v>7767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50819.199999999997</v>
      </c>
      <c r="D211" s="264">
        <f>ROUND(SUM(D201:D210),0)</f>
        <v>51331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94.844999999999999</v>
      </c>
      <c r="AK216" s="173"/>
      <c r="AL216" s="173"/>
      <c r="AM216" s="173">
        <f>'Calcul éco'!W272</f>
        <v>6</v>
      </c>
      <c r="AN216" s="173">
        <f>AJ216*AM216</f>
        <v>569.06999999999994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2430.7710000000002</v>
      </c>
      <c r="D217" s="261">
        <f t="shared" si="106"/>
        <v>2334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15226.88</v>
      </c>
      <c r="D218" s="261">
        <f t="shared" si="106"/>
        <v>14619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5210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633.91</v>
      </c>
      <c r="D220" s="264">
        <f>SUM(AN215:AN219)</f>
        <v>609.06999999999994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55964</v>
      </c>
      <c r="D221" s="264">
        <f>ROUND(SUM(D216:D220),0)</f>
        <v>53731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945.4000000000002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6323</v>
      </c>
      <c r="AL225" t="s">
        <v>1101</v>
      </c>
      <c r="AM225" s="173"/>
      <c r="AN225" s="173">
        <f>[1]Protect!$B$4</f>
        <v>6</v>
      </c>
      <c r="AO225" s="173">
        <f>AK225*AN225</f>
        <v>37938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8430.3000000000011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38338</v>
      </c>
      <c r="AQ228" s="30">
        <f>IF(Scénario!K84=1,MIN(0.8*AO228,[1]Protect!$B$68),IF(Scénario!K84=2,MIN(0.8*AO228,[1]Protect!$B$67),0))</f>
        <v>15500</v>
      </c>
      <c r="AR228" s="30">
        <f>AO228-AQ228</f>
        <v>22838</v>
      </c>
      <c r="AS228" s="30">
        <f>(1-Scénario!K127/100)*AR228</f>
        <v>22838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-91.224000000000018</v>
      </c>
      <c r="D230" s="261">
        <f t="shared" si="109"/>
        <v>-88</v>
      </c>
    </row>
    <row r="231" spans="1:49" x14ac:dyDescent="0.25">
      <c r="B231" s="14" t="s">
        <v>1083</v>
      </c>
      <c r="C231" s="173">
        <f>'Calcul éco'!J159</f>
        <v>-72.000000000000014</v>
      </c>
      <c r="D231" s="261">
        <f t="shared" si="109"/>
        <v>-69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-43.512000000000015</v>
      </c>
      <c r="D233" s="261">
        <f t="shared" si="109"/>
        <v>-42</v>
      </c>
    </row>
    <row r="234" spans="1:49" x14ac:dyDescent="0.25">
      <c r="B234" s="14" t="s">
        <v>1352</v>
      </c>
      <c r="C234" s="173">
        <f>'Calcul éco'!J166</f>
        <v>1785.8400000000004</v>
      </c>
      <c r="D234" s="173">
        <f>C234</f>
        <v>1785.8400000000004</v>
      </c>
    </row>
    <row r="235" spans="1:49" x14ac:dyDescent="0.25">
      <c r="B235" s="14" t="s">
        <v>1353</v>
      </c>
      <c r="C235" s="173">
        <f>'Calcul éco'!J167</f>
        <v>3077.3850000000002</v>
      </c>
      <c r="D235" s="264">
        <f>(D191+D192)*8*[1]Eco!$B$106</f>
        <v>1887.2501999999999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50714</v>
      </c>
      <c r="D236" s="264">
        <f>ROUND(SUM(D222:D235),0)</f>
        <v>48520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46520.200000000012</v>
      </c>
      <c r="D237" s="264">
        <f>D194+D211-D221-D236</f>
        <v>47374</v>
      </c>
    </row>
    <row r="238" spans="1:49" x14ac:dyDescent="0.25">
      <c r="B238" s="211" t="s">
        <v>1090</v>
      </c>
      <c r="C238" s="173">
        <f>ROUND(C237/Scénario!$K$4,0)</f>
        <v>23260</v>
      </c>
      <c r="D238" s="264">
        <f>ROUND(D237/D83,0)</f>
        <v>23687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3019.888390422364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32500</v>
      </c>
      <c r="D241" s="268">
        <f>ROUND(D237-D239-D240,0)</f>
        <v>36374</v>
      </c>
    </row>
    <row r="242" spans="1:15" x14ac:dyDescent="0.25">
      <c r="B242" s="211" t="s">
        <v>1094</v>
      </c>
      <c r="C242" s="173">
        <f>ROUND(C241/Scénario!K4,0)</f>
        <v>16250</v>
      </c>
      <c r="D242" s="264">
        <f>ROUND(D241/D83,0)</f>
        <v>18187</v>
      </c>
    </row>
    <row r="243" spans="1:15" x14ac:dyDescent="0.25">
      <c r="B243" s="211" t="s">
        <v>1357</v>
      </c>
      <c r="C243" s="173">
        <f>'Calcul éco'!X237+'Calcul éco'!X240</f>
        <v>39994</v>
      </c>
      <c r="D243" s="173">
        <f>C243</f>
        <v>39994</v>
      </c>
    </row>
    <row r="244" spans="1:15" x14ac:dyDescent="0.25">
      <c r="B244" s="211" t="s">
        <v>1358</v>
      </c>
      <c r="C244" s="173">
        <f>'Calcul éco'!AA237+'Calcul éco'!AA240</f>
        <v>24494</v>
      </c>
      <c r="D244" s="173">
        <f>C244</f>
        <v>24494</v>
      </c>
    </row>
    <row r="245" spans="1:15" x14ac:dyDescent="0.25">
      <c r="A245" s="2" t="s">
        <v>1359</v>
      </c>
      <c r="B245" s="14" t="s">
        <v>568</v>
      </c>
      <c r="C245" s="270">
        <f>Travail!F5</f>
        <v>532</v>
      </c>
      <c r="D245" s="173">
        <f>C245</f>
        <v>532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980.04139130434783</v>
      </c>
      <c r="D248" s="264">
        <f>ROUND(SUM(AV163:BS163),1)</f>
        <v>971.1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17.886599999999998</v>
      </c>
      <c r="L258" s="190">
        <f>IF(K258&gt;[1]Trav!E121,[1]Trav!C121,[1]Trav!B121)</f>
        <v>7.2</v>
      </c>
      <c r="N258" s="274"/>
      <c r="O258">
        <f t="shared" si="114"/>
        <v>128.78351999999998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13.057</v>
      </c>
      <c r="L259" s="190">
        <f>IF(K259&gt;[1]Trav!E121,[1]Trav!C121,[1]Trav!B121)</f>
        <v>7.2</v>
      </c>
      <c r="N259" s="274"/>
      <c r="O259">
        <f t="shared" si="114"/>
        <v>94.010400000000004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1.9870000000000001</v>
      </c>
      <c r="L261" s="190">
        <f>IF(K261&gt;[1]Trav!E122,[1]Trav!C122,[1]Trav!B122)</f>
        <v>4.4000000000000004</v>
      </c>
      <c r="M261" s="5"/>
      <c r="N261" s="274"/>
      <c r="O261">
        <f t="shared" si="114"/>
        <v>8.7428000000000008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134</v>
      </c>
      <c r="D267" s="264">
        <f t="shared" si="116"/>
        <v>129</v>
      </c>
    </row>
    <row r="268" spans="1:15" x14ac:dyDescent="0.25">
      <c r="B268" s="32" t="s">
        <v>791</v>
      </c>
      <c r="C268" s="270">
        <f>Travail!F56</f>
        <v>98</v>
      </c>
      <c r="D268" s="264">
        <f t="shared" si="116"/>
        <v>94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9</v>
      </c>
      <c r="D270" s="264">
        <f t="shared" si="116"/>
        <v>9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7.5</v>
      </c>
      <c r="D276" s="264">
        <f>D192*8</f>
        <v>7.14</v>
      </c>
    </row>
    <row r="277" spans="1:4" x14ac:dyDescent="0.25">
      <c r="B277" s="32" t="s">
        <v>1419</v>
      </c>
      <c r="C277" s="270">
        <f>Travail!F75+Travail!F81</f>
        <v>112</v>
      </c>
      <c r="D277" s="173">
        <f>C277</f>
        <v>112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168.00000000000003</v>
      </c>
      <c r="D279" s="270">
        <f>C279</f>
        <v>168.00000000000003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4539</v>
      </c>
      <c r="D281" s="264">
        <f>ROUND(D245+D248+D251+D254+D257+D260+D261,0)</f>
        <v>4424</v>
      </c>
    </row>
    <row r="282" spans="1:4" x14ac:dyDescent="0.25">
      <c r="B282" s="14" t="s">
        <v>1372</v>
      </c>
      <c r="C282" s="173">
        <f>ROUND(C246+C249+C252+C255+C258,0)</f>
        <v>777</v>
      </c>
      <c r="D282" s="264">
        <f>ROUND(D246+D249+D252+D255+D258,0)</f>
        <v>774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14.93</v>
      </c>
      <c r="D284" s="173">
        <f>ROUND(D281/(Troupeau!$B$17*G63),2)</f>
        <v>15.16</v>
      </c>
    </row>
    <row r="285" spans="1:4" x14ac:dyDescent="0.25">
      <c r="B285" s="14" t="s">
        <v>1375</v>
      </c>
      <c r="C285" s="173">
        <f>IF(Troupeau!$C$17=0,0,ROUND(C282/Troupeau!$C$17,2))</f>
        <v>40.89</v>
      </c>
      <c r="D285" s="173">
        <f>IF(Troupeau!$C$17=0,0,ROUND(D282/Troupeau!$C$17*G63,2))</f>
        <v>39.11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5316</v>
      </c>
      <c r="D287" s="264">
        <f>SUM(D281:D283)</f>
        <v>5198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297</v>
      </c>
      <c r="D289" s="264">
        <f>SUM(D262:D271)</f>
        <v>289</v>
      </c>
    </row>
    <row r="290" spans="2:4" x14ac:dyDescent="0.25">
      <c r="B290" s="14" t="s">
        <v>1421</v>
      </c>
      <c r="C290" s="270">
        <f>C275+C276+C277</f>
        <v>289.89999999999998</v>
      </c>
      <c r="D290" s="277">
        <f>D275+D276+D277</f>
        <v>289.53999999999996</v>
      </c>
    </row>
    <row r="291" spans="2:4" x14ac:dyDescent="0.25">
      <c r="B291" s="14" t="s">
        <v>1422</v>
      </c>
      <c r="C291" s="270">
        <f>C278+C279+C280</f>
        <v>192.50000000000003</v>
      </c>
      <c r="D291" s="270">
        <f>D278+D279+D280</f>
        <v>192.50000000000003</v>
      </c>
    </row>
    <row r="292" spans="2:4" x14ac:dyDescent="0.25">
      <c r="B292" s="14" t="s">
        <v>873</v>
      </c>
      <c r="C292" s="173">
        <f>ROUND(SUM(C287:C291),0)</f>
        <v>6695</v>
      </c>
      <c r="D292" s="264">
        <f>ROUND(SUM(D287:D291),0)</f>
        <v>6569</v>
      </c>
    </row>
    <row r="293" spans="2:4" x14ac:dyDescent="0.25">
      <c r="B293" s="14" t="s">
        <v>874</v>
      </c>
      <c r="C293" s="173">
        <f>ROUND(IF(Scénario!$K$129=1,SUM(C275:C280),SUM(C278:C280)),0)</f>
        <v>482</v>
      </c>
      <c r="D293" s="173">
        <f>ROUND(IF(Scénario!$K$129=1,SUM(D275:D280),SUM(D278:D280)),0)</f>
        <v>482</v>
      </c>
    </row>
    <row r="294" spans="2:4" x14ac:dyDescent="0.25">
      <c r="B294" s="14" t="s">
        <v>875</v>
      </c>
      <c r="C294" s="173">
        <f>ROUND((C292-C293)/C83,0)</f>
        <v>3107</v>
      </c>
      <c r="D294" s="173">
        <f>ROUND((D292-D293)/D83,0)</f>
        <v>3044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53.304618022052161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39594</v>
      </c>
    </row>
    <row r="308" spans="2:3" x14ac:dyDescent="0.25">
      <c r="B308" s="14" t="s">
        <v>1460</v>
      </c>
      <c r="C308" s="173">
        <f>'Calcul éco'!X235</f>
        <v>400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B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13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36.984000000000002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347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648</v>
      </c>
      <c r="Z73" s="52"/>
      <c r="AA73" s="56">
        <f>ROUND(SUM(B73:Y73),0)</f>
        <v>8040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13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112.91396344577396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124.20535979035137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91.785440018573851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</v>
      </c>
      <c r="G172" s="61">
        <f t="shared" si="75"/>
        <v>5.3772581885217399</v>
      </c>
      <c r="H172" s="61">
        <f t="shared" si="75"/>
        <v>5.1768355617391331</v>
      </c>
      <c r="I172" s="61">
        <f t="shared" si="75"/>
        <v>5.1498728765217399</v>
      </c>
      <c r="J172" s="61">
        <f t="shared" si="75"/>
        <v>5.2658124229565226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2.4143940950956533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47.728517848139127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</v>
      </c>
      <c r="Y198" s="61">
        <f t="shared" si="96"/>
        <v>0</v>
      </c>
      <c r="AA198" s="64">
        <f>SUM(B198:Y198)</f>
        <v>5.5761001739130442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</v>
      </c>
      <c r="G215" s="61">
        <f t="shared" si="108"/>
        <v>5.3772581885217399</v>
      </c>
      <c r="H215" s="61">
        <f t="shared" si="108"/>
        <v>5.1768355617391331</v>
      </c>
      <c r="I215" s="61">
        <f t="shared" si="108"/>
        <v>5.1498728765217399</v>
      </c>
      <c r="J215" s="61">
        <f t="shared" si="108"/>
        <v>5.2658124229565226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2.4143940950956533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91.78544001857388</v>
      </c>
      <c r="AB219" t="s">
        <v>222</v>
      </c>
    </row>
    <row r="220" spans="1:28" x14ac:dyDescent="0.25">
      <c r="AA220" s="30">
        <f>SUM(B215:Y217)</f>
        <v>53.304618022052161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F53" sqref="B53:F5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2023-01-09T09:56:55Z</dcterms:modified>
</cp:coreProperties>
</file>