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10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D5" i="29"/>
  <c r="BE5" i="29" s="1"/>
  <c r="BF5" i="29" s="1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AV23" i="29"/>
  <c r="AW23" i="29"/>
  <c r="AX23" i="29"/>
  <c r="AY23" i="29"/>
  <c r="AZ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I23" i="29"/>
  <c r="BH23" i="29"/>
  <c r="BL21" i="29"/>
  <c r="BK21" i="29"/>
  <c r="BG21" i="29"/>
  <c r="BH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H25" i="29"/>
  <c r="BJ25" i="29"/>
  <c r="BK25" i="29"/>
  <c r="BL25" i="29"/>
  <c r="BG25" i="29"/>
  <c r="BL13" i="29"/>
  <c r="BK13" i="29"/>
  <c r="BG13" i="29"/>
  <c r="BI13" i="29"/>
  <c r="BJ13" i="29"/>
  <c r="BG12" i="29"/>
  <c r="BK6" i="29"/>
  <c r="BG6" i="29"/>
  <c r="BH6" i="29"/>
  <c r="BJ6" i="29"/>
  <c r="BI6" i="29"/>
  <c r="BL5" i="29"/>
  <c r="BG5" i="29"/>
  <c r="BH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H8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G46" i="24" s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49" i="24"/>
  <c r="AG48" i="24"/>
  <c r="AG47" i="24"/>
  <c r="AG43" i="24"/>
  <c r="AG41" i="24"/>
  <c r="AG40" i="24"/>
  <c r="AG39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O75" i="30"/>
  <c r="M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K10" i="29"/>
  <c r="J10" i="29"/>
  <c r="I10" i="29"/>
  <c r="F10" i="29"/>
  <c r="E10" i="29"/>
  <c r="D10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AG42" i="24" l="1"/>
  <c r="AG50" i="24"/>
  <c r="AG51" i="24"/>
  <c r="AG44" i="24"/>
  <c r="AG52" i="24"/>
  <c r="AG45" i="24"/>
  <c r="AG38" i="24"/>
  <c r="CJ87" i="30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K93" i="30" s="1"/>
  <c r="BJ40" i="30"/>
  <c r="BJ93" i="30" s="1"/>
  <c r="BI40" i="30"/>
  <c r="BI93" i="30" s="1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I91" i="30" s="1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W136" i="31" l="1"/>
  <c r="AG127" i="31"/>
  <c r="AG142" i="31"/>
  <c r="AG133" i="31"/>
  <c r="AG136" i="31"/>
  <c r="AG139" i="31"/>
  <c r="AG130" i="31"/>
  <c r="AG145" i="31"/>
  <c r="W133" i="31"/>
  <c r="U133" i="31"/>
  <c r="U137" i="31"/>
  <c r="U132" i="31"/>
  <c r="U136" i="31"/>
  <c r="L114" i="31" s="1"/>
  <c r="U135" i="31"/>
  <c r="K113" i="31" s="1"/>
  <c r="U134" i="31"/>
  <c r="AF133" i="31"/>
  <c r="AF142" i="31"/>
  <c r="AF136" i="31"/>
  <c r="AF130" i="31"/>
  <c r="AF139" i="31"/>
  <c r="AF145" i="31"/>
  <c r="AF127" i="31"/>
  <c r="D16" i="30"/>
  <c r="F16" i="30" s="1"/>
  <c r="AK191" i="33" s="1"/>
  <c r="AO191" i="33" s="1"/>
  <c r="CX91" i="30"/>
  <c r="S3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Z72" i="30" l="1"/>
  <c r="Q72" i="30"/>
  <c r="M8" i="29"/>
  <c r="Q8" i="29"/>
  <c r="Q201" i="29" s="1"/>
  <c r="U72" i="30"/>
  <c r="R8" i="29"/>
  <c r="R201" i="29" s="1"/>
  <c r="V72" i="30"/>
  <c r="N8" i="29"/>
  <c r="N201" i="29" s="1"/>
  <c r="R72" i="30"/>
  <c r="O8" i="29"/>
  <c r="S72" i="30"/>
  <c r="P8" i="29"/>
  <c r="P201" i="29" s="1"/>
  <c r="T72" i="30"/>
  <c r="U8" i="29"/>
  <c r="U201" i="29" s="1"/>
  <c r="Y72" i="30"/>
  <c r="X72" i="30"/>
  <c r="T8" i="29"/>
  <c r="T201" i="29" s="1"/>
  <c r="W72" i="30"/>
  <c r="S8" i="29"/>
  <c r="P72" i="30"/>
  <c r="L8" i="29"/>
  <c r="L201" i="29" s="1"/>
  <c r="AF187" i="31"/>
  <c r="H8" i="29"/>
  <c r="W8" i="29"/>
  <c r="W201" i="29" s="1"/>
  <c r="V8" i="29"/>
  <c r="V201" i="29" s="1"/>
  <c r="Y8" i="29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I201" i="29"/>
  <c r="M201" i="29"/>
  <c r="K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F72" i="30" l="1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6" i="30"/>
  <c r="CD87" i="30"/>
  <c r="CC86" i="30"/>
  <c r="CC87" i="30"/>
  <c r="CF87" i="30"/>
  <c r="CF86" i="30"/>
  <c r="CE86" i="30"/>
  <c r="CE87" i="30"/>
  <c r="CB87" i="30"/>
  <c r="CB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L210" i="33" l="1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BJ143" i="33" l="1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AJ8" i="29"/>
  <c r="F77" i="30" s="1"/>
  <c r="B129" i="30" s="1"/>
  <c r="D213" i="29"/>
  <c r="D214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Q201" i="24" l="1"/>
  <c r="Q211" i="24" s="1"/>
  <c r="Q218" i="24" s="1"/>
  <c r="Q162" i="24"/>
  <c r="T177" i="24"/>
  <c r="T190" i="24"/>
  <c r="M201" i="24"/>
  <c r="M211" i="24" s="1"/>
  <c r="M218" i="24" s="1"/>
  <c r="M175" i="24"/>
  <c r="M185" i="24" s="1"/>
  <c r="M216" i="24" s="1"/>
  <c r="O201" i="24"/>
  <c r="O211" i="24" s="1"/>
  <c r="O218" i="24" s="1"/>
  <c r="O162" i="24"/>
  <c r="O172" i="24" s="1"/>
  <c r="O215" i="24" s="1"/>
  <c r="N201" i="24"/>
  <c r="N211" i="24" s="1"/>
  <c r="N218" i="24" s="1"/>
  <c r="N175" i="24"/>
  <c r="R201" i="24"/>
  <c r="R211" i="24" s="1"/>
  <c r="R218" i="24" s="1"/>
  <c r="R175" i="24"/>
  <c r="R185" i="24" s="1"/>
  <c r="R216" i="24" s="1"/>
  <c r="N185" i="24"/>
  <c r="N216" i="24" s="1"/>
  <c r="Q172" i="24"/>
  <c r="Q215" i="24" s="1"/>
  <c r="T198" i="24"/>
  <c r="T217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BI8" i="29" s="1"/>
  <c r="T7" i="7"/>
  <c r="BB9" i="29" s="1"/>
  <c r="BI9" i="29" s="1"/>
  <c r="T15" i="7"/>
  <c r="BB17" i="29" s="1"/>
  <c r="BH17" i="29" s="1"/>
  <c r="T10" i="7"/>
  <c r="BB12" i="29" s="1"/>
  <c r="BH12" i="29" s="1"/>
  <c r="V22" i="7"/>
  <c r="T22" i="7"/>
  <c r="BB24" i="29" s="1"/>
  <c r="BI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BI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BI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BG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BI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BG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B167" i="31"/>
  <c r="J167" i="31" s="1"/>
  <c r="C235" i="33" s="1"/>
  <c r="C236" i="33" s="1"/>
  <c r="X234" i="31"/>
  <c r="C307" i="33" s="1"/>
  <c r="D184" i="33"/>
  <c r="D183" i="33" s="1"/>
  <c r="AJ216" i="33" s="1"/>
  <c r="AN216" i="33" s="1"/>
  <c r="D220" i="33" s="1"/>
  <c r="C276" i="33"/>
  <c r="C293" i="33" s="1"/>
  <c r="B115" i="30"/>
  <c r="B126" i="30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J170" i="31" l="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<sst xmlns="http://schemas.openxmlformats.org/spreadsheetml/2006/main" count="3098" uniqueCount="1464">
  <si>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</si>
  <si>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</si>
  <si>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</si>
  <si>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</si>
  <si>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</si>
  <si>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</si>
  <si>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</si>
  <si>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</si>
  <si>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</si>
  <si>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</si>
  <si>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</si>
  <si>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</si>
  <si>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</si>
  <si>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</si>
  <si>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</si>
  <si>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</si>
  <si>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</si>
  <si>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</si>
  <si>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</si>
  <si>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</si>
  <si>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</si>
  <si>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</si>
  <si>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</si>
  <si>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</si>
  <si>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</si>
  <si>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</si>
  <si>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</si>
  <si>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</si>
  <si>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</si>
  <si>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</si>
  <si>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</si>
  <si>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</si>
  <si>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</si>
  <si>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</si>
  <si>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</si>
  <si>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</si>
  <si>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</si>
  <si>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</si>
  <si>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</si>
  <si>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</si>
  <si>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</si>
  <si>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</si>
  <si>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</si>
  <si>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</si>
  <si>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</si>
  <si>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</si>
  <si>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</si>
  <si>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</si>
  <si>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</si>
  <si>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</si>
  <si>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</si>
  <si>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</si>
  <si>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</si>
  <si>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</si>
  <si>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</si>
  <si>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</si>
  <si>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</si>
  <si>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</si>
  <si>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</si>
  <si>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</si>
  <si>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</si>
  <si>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</si>
  <si>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</si>
  <si>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</si>
  <si>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</si>
  <si>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</si>
  <si>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</si>
  <si>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</si>
  <si>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</si>
  <si>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</si>
  <si>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</si>
  <si>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</si>
  <si>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</si>
  <si>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</si>
  <si>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</si>
  <si>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</si>
  <si>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</si>
  <si>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</si>
  <si>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</si>
  <si>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</si>
  <si>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</si>
  <si>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</si>
  <si>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</si>
  <si>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</si>
  <si>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</si>
  <si>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</si>
  <si>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</si>
  <si>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</si>
  <si>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</si>
  <si>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</si>
  <si>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</si>
  <si>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</si>
  <si>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</si>
  <si>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</si>
  <si>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</si>
  <si>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</si>
  <si>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</si>
  <si>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</si>
  <si>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</si>
  <si>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</si>
  <si>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</si>
  <si>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</si>
  <si>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</si>
  <si>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</si>
  <si>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</si>
  <si>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</si>
  <si>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</si>
  <si>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</si>
  <si>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</si>
  <si>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</si>
  <si>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</si>
  <si>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</si>
  <si>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</si>
  <si>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</si>
  <si>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</si>
  <si>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</si>
  <si>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</si>
  <si>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</si>
  <si>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</si>
  <si>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</si>
  <si>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</si>
  <si>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</si>
  <si>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</si>
  <si>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</si>
  <si>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</si>
  <si>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</si>
  <si>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</si>
  <si>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</si>
  <si>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</si>
  <si>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</si>
  <si>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</si>
  <si>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</si>
  <si>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</si>
  <si>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</si>
  <si>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</si>
  <si>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</si>
  <si>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</si>
  <si>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</si>
  <si>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</si>
  <si>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</si>
  <si>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</si>
  <si>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</si>
  <si>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</si>
  <si>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</si>
  <si>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</si>
  <si>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</si>
  <si>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</si>
  <si>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</si>
  <si>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</si>
  <si>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</si>
  <si>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</si>
  <si>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</si>
  <si>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</si>
  <si>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</si>
  <si>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</si>
  <si>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</si>
  <si>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</si>
  <si>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</si>
  <si>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</si>
  <si>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</si>
  <si>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</si>
  <si>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</si>
  <si>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</si>
  <si>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</si>
  <si>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</si>
  <si>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</si>
  <si>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</si>
  <si>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</si>
  <si>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</si>
  <si>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</si>
  <si>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</si>
  <si>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</si>
  <si>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</si>
  <si>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</si>
  <si>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</si>
  <si>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</si>
  <si>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</si>
  <si>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</si>
  <si>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</si>
  <si>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</si>
  <si>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</si>
  <si>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</si>
  <si>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</si>
  <si>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</si>
  <si>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</si>
  <si>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</si>
  <si>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</si>
  <si>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</si>
  <si>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</si>
  <si>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</si>
  <si>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</si>
  <si>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</si>
  <si>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</si>
  <si>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</si>
  <si>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</si>
  <si>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</si>
  <si>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</si>
  <si>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</si>
  <si>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</si>
  <si>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</si>
  <si>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</si>
  <si>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</si>
  <si>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</si>
  <si>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</si>
  <si>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</si>
  <si>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</si>
  <si>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</si>
  <si>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</si>
  <si>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</si>
  <si>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</si>
  <si>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</si>
  <si>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</si>
  <si>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</si>
  <si>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</si>
  <si>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</si>
  <si>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</si>
  <si>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</si>
  <si>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</si>
  <si>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</si>
  <si>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</si>
  <si>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</si>
  <si>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</si>
  <si>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</si>
  <si>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</si>
  <si>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</si>
  <si>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</si>
  <si>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</si>
  <si>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</si>
  <si>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</si>
  <si>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</si>
  <si>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</si>
  <si>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</si>
  <si>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</si>
  <si>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</si>
  <si>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</si>
  <si>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</si>
  <si>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</si>
  <si>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</si>
  <si>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</si>
  <si>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</si>
  <si>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</si>
  <si>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</si>
  <si>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</si>
  <si>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</si>
  <si>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</si>
  <si>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</si>
  <si>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</si>
  <si>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</si>
  <si>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</si>
  <si>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</si>
  <si>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</si>
  <si>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</si>
  <si>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</si>
  <si>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</si>
  <si>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</si>
  <si>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</si>
  <si>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</si>
  <si>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</si>
  <si>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</si>
  <si>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</si>
  <si>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</si>
  <si>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</si>
  <si>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</si>
  <si>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</si>
  <si>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</si>
  <si>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</si>
  <si>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</si>
  <si>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</si>
  <si>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</si>
  <si>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</si>
  <si>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</si>
  <si>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</si>
  <si>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</si>
  <si>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</si>
  <si>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</si>
  <si>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</si>
  <si>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</si>
  <si>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</si>
  <si>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</si>
  <si>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</si>
  <si>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</si>
  <si>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</si>
  <si>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</si>
  <si>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</si>
  <si>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</si>
  <si>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</si>
  <si>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</si>
  <si>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</si>
  <si>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</si>
  <si>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</si>
  <si>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</si>
  <si>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</si>
  <si>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</si>
  <si>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</si>
  <si>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</si>
  <si>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</si>
  <si>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</si>
  <si>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</si>
  <si>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</si>
  <si>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</si>
  <si>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</si>
  <si>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</si>
  <si>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</si>
  <si>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</si>
  <si>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</si>
  <si>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</si>
  <si>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</si>
  <si>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</si>
  <si>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</si>
  <si>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</si>
  <si>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</si>
  <si>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</si>
  <si>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</si>
  <si>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</si>
  <si>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</si>
  <si>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</si>
  <si>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</si>
  <si>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</si>
  <si>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</si>
  <si>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</si>
  <si>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</si>
  <si>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</si>
  <si>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</si>
  <si>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</si>
  <si>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</si>
  <si>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</si>
  <si>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</si>
  <si>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</si>
  <si>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</si>
  <si>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</si>
  <si>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</si>
  <si>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</si>
  <si>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</si>
  <si>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</si>
  <si>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</si>
  <si>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</si>
  <si>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</si>
  <si>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</si>
  <si>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</si>
  <si>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</si>
  <si>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</si>
  <si>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</si>
  <si>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</si>
  <si>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</si>
  <si>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</si>
  <si>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</si>
  <si>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</si>
  <si>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</si>
  <si>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</si>
  <si>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</si>
  <si>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</si>
  <si>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</si>
  <si>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</si>
  <si>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</si>
  <si>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</si>
  <si>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</si>
  <si>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</si>
  <si>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</si>
  <si>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</si>
  <si>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</si>
  <si>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</si>
  <si>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</si>
  <si>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</si>
  <si>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</si>
  <si>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</si>
  <si>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</si>
  <si>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</si>
  <si>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</si>
  <si>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</si>
  <si>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</si>
  <si>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</si>
  <si>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</si>
  <si>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</si>
  <si>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</si>
  <si>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</si>
  <si>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</si>
  <si>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</si>
  <si>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</si>
  <si>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</si>
  <si>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</si>
  <si>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</si>
  <si>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</si>
  <si>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</si>
  <si>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</si>
  <si>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</si>
  <si>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</si>
  <si>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</si>
  <si>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</si>
  <si>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</si>
  <si>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</si>
  <si>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</si>
  <si>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</si>
  <si>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</si>
  <si>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</si>
  <si>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</si>
  <si>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</si>
  <si>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</si>
  <si>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</si>
  <si>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</si>
  <si>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</si>
  <si>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</si>
  <si>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</si>
  <si>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</si>
  <si>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</si>
  <si>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</si>
  <si>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</si>
  <si>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</si>
  <si>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</si>
  <si>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</si>
  <si>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</si>
  <si>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</si>
  <si>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</si>
  <si>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</si>
  <si>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</si>
  <si>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</si>
  <si>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</si>
  <si>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</si>
  <si>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</si>
  <si>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</si>
  <si>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</si>
  <si>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</si>
  <si>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</si>
  <si>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</si>
  <si>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</si>
  <si>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</si>
  <si>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</si>
  <si>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</si>
  <si>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</si>
  <si>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</si>
  <si>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</si>
  <si>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</si>
  <si>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</si>
  <si>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</si>
  <si>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</si>
  <si>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</si>
  <si>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</si>
  <si>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</si>
  <si>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</si>
  <si>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</si>
  <si>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</si>
  <si>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</si>
  <si>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</si>
  <si>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</si>
  <si>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</si>
  <si>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</si>
  <si>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</si>
  <si>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</si>
  <si>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</si>
  <si>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</si>
  <si>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</si>
  <si>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</si>
  <si>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</si>
  <si>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</si>
  <si>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</si>
  <si>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</si>
  <si>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</si>
  <si>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</si>
  <si>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</si>
  <si>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</si>
  <si>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</si>
  <si>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</si>
  <si>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</si>
  <si>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</si>
  <si>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</si>
  <si>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</si>
  <si>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</si>
  <si>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</si>
  <si>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</si>
  <si>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</si>
  <si>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</si>
  <si>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</si>
  <si>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</si>
  <si>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</si>
  <si>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</si>
  <si>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</si>
  <si>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</si>
  <si>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</si>
  <si>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</si>
  <si>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</si>
  <si>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</si>
  <si>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</si>
  <si>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</si>
  <si>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</si>
  <si>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</si>
  <si>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</si>
  <si>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</si>
  <si>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</si>
  <si>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</si>
  <si>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</si>
  <si>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</si>
  <si>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</si>
  <si>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</si>
  <si>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</si>
  <si>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</si>
  <si>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</si>
  <si>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</si>
  <si>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</si>
  <si>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</si>
  <si>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</si>
  <si>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</si>
  <si>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</si>
  <si>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</si>
  <si>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</si>
  <si>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</si>
  <si>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</si>
  <si>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</si>
  <si>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</si>
  <si>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</si>
  <si>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</si>
  <si>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</si>
  <si>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</si>
  <si>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</si>
  <si>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</si>
  <si>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</si>
  <si>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</si>
  <si>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</si>
  <si>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</si>
  <si>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</si>
  <si>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</si>
  <si>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</si>
  <si>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</si>
  <si>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</si>
  <si>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</si>
  <si>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</si>
  <si>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</si>
  <si>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</si>
  <si>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</si>
  <si>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</si>
  <si>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</si>
  <si>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</si>
  <si>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</si>
  <si>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</si>
  <si>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</si>
  <si>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</si>
  <si>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</si>
  <si>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</si>
  <si>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</si>
  <si>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</si>
  <si>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</si>
  <si>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</si>
  <si>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</si>
  <si>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</si>
  <si>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</si>
  <si>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</si>
  <si>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</si>
  <si>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</si>
  <si>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</si>
  <si>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</si>
  <si>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</si>
  <si>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</si>
  <si>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</si>
  <si>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</si>
  <si>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</si>
  <si>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</si>
  <si>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</si>
  <si>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</si>
  <si>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</si>
  <si>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</si>
  <si>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</si>
  <si>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</si>
  <si>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</si>
  <si>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</si>
  <si>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</si>
  <si>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</si>
  <si>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</si>
  <si>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</si>
  <si>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</si>
  <si>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</si>
  <si>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</si>
  <si>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</si>
  <si>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</si>
  <si>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</si>
  <si>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</si>
  <si>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</si>
  <si>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</si>
  <si>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</si>
  <si>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</si>
  <si>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</si>
  <si>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</si>
  <si>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</si>
  <si>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</si>
  <si>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</si>
  <si>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</si>
  <si>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</si>
  <si>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</si>
  <si>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</si>
  <si>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</si>
  <si>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</si>
  <si>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</si>
  <si>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</si>
  <si>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</si>
  <si>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</si>
  <si>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</si>
  <si>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</si>
  <si>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</si>
  <si>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</si>
  <si>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</si>
  <si>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</si>
  <si>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</si>
  <si>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</si>
  <si>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</si>
  <si>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</si>
  <si>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</si>
  <si>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</si>
  <si>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</si>
  <si>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</si>
  <si>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</si>
  <si>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</si>
  <si>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</si>
  <si>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</si>
  <si>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</si>
  <si>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</si>
  <si>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</si>
  <si>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</si>
  <si>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</si>
  <si>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</si>
  <si>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</si>
  <si>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</si>
  <si>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</si>
  <si>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</si>
  <si>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</si>
  <si>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</si>
  <si>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</si>
  <si>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</si>
  <si>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</si>
  <si>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</si>
  <si>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</si>
  <si>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</si>
  <si>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</si>
  <si>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</si>
  <si>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</si>
  <si>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</si>
  <si>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</si>
  <si>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</si>
  <si>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</si>
  <si>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</si>
  <si>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</si>
  <si>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</si>
  <si>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</si>
  <si>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</si>
  <si>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</si>
  <si>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</si>
  <si>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</si>
  <si>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</si>
  <si>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</si>
  <si>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</si>
  <si>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</si>
  <si>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</si>
  <si>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</si>
  <si>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</si>
  <si>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</si>
  <si>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</si>
  <si>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</si>
  <si>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</si>
  <si>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</si>
  <si>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</si>
  <si>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</si>
  <si>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</si>
  <si>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</si>
  <si>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</si>
  <si>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</si>
  <si>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</si>
  <si>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</si>
  <si>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</si>
  <si>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</si>
  <si>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</si>
  <si>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</si>
  <si>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</si>
  <si>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</si>
  <si>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</si>
  <si>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</si>
  <si>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</si>
  <si>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</si>
  <si>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</si>
  <si>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</si>
  <si>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</si>
  <si>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</si>
  <si>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</si>
  <si>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</si>
  <si>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</si>
  <si>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</si>
  <si>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</si>
  <si>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</si>
  <si>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</si>
  <si>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</si>
  <si>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</si>
  <si>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</si>
  <si>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</si>
  <si>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</si>
  <si>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</si>
  <si>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</si>
  <si>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</si>
  <si>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</si>
  <si>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</si>
  <si>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</si>
  <si>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</si>
  <si>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</si>
  <si>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</si>
  <si>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</si>
  <si>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</si>
  <si>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</si>
  <si>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</si>
  <si>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</si>
  <si>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</si>
  <si>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</si>
  <si>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</si>
  <si>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</si>
  <si>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</si>
  <si>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</si>
  <si>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</si>
  <si>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</si>
  <si>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</si>
  <si>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</si>
  <si>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</si>
  <si>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</si>
  <si>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</si>
  <si>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</si>
  <si>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</si>
  <si>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</si>
  <si>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</si>
  <si>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</si>
  <si>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</si>
  <si>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</si>
  <si>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</si>
  <si>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</si>
  <si>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</si>
  <si>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</si>
  <si>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</si>
  <si>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</si>
  <si>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</si>
  <si>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</si>
  <si>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</si>
  <si>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</si>
  <si>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</si>
  <si>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</si>
  <si>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</si>
  <si>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</si>
  <si>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</si>
  <si>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</si>
  <si>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</si>
  <si>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</si>
  <si>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</si>
  <si>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</si>
  <si>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</si>
  <si>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</si>
  <si>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</si>
  <si>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</si>
  <si>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</si>
  <si>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</si>
  <si>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</si>
  <si>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</si>
  <si>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</si>
  <si>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</si>
  <si>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</si>
  <si>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</si>
  <si>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</si>
  <si>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</si>
  <si>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</si>
  <si>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</si>
  <si>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</si>
  <si>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</si>
  <si>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</si>
  <si>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</si>
  <si>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</si>
  <si>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</si>
  <si>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</si>
  <si>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</si>
  <si>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</si>
  <si>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</si>
  <si>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</si>
  <si>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</si>
  <si>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</si>
  <si>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</si>
  <si>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</si>
  <si>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</si>
  <si>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</si>
  <si>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</si>
  <si>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</si>
  <si>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</si>
  <si>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</si>
  <si>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</si>
  <si>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</si>
  <si>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</si>
  <si>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</si>
  <si>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</si>
  <si>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</si>
  <si>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</si>
  <si>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</si>
  <si>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</si>
  <si>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</si>
  <si>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</si>
  <si>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</si>
  <si>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</si>
  <si>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</si>
  <si>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</si>
  <si>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</si>
  <si>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</si>
  <si>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</si>
  <si>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</si>
  <si>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</si>
  <si>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</si>
  <si>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</si>
  <si>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</si>
  <si>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</si>
  <si>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</si>
  <si>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</si>
  <si>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</si>
  <si>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</si>
  <si>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</si>
  <si>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</si>
  <si>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</si>
  <si>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</si>
  <si>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</si>
  <si>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</si>
  <si>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</si>
  <si>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</si>
  <si>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</si>
  <si>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</si>
  <si>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</si>
  <si>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</si>
  <si>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</si>
  <si>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</si>
  <si>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</si>
  <si>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</si>
  <si>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</si>
  <si>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</si>
  <si>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</si>
  <si>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</si>
  <si>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</si>
  <si>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</si>
  <si>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</si>
  <si>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</si>
  <si>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</si>
  <si>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</si>
  <si>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</si>
  <si>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</si>
  <si>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</si>
  <si>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</si>
  <si>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</si>
  <si>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</si>
  <si>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</si>
  <si>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</si>
  <si>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</si>
  <si>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</si>
  <si>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</si>
  <si>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</si>
  <si>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</si>
  <si>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</si>
  <si>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</si>
  <si>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</si>
  <si>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</si>
  <si>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</si>
  <si>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</si>
  <si>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</si>
  <si>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</si>
  <si>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</si>
  <si>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</si>
  <si>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</si>
  <si>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</si>
  <si>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</si>
  <si>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</si>
  <si>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</si>
  <si>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</si>
  <si>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</si>
  <si>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</si>
  <si>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</si>
  <si>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</si>
  <si>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</si>
  <si>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</si>
  <si>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</si>
  <si>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</si>
  <si>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</si>
  <si>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</si>
  <si>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</si>
  <si>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</si>
  <si>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</si>
  <si>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</si>
  <si>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</si>
  <si>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</si>
  <si>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</si>
  <si>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</si>
  <si>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</si>
  <si>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</si>
  <si>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</si>
  <si>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</si>
  <si>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</si>
  <si>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</si>
  <si>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</si>
  <si>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</si>
  <si>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</si>
  <si>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</si>
  <si>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</si>
  <si>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</si>
  <si>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</si>
  <si>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</si>
  <si>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</si>
  <si>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</si>
  <si>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</si>
  <si>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</si>
  <si>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</si>
  <si>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</si>
  <si>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</si>
  <si>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</si>
  <si>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</si>
  <si>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</si>
  <si>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</si>
  <si>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</si>
  <si>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</si>
  <si>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</si>
  <si>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</si>
  <si>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</si>
  <si>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</si>
  <si>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</si>
  <si>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</si>
  <si>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</si>
  <si>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</si>
  <si>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</si>
  <si>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</si>
  <si>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</si>
  <si>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</si>
  <si>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</si>
  <si>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</si>
  <si>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</si>
  <si>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</si>
  <si>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</si>
  <si>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</si>
  <si>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</si>
  <si>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</si>
  <si>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</si>
  <si>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</si>
  <si>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</si>
  <si>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</si>
  <si>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</si>
  <si>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</si>
  <si>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</si>
  <si>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</si>
  <si>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</si>
  <si>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</si>
  <si>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</si>
  <si>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</si>
  <si>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</si>
  <si>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</si>
  <si>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</si>
  <si>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</si>
  <si>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</si>
  <si>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</si>
  <si>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</si>
  <si>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</si>
  <si>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</si>
  <si>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</si>
  <si>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</si>
  <si>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</si>
  <si>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</si>
  <si>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</si>
  <si>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</si>
  <si>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</si>
  <si>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</si>
  <si>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</si>
  <si>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</si>
  <si>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</si>
  <si>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</si>
  <si>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</si>
  <si>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</si>
  <si>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</si>
  <si>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</si>
  <si>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</si>
  <si>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</si>
  <si>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</si>
  <si>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</si>
  <si>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</si>
  <si>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</si>
  <si>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</si>
  <si>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</si>
  <si>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</si>
  <si>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</si>
  <si>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</si>
  <si>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</si>
  <si>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</si>
  <si>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</si>
  <si>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</si>
  <si>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</si>
  <si>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</si>
  <si>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</si>
  <si>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</si>
  <si>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</si>
  <si>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</si>
  <si>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</si>
  <si>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</si>
  <si>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</si>
  <si>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</si>
  <si>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</si>
  <si>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</si>
  <si>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</si>
  <si>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</si>
  <si>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</si>
  <si>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</si>
  <si>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</si>
  <si>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</si>
  <si>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</si>
  <si>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</si>
  <si>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</si>
  <si>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</si>
  <si>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</si>
  <si>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</si>
  <si>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</si>
  <si>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</si>
  <si>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</si>
  <si>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</si>
  <si>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</si>
  <si>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</si>
  <si>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</si>
  <si>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</si>
  <si>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</si>
  <si>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</si>
  <si>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</si>
  <si>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</si>
  <si>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</si>
  <si>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</si>
  <si>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</si>
  <si>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</si>
  <si>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</si>
  <si>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</si>
  <si>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</si>
  <si>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</si>
  <si>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</si>
  <si>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</si>
  <si>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</si>
  <si>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</si>
  <si>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</si>
  <si>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</si>
  <si>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</si>
  <si>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</si>
  <si>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</si>
  <si>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</si>
  <si>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</si>
  <si>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</si>
  <si>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</si>
  <si>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</si>
  <si>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</si>
  <si>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</si>
  <si>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</si>
  <si>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</si>
  <si>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</si>
  <si>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</si>
  <si>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</si>
  <si>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</si>
  <si>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</si>
  <si>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</si>
  <si>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</si>
  <si>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</si>
  <si>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</si>
  <si>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</si>
  <si>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</si>
  <si>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</si>
  <si>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</si>
  <si>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</si>
  <si>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</si>
  <si>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</si>
  <si>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</si>
  <si>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</si>
  <si>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</si>
  <si>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</si>
  <si>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</si>
  <si>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</si>
  <si>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</si>
  <si>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</si>
  <si>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</si>
  <si>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</si>
  <si>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</si>
  <si>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</si>
  <si>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</si>
  <si>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</si>
  <si>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</si>
  <si>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</si>
  <si>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</si>
  <si>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</si>
  <si>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</si>
  <si>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</si>
  <si>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</si>
  <si>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</si>
  <si>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</si>
  <si>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</si>
  <si>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</si>
  <si>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</si>
  <si>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</si>
  <si>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</si>
  <si>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</si>
  <si>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</si>
  <si>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</si>
  <si>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</si>
  <si>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</si>
  <si>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</si>
  <si>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</si>
  <si>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</si>
  <si>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</si>
  <si>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</si>
  <si>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</si>
  <si>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</si>
  <si>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</si>
  <si>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</si>
  <si>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</si>
  <si>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</si>
  <si>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</si>
  <si>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</si>
  <si>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</si>
  <si>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</si>
  <si>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</si>
  <si>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</si>
  <si>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</si>
  <si>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</si>
  <si>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</si>
  <si>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</si>
  <si>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</si>
  <si>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</si>
  <si>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</si>
  <si>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</si>
  <si>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</si>
  <si>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</si>
  <si>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</si>
  <si>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</si>
  <si>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</si>
  <si>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</si>
  <si>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</si>
  <si>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</si>
  <si>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</si>
  <si>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</si>
  <si>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</si>
  <si>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</si>
  <si>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</si>
  <si>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</si>
  <si>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</si>
  <si>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</si>
  <si>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</si>
  <si>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</si>
  <si>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</si>
  <si>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</si>
  <si>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</si>
  <si>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</si>
  <si>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</si>
  <si>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</si>
  <si>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</si>
  <si>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</si>
  <si>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</si>
  <si>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</si>
  <si>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</si>
  <si>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</si>
  <si>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</si>
  <si>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</si>
  <si>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</si>
  <si>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</si>
  <si>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</si>
  <si>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</si>
  <si>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</si>
  <si>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</si>
  <si>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</si>
  <si>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</si>
  <si>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</si>
  <si>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</si>
  <si>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</si>
  <si>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</si>
  <si>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</si>
  <si>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</si>
  <si>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</si>
  <si>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</si>
  <si>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</si>
  <si>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</si>
  <si>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</si>
  <si>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</si>
  <si>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</si>
  <si>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</si>
  <si>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</si>
  <si>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</si>
  <si>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</si>
  <si>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</si>
  <si>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</si>
  <si>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</si>
  <si>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</si>
  <si>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</si>
  <si>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</si>
  <si>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</si>
  <si>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</si>
  <si>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</si>
  <si>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</si>
  <si>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</si>
  <si>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</si>
  <si>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</si>
  <si>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</si>
  <si>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</si>
  <si>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</si>
  <si>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</si>
  <si>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</si>
  <si>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</si>
  <si>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</si>
  <si>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</si>
  <si>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</si>
  <si>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</si>
  <si>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</si>
  <si>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</si>
  <si>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</si>
  <si>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</si>
  <si>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</si>
  <si>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</si>
  <si>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</si>
  <si>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</si>
  <si>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</si>
  <si>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</si>
  <si>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</si>
  <si>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</si>
  <si>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</si>
  <si>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</si>
  <si>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</si>
  <si>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</si>
  <si>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</si>
  <si>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</si>
  <si>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</si>
  <si>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</si>
  <si>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</si>
  <si>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</si>
  <si>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</si>
  <si>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</si>
  <si>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</si>
  <si>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</si>
  <si>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</si>
  <si>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</si>
  <si>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</si>
  <si>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</si>
  <si>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</si>
  <si>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</si>
  <si>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</si>
  <si>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</si>
  <si>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</si>
  <si>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</si>
  <si>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</si>
  <si>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</si>
  <si>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</si>
  <si>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</si>
  <si>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</si>
  <si>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</si>
  <si>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</si>
  <si>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</si>
  <si>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</si>
  <si>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</si>
  <si>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</si>
  <si>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</si>
  <si>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</si>
  <si>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</si>
  <si>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</si>
  <si>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</si>
  <si>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</si>
  <si>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</si>
  <si>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</si>
  <si>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</si>
  <si>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</si>
  <si>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</si>
  <si>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</si>
  <si>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</si>
  <si>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</si>
  <si>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</si>
  <si>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</si>
  <si>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</si>
  <si>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</si>
  <si>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</si>
  <si>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</si>
  <si>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</si>
  <si>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</si>
  <si>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</si>
  <si>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</si>
  <si>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</si>
  <si>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</si>
  <si>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</si>
  <si>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</si>
  <si>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</si>
  <si>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</si>
  <si>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</si>
  <si>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</si>
  <si>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</si>
  <si>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</si>
  <si>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</si>
  <si>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</si>
  <si>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</si>
  <si>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</si>
  <si>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</si>
  <si>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</si>
  <si>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</si>
  <si>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</si>
  <si>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</si>
  <si>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</si>
  <si>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</si>
  <si>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</si>
  <si>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</si>
  <si>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</si>
  <si>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</si>
  <si>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</si>
  <si>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</si>
  <si>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</si>
  <si>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</si>
  <si>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</si>
  <si>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</si>
  <si>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</si>
  <si>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</si>
  <si>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</si>
  <si>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</si>
  <si>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</si>
  <si>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</si>
  <si>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</si>
  <si>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</si>
  <si>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</si>
  <si>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</si>
  <si>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</si>
  <si>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</si>
  <si>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</si>
  <si>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</si>
  <si>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</si>
  <si>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</si>
  <si>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</si>
  <si>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</si>
  <si>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</si>
  <si>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</si>
  <si>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</si>
  <si>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</si>
  <si>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</si>
  <si>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</si>
  <si>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</si>
  <si>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</si>
  <si>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</si>
  <si>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</si>
  <si>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</si>
  <si>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</si>
  <si>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</si>
  <si>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</si>
  <si>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</si>
  <si>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</si>
  <si>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</si>
  <si>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</si>
  <si>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</si>
  <si>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</si>
  <si>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</si>
  <si>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</si>
  <si>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</si>
  <si>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</si>
  <si>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</si>
  <si>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</si>
  <si>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</si>
  <si>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</si>
  <si>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</si>
  <si>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</si>
  <si>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</si>
  <si>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</si>
  <si>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</si>
  <si>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</si>
  <si>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</si>
  <si>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</si>
  <si>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</si>
  <si>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</si>
  <si>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</si>
  <si>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</si>
  <si>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</si>
  <si>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</si>
  <si>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</si>
  <si>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</si>
  <si>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</si>
  <si>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</si>
  <si>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</si>
  <si>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</si>
  <si>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</si>
  <si>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</si>
  <si>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</si>
  <si>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</si>
  <si>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</si>
  <si>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</si>
  <si>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</si>
  <si>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</si>
  <si>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</si>
  <si>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</si>
  <si>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</si>
  <si>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</si>
  <si>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</si>
  <si>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</si>
  <si>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</si>
  <si>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</si>
  <si>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</si>
  <si>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</si>
  <si>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</si>
  <si>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</si>
  <si>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</si>
  <si>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</si>
  <si>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</si>
  <si>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</si>
  <si>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</si>
  <si>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</si>
  <si>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</si>
  <si>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</si>
  <si>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</si>
  <si>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</si>
  <si>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</si>
  <si>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</si>
  <si>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</si>
  <si>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</si>
  <si>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</si>
  <si>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</si>
  <si>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</si>
  <si>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</si>
  <si>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</si>
  <si>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</si>
  <si>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</si>
  <si>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</si>
  <si>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</si>
  <si>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</si>
  <si>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</si>
  <si>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</si>
  <si>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</si>
  <si>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</si>
  <si>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</si>
  <si>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</si>
  <si>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</si>
  <si>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</si>
  <si>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</si>
  <si>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</si>
  <si>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</si>
  <si>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</si>
  <si>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</si>
  <si>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</si>
  <si>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</si>
  <si>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</si>
  <si>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</si>
  <si>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</si>
  <si>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</si>
  <si>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</si>
  <si>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</si>
  <si>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</si>
  <si>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</si>
  <si>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</si>
  <si>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</si>
  <si>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</si>
  <si>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</si>
  <si>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</si>
  <si>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</si>
  <si>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</si>
  <si>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</si>
  <si>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</si>
  <si>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</si>
  <si>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</si>
  <si>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</si>
  <si>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</si>
  <si>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</si>
  <si>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</si>
  <si>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</si>
  <si>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</si>
  <si>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</si>
  <si>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</si>
  <si>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</si>
  <si>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</si>
  <si>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</si>
  <si>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</si>
  <si>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</si>
  <si>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</si>
  <si>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</si>
  <si>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</si>
  <si>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</si>
  <si>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</si>
  <si>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</si>
  <si>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</si>
  <si>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</si>
  <si>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Z1_OLBV_T3F_MC2s1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</si>
</sst>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1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48.019199999999998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156.8681046512209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7.9838588504347836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154.78711243596524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1.4613808695652175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144.9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116.3062904394435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0.46086956521739131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21.5</v>
      </c>
      <c r="H19" s="158">
        <f>G19/G17</f>
        <v>0.37391304347826088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6</v>
      </c>
      <c r="H20" s="158">
        <f>G20/G17</f>
        <v>0.10434782608695652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8.91</v>
      </c>
      <c r="AF7" s="61">
        <f t="shared" ref="AF7:AF26" si="1">$R7*W7</f>
        <v>8.1000000000000014</v>
      </c>
      <c r="AG7" s="61">
        <f t="shared" ref="AG7:AG26" si="2">$R7*X7</f>
        <v>6.21</v>
      </c>
      <c r="AH7" s="61">
        <f t="shared" ref="AH7:AH26" si="3">$R7*Y7</f>
        <v>1.35</v>
      </c>
      <c r="AI7" s="61">
        <f t="shared" ref="AI7:AI26" si="4">$R7*Z7</f>
        <v>1.89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53.827979646608711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48.019199999999998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48.019199999999998</v>
      </c>
      <c r="G9" s="81"/>
      <c r="H9" s="61">
        <f>SUM(L34:L43)</f>
        <v>0</v>
      </c>
      <c r="I9" s="81"/>
      <c r="J9" s="81"/>
      <c r="K9" s="93">
        <f>H9-F9</f>
        <v>-48.019199999999998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26.733245873878261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3.3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4.9499999999999993</v>
      </c>
      <c r="AF10" s="61">
        <f t="shared" si="1"/>
        <v>0</v>
      </c>
      <c r="AG10" s="61">
        <f t="shared" si="2"/>
        <v>2.4749999999999996</v>
      </c>
      <c r="AH10" s="61">
        <f t="shared" si="3"/>
        <v>2.4749999999999996</v>
      </c>
      <c r="AI10" s="61">
        <f t="shared" si="4"/>
        <v>3.4979999999999998</v>
      </c>
      <c r="AJ10" s="61">
        <f t="shared" si="5"/>
        <v>0</v>
      </c>
      <c r="AK10" s="141"/>
      <c r="AL10" s="61">
        <f t="shared" si="6"/>
        <v>10.790999999999999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239</v>
      </c>
      <c r="R11" s="39">
        <v>1.7</v>
      </c>
      <c r="S11" s="291" t="str">
        <f>VLOOKUP($Q11,[1]MEP!$A$5:$D$300,3)</f>
        <v>PP bonnne P prélèvement étalé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3</v>
      </c>
      <c r="W11" s="76">
        <f>VLOOKUP($Q11,[1]MEP!$A$4:$K$300,6)</f>
        <v>2</v>
      </c>
      <c r="X11" s="76">
        <f>VLOOKUP($Q11,[1]MEP!$A$4:$K$300,7)</f>
        <v>1.5</v>
      </c>
      <c r="Y11" s="76">
        <f>VLOOKUP($Q11,[1]MEP!$A$4:$K$300,8)</f>
        <v>0.5</v>
      </c>
      <c r="Z11" s="76">
        <f>VLOOKUP($Q11,[1]MEP!$A$4:$K$300,9)</f>
        <v>0.5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5.0999999999999996</v>
      </c>
      <c r="AF11" s="61">
        <f t="shared" si="1"/>
        <v>3.4</v>
      </c>
      <c r="AG11" s="61">
        <f t="shared" si="2"/>
        <v>2.5499999999999998</v>
      </c>
      <c r="AH11" s="61">
        <f t="shared" si="3"/>
        <v>0.85</v>
      </c>
      <c r="AI11" s="61">
        <f t="shared" si="4"/>
        <v>0.85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7.9838588504347836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1.4613808695652175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7.9838588504347836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34.591348277043487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54.91</v>
      </c>
      <c r="E24" s="61">
        <f t="shared" si="21"/>
        <v>21.175000000000001</v>
      </c>
      <c r="F24" s="61">
        <f t="shared" si="21"/>
        <v>36.465000000000003</v>
      </c>
      <c r="G24" s="61">
        <f t="shared" si="21"/>
        <v>17.056000000000001</v>
      </c>
      <c r="H24" s="61">
        <f t="shared" si="21"/>
        <v>25.509000000000004</v>
      </c>
      <c r="I24" s="61">
        <f t="shared" si="21"/>
        <v>0</v>
      </c>
      <c r="J24" s="63"/>
      <c r="K24" s="61">
        <f>AL27+AL49+AL71</f>
        <v>99.540999999999997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53.827979646608711</v>
      </c>
      <c r="E25" s="61">
        <f>BR8</f>
        <v>18.988566130434783</v>
      </c>
      <c r="F25" s="61">
        <f>BR9</f>
        <v>26.733245873878261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144.9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1.082020353391286</v>
      </c>
      <c r="E27" s="93">
        <f t="shared" si="23"/>
        <v>2.1864338695652172</v>
      </c>
      <c r="F27" s="93">
        <f t="shared" si="23"/>
        <v>9.7317541261217428</v>
      </c>
      <c r="G27" s="93">
        <f t="shared" si="23"/>
        <v>13.327373913043479</v>
      </c>
      <c r="H27" s="93">
        <f t="shared" si="23"/>
        <v>12.481127298434785</v>
      </c>
      <c r="I27" s="93">
        <f t="shared" si="23"/>
        <v>0</v>
      </c>
      <c r="J27" s="63"/>
      <c r="K27" s="93">
        <f>K24-K25</f>
        <v>-45.359000000000009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35.46</v>
      </c>
      <c r="AF27" s="75">
        <f t="shared" ref="AF27:AJ27" si="24">SUM(AF7:AF26)</f>
        <v>11.500000000000002</v>
      </c>
      <c r="AG27" s="75">
        <f t="shared" si="24"/>
        <v>19.485000000000003</v>
      </c>
      <c r="AH27" s="75">
        <f t="shared" si="24"/>
        <v>12.924999999999999</v>
      </c>
      <c r="AI27" s="75">
        <f t="shared" si="24"/>
        <v>17.238000000000003</v>
      </c>
      <c r="AJ27" s="75">
        <f t="shared" si="24"/>
        <v>0</v>
      </c>
      <c r="AK27"/>
      <c r="AL27" s="75">
        <f>SUM(AL7:AL26)</f>
        <v>65.790999999999997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1.4613808695652175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17.157020239130436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9.8068837043478254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35.46</v>
      </c>
      <c r="E72" s="61">
        <f t="shared" ref="E72:H72" si="69">AF27</f>
        <v>11.500000000000002</v>
      </c>
      <c r="F72" s="61">
        <f t="shared" si="69"/>
        <v>19.485000000000003</v>
      </c>
      <c r="G72" s="61">
        <f t="shared" si="69"/>
        <v>12.924999999999999</v>
      </c>
      <c r="H72" s="61">
        <f t="shared" si="69"/>
        <v>17.238000000000003</v>
      </c>
      <c r="I72" s="61">
        <f t="shared" ref="I72" si="70">AJ75+AJ97+AJ119</f>
        <v>0</v>
      </c>
      <c r="J72" s="63"/>
      <c r="K72" s="61">
        <f>+K24</f>
        <v>99.540999999999997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34.591348277043487</v>
      </c>
      <c r="E73" s="61">
        <f>BR20</f>
        <v>11.512536380434783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144.9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0.86865172295651405</v>
      </c>
      <c r="E75" s="93">
        <f t="shared" ref="E75:I75" si="71">E72-E73</f>
        <v>-1.2536380434781336E-2</v>
      </c>
      <c r="F75" s="93">
        <f t="shared" si="71"/>
        <v>8.5547691209043482</v>
      </c>
      <c r="G75" s="93">
        <f t="shared" si="71"/>
        <v>12.924999999999999</v>
      </c>
      <c r="H75" s="93">
        <f t="shared" si="71"/>
        <v>10.331087994086959</v>
      </c>
      <c r="I75" s="93">
        <f t="shared" si="71"/>
        <v>0</v>
      </c>
      <c r="J75" s="63"/>
      <c r="K75" s="93">
        <f>+K27</f>
        <v>-45.359000000000009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17.157020239130436</v>
      </c>
      <c r="E83" s="61">
        <f>BR28</f>
        <v>7.4760297499999986</v>
      </c>
      <c r="F83" s="61">
        <f>BR29</f>
        <v>9.8068837043478254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0.14297976086956155</v>
      </c>
      <c r="E85" s="93">
        <f t="shared" ref="E85:H85" si="73">E82-E83</f>
        <v>1.1239702500000011</v>
      </c>
      <c r="F85" s="93">
        <f t="shared" si="73"/>
        <v>0.78311629565217444</v>
      </c>
      <c r="G85" s="93">
        <f t="shared" si="73"/>
        <v>0.16481286956521668</v>
      </c>
      <c r="H85" s="93">
        <f t="shared" si="73"/>
        <v>2.6209172173913036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9365.1215451202352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1010.7818755794941</v>
      </c>
      <c r="U20" s="10">
        <f t="shared" si="5"/>
        <v>0</v>
      </c>
      <c r="V20" s="27">
        <f t="shared" si="6"/>
        <v>1010.7818755794941</v>
      </c>
      <c r="W20" s="3"/>
      <c r="X20" s="3"/>
      <c r="Z20" s="20"/>
      <c r="AA20" s="136">
        <f>AA18+AA19</f>
        <v>9365.1215451202352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1271.0940169790747</v>
      </c>
      <c r="U21" s="10">
        <f t="shared" si="5"/>
        <v>0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4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114</v>
      </c>
      <c r="P66" s="170">
        <f>SUMIF(Parcellaire!$B$2:$B$65,1,Parcellaire!P2:P65)</f>
        <v>0</v>
      </c>
      <c r="Q66" s="170">
        <f>SUMIF(Parcellaire!$B$2:$B$65,1,Parcellaire!Q2:Q65)</f>
        <v>51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9365.1215451202352</v>
      </c>
      <c r="U66" s="170">
        <f>SUMIF(Parcellaire!$B$2:$B$65,1,Parcellaire!U2:U65)</f>
        <v>4722.1637683744448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5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19.3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1.93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3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2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2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10"/>
        <v>3.3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3.3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3.3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1.7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1.7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19.3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8.6999999999999993</v>
      </c>
      <c r="AI228" s="62">
        <f t="shared" si="24"/>
        <v>3.3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9365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10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2</v>
      </c>
      <c r="O7" s="177">
        <f t="shared" si="13"/>
        <v>2</v>
      </c>
      <c r="P7" s="177">
        <f t="shared" si="13"/>
        <v>2</v>
      </c>
      <c r="Q7" s="177">
        <f t="shared" si="13"/>
        <v>2</v>
      </c>
      <c r="R7" s="177">
        <f t="shared" si="13"/>
        <v>2</v>
      </c>
      <c r="S7" s="177">
        <f t="shared" si="13"/>
        <v>2</v>
      </c>
      <c r="T7" s="177">
        <f t="shared" si="13"/>
        <v>2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10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8</v>
      </c>
      <c r="O12" s="177">
        <f>O7*[1]Protect!$B$15</f>
        <v>8</v>
      </c>
      <c r="P12" s="177">
        <f>P7*[1]Protect!$B$15</f>
        <v>8</v>
      </c>
      <c r="Q12" s="177">
        <f>Q7*[1]Protect!$B$15</f>
        <v>8</v>
      </c>
      <c r="R12" s="177">
        <f>R7*[1]Protect!$B$15</f>
        <v>8</v>
      </c>
      <c r="S12" s="177">
        <f>S7*[1]Protect!$B$15</f>
        <v>8</v>
      </c>
      <c r="T12" s="177">
        <f>T7*[1]Protect!$B$15</f>
        <v>8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10</v>
      </c>
      <c r="O13" s="177">
        <f t="shared" si="15"/>
        <v>10</v>
      </c>
      <c r="P13" s="177">
        <f t="shared" si="15"/>
        <v>10</v>
      </c>
      <c r="Q13" s="177">
        <f t="shared" si="15"/>
        <v>10</v>
      </c>
      <c r="R13" s="177">
        <f t="shared" si="15"/>
        <v>10</v>
      </c>
      <c r="S13" s="177">
        <f t="shared" si="15"/>
        <v>10</v>
      </c>
      <c r="T13" s="177">
        <f t="shared" si="15"/>
        <v>10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9365</v>
      </c>
      <c r="AE20" s="64">
        <v>0</v>
      </c>
      <c r="AF20" s="64">
        <f>SUM(AD20:AE20)</f>
        <v>9365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2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9365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3</v>
      </c>
      <c r="O22" s="62">
        <f t="shared" si="22"/>
        <v>3</v>
      </c>
      <c r="P22" s="62">
        <f t="shared" si="22"/>
        <v>3</v>
      </c>
      <c r="Q22" s="62">
        <f t="shared" si="22"/>
        <v>3</v>
      </c>
      <c r="R22" s="62">
        <f t="shared" si="22"/>
        <v>3</v>
      </c>
      <c r="S22" s="62">
        <f t="shared" si="22"/>
        <v>3</v>
      </c>
      <c r="T22" s="62">
        <f t="shared" si="22"/>
        <v>3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9365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39.099999999999994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2</v>
      </c>
      <c r="O181" s="173">
        <f>IF(Troupeau!$B$3="OL",Protection!O19+O21,0)</f>
        <v>2</v>
      </c>
      <c r="P181" s="173">
        <f>IF(Troupeau!$B$3="OL",Protection!P19+P21,0)</f>
        <v>2</v>
      </c>
      <c r="Q181" s="173">
        <f>IF(Troupeau!$B$3="OL",Protection!Q19+Q21,0)</f>
        <v>2</v>
      </c>
      <c r="R181" s="173">
        <f>IF(Troupeau!$B$3="OL",Protection!R19+R21,0)</f>
        <v>2</v>
      </c>
      <c r="S181" s="173">
        <f>IF(Troupeau!$B$3="OL",Protection!S19+S21,0)</f>
        <v>2</v>
      </c>
      <c r="T181" s="173">
        <f>IF(Troupeau!$B$3="OL",Protection!T19+T21,0)</f>
        <v>2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2</v>
      </c>
      <c r="O196" s="173">
        <f t="shared" si="50"/>
        <v>2</v>
      </c>
      <c r="P196" s="173">
        <f t="shared" si="50"/>
        <v>2</v>
      </c>
      <c r="Q196" s="173">
        <f t="shared" si="50"/>
        <v>2</v>
      </c>
      <c r="R196" s="173">
        <f t="shared" si="50"/>
        <v>2</v>
      </c>
      <c r="S196" s="173">
        <f t="shared" si="50"/>
        <v>2</v>
      </c>
      <c r="T196" s="173">
        <f t="shared" si="50"/>
        <v>2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8</v>
      </c>
      <c r="O202" s="173">
        <f>IF(Troupeau!$B$3="OL",O10+O12,0)</f>
        <v>8</v>
      </c>
      <c r="P202" s="173">
        <f>IF(Troupeau!$B$3="OL",P10+P12,0)</f>
        <v>8</v>
      </c>
      <c r="Q202" s="173">
        <f>IF(Troupeau!$B$3="OL",Q10+Q12,0)</f>
        <v>8</v>
      </c>
      <c r="R202" s="173">
        <f>IF(Troupeau!$B$3="OL",R10+R12,0)</f>
        <v>8</v>
      </c>
      <c r="S202" s="173">
        <f>IF(Troupeau!$B$3="OL",S10+S12,0)</f>
        <v>8</v>
      </c>
      <c r="T202" s="173">
        <f>IF(Troupeau!$B$3="OL",T10+T12,0)</f>
        <v>8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10</v>
      </c>
      <c r="O203" s="173">
        <f t="shared" si="51"/>
        <v>10</v>
      </c>
      <c r="P203" s="173">
        <f t="shared" si="51"/>
        <v>10</v>
      </c>
      <c r="Q203" s="173">
        <f t="shared" si="51"/>
        <v>10</v>
      </c>
      <c r="R203" s="173">
        <f t="shared" si="51"/>
        <v>10</v>
      </c>
      <c r="S203" s="173">
        <f t="shared" si="51"/>
        <v>10</v>
      </c>
      <c r="T203" s="173">
        <f t="shared" si="51"/>
        <v>10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8</v>
      </c>
      <c r="O213" s="173">
        <f t="shared" si="52"/>
        <v>8</v>
      </c>
      <c r="P213" s="173">
        <f t="shared" si="52"/>
        <v>8</v>
      </c>
      <c r="Q213" s="173">
        <f t="shared" si="52"/>
        <v>8</v>
      </c>
      <c r="R213" s="173">
        <f t="shared" si="52"/>
        <v>8</v>
      </c>
      <c r="S213" s="173">
        <f t="shared" si="52"/>
        <v>8</v>
      </c>
      <c r="T213" s="173">
        <f t="shared" si="52"/>
        <v>8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10</v>
      </c>
      <c r="O214" s="173">
        <f t="shared" si="53"/>
        <v>10</v>
      </c>
      <c r="P214" s="173">
        <f t="shared" si="53"/>
        <v>10</v>
      </c>
      <c r="Q214" s="173">
        <f t="shared" si="53"/>
        <v>10</v>
      </c>
      <c r="R214" s="173">
        <f t="shared" si="53"/>
        <v>10</v>
      </c>
      <c r="S214" s="173">
        <f t="shared" si="53"/>
        <v>10</v>
      </c>
      <c r="T214" s="173">
        <f t="shared" si="53"/>
        <v>10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1113</v>
      </c>
      <c r="G5" s="173">
        <f>AV117</f>
        <v>56</v>
      </c>
      <c r="H5" s="173">
        <f t="shared" ref="H5:AD5" si="0">AW117</f>
        <v>56</v>
      </c>
      <c r="I5" s="173">
        <f t="shared" si="0"/>
        <v>56</v>
      </c>
      <c r="J5" s="173">
        <f t="shared" si="0"/>
        <v>70</v>
      </c>
      <c r="K5" s="173">
        <f t="shared" si="0"/>
        <v>70</v>
      </c>
      <c r="L5" s="173">
        <f t="shared" si="0"/>
        <v>84</v>
      </c>
      <c r="M5" s="173">
        <f t="shared" si="0"/>
        <v>84</v>
      </c>
      <c r="N5" s="173">
        <f t="shared" si="0"/>
        <v>84</v>
      </c>
      <c r="O5" s="173">
        <f t="shared" si="0"/>
        <v>77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70</v>
      </c>
      <c r="AA5" s="173">
        <f t="shared" si="0"/>
        <v>56</v>
      </c>
      <c r="AB5" s="173">
        <f t="shared" si="0"/>
        <v>56</v>
      </c>
      <c r="AC5" s="173">
        <f t="shared" si="0"/>
        <v>56</v>
      </c>
      <c r="AD5" s="173">
        <f t="shared" si="0"/>
        <v>56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2790.8500869565228</v>
      </c>
      <c r="G13" s="30">
        <f>SUM(G5:G11)</f>
        <v>149.90773913043478</v>
      </c>
      <c r="H13" s="30">
        <f t="shared" ref="H13:AD13" si="8">SUM(H5:H11)</f>
        <v>149.81521739130434</v>
      </c>
      <c r="I13" s="30">
        <f t="shared" si="8"/>
        <v>154.97269565217391</v>
      </c>
      <c r="J13" s="30">
        <f t="shared" si="8"/>
        <v>168.92643478260868</v>
      </c>
      <c r="K13" s="30">
        <f t="shared" si="8"/>
        <v>168.88017391304348</v>
      </c>
      <c r="L13" s="30">
        <f t="shared" si="8"/>
        <v>165.33391304347828</v>
      </c>
      <c r="M13" s="30">
        <f t="shared" si="8"/>
        <v>154.78765217391305</v>
      </c>
      <c r="N13" s="30">
        <f t="shared" si="8"/>
        <v>154.74139130434781</v>
      </c>
      <c r="O13" s="30">
        <f t="shared" si="8"/>
        <v>151.14886956521738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141.01104347826089</v>
      </c>
      <c r="AA13" s="30">
        <f t="shared" si="8"/>
        <v>155.01104347826089</v>
      </c>
      <c r="AB13" s="30">
        <f t="shared" si="8"/>
        <v>156.90773913043478</v>
      </c>
      <c r="AC13" s="30">
        <f t="shared" si="8"/>
        <v>149.90773913043478</v>
      </c>
      <c r="AD13" s="30">
        <f t="shared" si="8"/>
        <v>149.90773913043478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3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261.33333333333331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17.37</v>
      </c>
      <c r="C55" s="190">
        <f>IF(B55&gt;[1]Trav!E121,[1]Trav!C121,[1]Trav!B121)</f>
        <v>7.2</v>
      </c>
      <c r="D55"/>
      <c r="E55" s="172"/>
      <c r="F55" s="173">
        <f t="shared" si="32"/>
        <v>125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1.9299999999999997</v>
      </c>
      <c r="C58" s="190">
        <f>IF(B58&gt;[1]Trav!E122,[1]Trav!C122,[1]Trav!B122)</f>
        <v>4.4000000000000004</v>
      </c>
      <c r="E58" s="172"/>
      <c r="F58" s="173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212</v>
      </c>
      <c r="AW61" s="173">
        <f>IF(AW16=0,0,IF(AW38=3,0,VALUE(CONCATENATE(Travail!AW27,Travail!AW38,Travail!AW49))))</f>
        <v>212</v>
      </c>
      <c r="AX61" s="173">
        <f>IF(AX16=0,0,IF(AX38=3,0,VALUE(CONCATENATE(Travail!AX27,Travail!AX38,Travail!AX49))))</f>
        <v>212</v>
      </c>
      <c r="AY61" s="173">
        <f>IF(AY16=0,0,IF(AY38=3,0,VALUE(CONCATENATE(Travail!AY27,Travail!AY38,Travail!AY49))))</f>
        <v>212</v>
      </c>
      <c r="AZ61" s="173">
        <f>IF(AZ16=0,0,IF(AZ38=3,0,VALUE(CONCATENATE(Travail!AZ27,Travail!AZ38,Travail!AZ49))))</f>
        <v>212</v>
      </c>
      <c r="BA61" s="173">
        <f>IF(BA16=0,0,IF(BA38=3,0,VALUE(CONCATENATE(Travail!BA27,Travail!BA38,Travail!BA49))))</f>
        <v>212</v>
      </c>
      <c r="BB61" s="173">
        <f>IF(BB16=0,0,IF(BB38=3,0,VALUE(CONCATENATE(Travail!BB27,Travail!BB38,Travail!BB49))))</f>
        <v>212</v>
      </c>
      <c r="BC61" s="173">
        <f>IF(BC16=0,0,IF(BC38=3,0,VALUE(CONCATENATE(Travail!BC27,Travail!BC38,Travail!BC49))))</f>
        <v>212</v>
      </c>
      <c r="BD61" s="173">
        <f>IF(BD16=0,0,IF(BD38=3,0,VALUE(CONCATENATE(Travail!BD27,Travail!BD38,Travail!BD49))))</f>
        <v>212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212</v>
      </c>
      <c r="BP61" s="173">
        <f>IF(BP16=0,0,IF(BP38=3,0,VALUE(CONCATENATE(Travail!BP27,Travail!BP38,Travail!BP49))))</f>
        <v>212</v>
      </c>
      <c r="BQ61" s="173">
        <f>IF(BQ16=0,0,IF(BQ38=3,0,VALUE(CONCATENATE(Travail!BQ27,Travail!BQ38,Travail!BQ49))))</f>
        <v>212</v>
      </c>
      <c r="BR61" s="173">
        <f>IF(BR16=0,0,IF(BR38=3,0,VALUE(CONCATENATE(Travail!BR27,Travail!BR38,Travail!BR49))))</f>
        <v>212</v>
      </c>
      <c r="BS61" s="173">
        <f>IF(BS16=0,0,IF(BS38=3,0,VALUE(CONCATENATE(Travail!BS27,Travail!BS38,Travail!BS49))))</f>
        <v>212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212</v>
      </c>
      <c r="AW63" s="173">
        <f>IF(AW18=0,0,IF(AW40=3,0,VALUE(CONCATENATE(Travail!AW29,Travail!AW40,Travail!AW51))))</f>
        <v>212</v>
      </c>
      <c r="AX63" s="173">
        <f>IF(AX18=0,0,IF(AX40=3,0,VALUE(CONCATENATE(Travail!AX29,Travail!AX40,Travail!AX51))))</f>
        <v>212</v>
      </c>
      <c r="AY63" s="173">
        <f>IF(AY18=0,0,IF(AY40=3,0,VALUE(CONCATENATE(Travail!AY29,Travail!AY40,Travail!AY51))))</f>
        <v>212</v>
      </c>
      <c r="AZ63" s="173">
        <f>IF(AZ18=0,0,IF(AZ40=3,0,VALUE(CONCATENATE(Travail!AZ29,Travail!AZ40,Travail!AZ51))))</f>
        <v>212</v>
      </c>
      <c r="BA63" s="173">
        <f>IF(BA18=0,0,IF(BA40=3,0,VALUE(CONCATENATE(Travail!BA29,Travail!BA40,Travail!BA51))))</f>
        <v>212</v>
      </c>
      <c r="BB63" s="173">
        <f>IF(BB18=0,0,IF(BB40=3,0,VALUE(CONCATENATE(Travail!BB29,Travail!BB40,Travail!BB51))))</f>
        <v>212</v>
      </c>
      <c r="BC63" s="173">
        <f>IF(BC18=0,0,IF(BC40=3,0,VALUE(CONCATENATE(Travail!BC29,Travail!BC40,Travail!BC51))))</f>
        <v>212</v>
      </c>
      <c r="BD63" s="173">
        <f>IF(BD18=0,0,IF(BD40=3,0,VALUE(CONCATENATE(Travail!BD29,Travail!BD40,Travail!BD51))))</f>
        <v>211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212</v>
      </c>
      <c r="BP63" s="173">
        <f>IF(BP18=0,0,IF(BP40=3,0,VALUE(CONCATENATE(Travail!BP29,Travail!BP40,Travail!BP51))))</f>
        <v>212</v>
      </c>
      <c r="BQ63" s="173">
        <f>IF(BQ18=0,0,IF(BQ40=3,0,VALUE(CONCATENATE(Travail!BQ29,Travail!BQ40,Travail!BQ51))))</f>
        <v>212</v>
      </c>
      <c r="BR63" s="173">
        <f>IF(BR18=0,0,IF(BR40=3,0,VALUE(CONCATENATE(Travail!BR29,Travail!BR40,Travail!BR51))))</f>
        <v>212</v>
      </c>
      <c r="BS63" s="173">
        <f>IF(BS18=0,0,IF(BS40=3,0,VALUE(CONCATENATE(Travail!BS29,Travail!BS40,Travail!BS51))))</f>
        <v>212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275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21</v>
      </c>
      <c r="AW72" s="173">
        <f t="shared" si="36"/>
        <v>21</v>
      </c>
      <c r="AX72" s="173">
        <f t="shared" si="36"/>
        <v>21</v>
      </c>
      <c r="AY72" s="173">
        <f t="shared" si="36"/>
        <v>21</v>
      </c>
      <c r="AZ72" s="173">
        <f t="shared" si="36"/>
        <v>21</v>
      </c>
      <c r="BA72" s="173">
        <f t="shared" si="36"/>
        <v>21</v>
      </c>
      <c r="BB72" s="173">
        <f t="shared" si="36"/>
        <v>21</v>
      </c>
      <c r="BC72" s="173">
        <f t="shared" si="36"/>
        <v>21</v>
      </c>
      <c r="BD72" s="173">
        <f t="shared" si="36"/>
        <v>21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21</v>
      </c>
      <c r="BP72" s="173">
        <f t="shared" si="36"/>
        <v>21</v>
      </c>
      <c r="BQ72" s="173">
        <f t="shared" si="36"/>
        <v>21</v>
      </c>
      <c r="BR72" s="173">
        <f t="shared" si="36"/>
        <v>21</v>
      </c>
      <c r="BS72" s="173">
        <f t="shared" si="36"/>
        <v>21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21</v>
      </c>
      <c r="AW74" s="173">
        <f t="shared" si="36"/>
        <v>21</v>
      </c>
      <c r="AX74" s="173">
        <f t="shared" si="36"/>
        <v>21</v>
      </c>
      <c r="AY74" s="173">
        <f t="shared" si="36"/>
        <v>21</v>
      </c>
      <c r="AZ74" s="173">
        <f t="shared" si="36"/>
        <v>21</v>
      </c>
      <c r="BA74" s="173">
        <f t="shared" si="36"/>
        <v>21</v>
      </c>
      <c r="BB74" s="173">
        <f t="shared" si="36"/>
        <v>21</v>
      </c>
      <c r="BC74" s="173">
        <f t="shared" si="36"/>
        <v>21</v>
      </c>
      <c r="BD74" s="173">
        <f t="shared" si="36"/>
        <v>21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21</v>
      </c>
      <c r="BP74" s="173">
        <f t="shared" si="36"/>
        <v>21</v>
      </c>
      <c r="BQ74" s="173">
        <f t="shared" si="36"/>
        <v>21</v>
      </c>
      <c r="BR74" s="173">
        <f t="shared" si="36"/>
        <v>21</v>
      </c>
      <c r="BS74" s="173">
        <f t="shared" si="36"/>
        <v>21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182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49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7</v>
      </c>
      <c r="S76" s="198">
        <f>IF(Protection!O196=0,0,[1]Protect!$B$9*Protection!O196*14)</f>
        <v>7</v>
      </c>
      <c r="T76" s="198">
        <f>IF(Protection!P196=0,0,[1]Protect!$B$9*Protection!P196*14)</f>
        <v>7</v>
      </c>
      <c r="U76" s="198">
        <f>IF(Protection!Q196=0,0,[1]Protect!$B$9*Protection!Q196*14)</f>
        <v>7</v>
      </c>
      <c r="V76" s="198">
        <f>IF(Protection!R196=0,0,[1]Protect!$B$9*Protection!R196*14)</f>
        <v>7</v>
      </c>
      <c r="W76" s="198">
        <f>IF(Protection!S196=0,0,[1]Protect!$B$9*Protection!S196*14)</f>
        <v>7</v>
      </c>
      <c r="X76" s="198">
        <f>IF(Protection!T196=0,0,[1]Protect!$B$9*Protection!T196*14)</f>
        <v>7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506</v>
      </c>
      <c r="G77" s="46">
        <f t="shared" ref="G77:AD77" si="43">+SUM(G69:G76)</f>
        <v>20.5</v>
      </c>
      <c r="H77" s="46">
        <f t="shared" si="43"/>
        <v>20.5</v>
      </c>
      <c r="I77" s="46">
        <f t="shared" si="43"/>
        <v>25.5</v>
      </c>
      <c r="J77" s="46">
        <f t="shared" si="43"/>
        <v>30.5</v>
      </c>
      <c r="K77" s="46">
        <f t="shared" si="43"/>
        <v>30.5</v>
      </c>
      <c r="L77" s="46">
        <f t="shared" si="43"/>
        <v>30.5</v>
      </c>
      <c r="M77" s="46">
        <f t="shared" si="43"/>
        <v>30.5</v>
      </c>
      <c r="N77" s="46">
        <f t="shared" si="43"/>
        <v>30.5</v>
      </c>
      <c r="O77" s="46">
        <f t="shared" si="43"/>
        <v>30.5</v>
      </c>
      <c r="P77" s="46">
        <f t="shared" si="43"/>
        <v>13.5</v>
      </c>
      <c r="Q77" s="46">
        <f t="shared" si="43"/>
        <v>13.5</v>
      </c>
      <c r="R77" s="46">
        <f t="shared" si="43"/>
        <v>15.5</v>
      </c>
      <c r="S77" s="46">
        <f t="shared" si="43"/>
        <v>15.5</v>
      </c>
      <c r="T77" s="46">
        <f t="shared" si="43"/>
        <v>15.5</v>
      </c>
      <c r="U77" s="46">
        <f t="shared" si="43"/>
        <v>15.5</v>
      </c>
      <c r="V77" s="46">
        <f t="shared" si="43"/>
        <v>15.5</v>
      </c>
      <c r="W77" s="46">
        <f t="shared" si="43"/>
        <v>15.5</v>
      </c>
      <c r="X77" s="46">
        <f t="shared" si="43"/>
        <v>15.5</v>
      </c>
      <c r="Y77" s="46">
        <f t="shared" si="43"/>
        <v>13.5</v>
      </c>
      <c r="Z77" s="46">
        <f t="shared" si="43"/>
        <v>25.5</v>
      </c>
      <c r="AA77" s="46">
        <f t="shared" si="43"/>
        <v>20.5</v>
      </c>
      <c r="AB77" s="46">
        <f t="shared" si="43"/>
        <v>20.5</v>
      </c>
      <c r="AC77" s="46">
        <f t="shared" si="43"/>
        <v>20.5</v>
      </c>
      <c r="AD77" s="46">
        <f t="shared" si="43"/>
        <v>20.5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1.43</v>
      </c>
      <c r="C81" s="190">
        <f>[1]Protect!$B$10</f>
        <v>4</v>
      </c>
      <c r="D81" s="172"/>
      <c r="E81" s="172"/>
      <c r="F81" s="173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9.3650000000000002</v>
      </c>
      <c r="C83" s="190">
        <f>[1]Protect!$B$24+[1]Protect!$B$26</f>
        <v>0.33</v>
      </c>
      <c r="D83" s="172"/>
      <c r="E83" s="172"/>
      <c r="F83" s="173">
        <f>ROUND(B83*C83,1)</f>
        <v>3.1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7.5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2.333333333333333</v>
      </c>
      <c r="C86" s="176"/>
      <c r="D86" s="176"/>
      <c r="E86" s="176"/>
      <c r="F86" s="173">
        <f>B86*[1]Eco!$B$108*[1]Eco!$B$109</f>
        <v>559.99999999999989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1971.8500869565219</v>
      </c>
      <c r="C91" s="5"/>
      <c r="D91" s="202">
        <f>B91/Troupeau!$B$17</f>
        <v>6.4863489702517168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2664.8500869565219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261.33333333333331</v>
      </c>
      <c r="C95" s="5"/>
      <c r="D95" s="202">
        <f>B95/Troupeau!$B$17</f>
        <v>0.85964912280701744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261.33333333333331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28</v>
      </c>
      <c r="AW107" s="190">
        <f>IF(AW61&gt;0,HLOOKUP(AW61,[1]Trav!$C$11:$O$31,$AU$105),0)</f>
        <v>28</v>
      </c>
      <c r="AX107" s="190">
        <f>IF(AX61&gt;0,HLOOKUP(AX61,[1]Trav!$C$11:$O$31,$AU$105),0)</f>
        <v>28</v>
      </c>
      <c r="AY107" s="190">
        <f>IF(AY61&gt;0,HLOOKUP(AY61,[1]Trav!$C$11:$O$31,$AU$105),0)</f>
        <v>28</v>
      </c>
      <c r="AZ107" s="190">
        <f>IF(AZ61&gt;0,HLOOKUP(AZ61,[1]Trav!$C$11:$O$31,$AU$105),0)</f>
        <v>28</v>
      </c>
      <c r="BA107" s="190">
        <f>IF(BA61&gt;0,HLOOKUP(BA61,[1]Trav!$C$11:$O$31,$AU$105),0)</f>
        <v>28</v>
      </c>
      <c r="BB107" s="190">
        <f>IF(BB61&gt;0,HLOOKUP(BB61,[1]Trav!$C$11:$O$31,$AU$105),0)</f>
        <v>28</v>
      </c>
      <c r="BC107" s="190">
        <f>IF(BC61&gt;0,HLOOKUP(BC61,[1]Trav!$C$11:$O$31,$AU$105),0)</f>
        <v>28</v>
      </c>
      <c r="BD107" s="190">
        <f>IF(BD61&gt;0,HLOOKUP(BD61,[1]Trav!$C$11:$O$31,$AU$105),0)</f>
        <v>28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28</v>
      </c>
      <c r="BP107" s="190">
        <f>IF(BP61&gt;0,HLOOKUP(BP61,[1]Trav!$C$11:$O$31,$AU$105),0)</f>
        <v>28</v>
      </c>
      <c r="BQ107" s="190">
        <f>IF(BQ61&gt;0,HLOOKUP(BQ61,[1]Trav!$C$11:$O$31,$AU$105),0)</f>
        <v>28</v>
      </c>
      <c r="BR107" s="190">
        <f>IF(BR61&gt;0,HLOOKUP(BR61,[1]Trav!$C$11:$O$31,$AU$105),0)</f>
        <v>28</v>
      </c>
      <c r="BS107" s="190">
        <f>IF(BS61&gt;0,HLOOKUP(BS61,[1]Trav!$C$11:$O$31,$AU$105),0)</f>
        <v>28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304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7"/>
      <c r="AT109" s="189" t="str">
        <f t="shared" si="80"/>
        <v>beliers</v>
      </c>
      <c r="AV109" s="190">
        <f>IF(AV63&gt;0,HLOOKUP(AV63,[1]Trav!$C$11:$O$31,$AU$105),0)</f>
        <v>28</v>
      </c>
      <c r="AW109" s="190">
        <f>IF(AW63&gt;0,HLOOKUP(AW63,[1]Trav!$C$11:$O$31,$AU$105),0)</f>
        <v>28</v>
      </c>
      <c r="AX109" s="190">
        <f>IF(AX63&gt;0,HLOOKUP(AX63,[1]Trav!$C$11:$O$31,$AU$105),0)</f>
        <v>28</v>
      </c>
      <c r="AY109" s="190">
        <f>IF(AY63&gt;0,HLOOKUP(AY63,[1]Trav!$C$11:$O$31,$AU$105),0)</f>
        <v>28</v>
      </c>
      <c r="AZ109" s="190">
        <f>IF(AZ63&gt;0,HLOOKUP(AZ63,[1]Trav!$C$11:$O$31,$AU$105),0)</f>
        <v>28</v>
      </c>
      <c r="BA109" s="190">
        <f>IF(BA63&gt;0,HLOOKUP(BA63,[1]Trav!$C$11:$O$31,$AU$105),0)</f>
        <v>28</v>
      </c>
      <c r="BB109" s="190">
        <f>IF(BB63&gt;0,HLOOKUP(BB63,[1]Trav!$C$11:$O$31,$AU$105),0)</f>
        <v>28</v>
      </c>
      <c r="BC109" s="190">
        <f>IF(BC63&gt;0,HLOOKUP(BC63,[1]Trav!$C$11:$O$31,$AU$105),0)</f>
        <v>28</v>
      </c>
      <c r="BD109" s="190">
        <f>IF(BD63&gt;0,HLOOKUP(BD63,[1]Trav!$C$11:$O$31,$AU$105),0)</f>
        <v>21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28</v>
      </c>
      <c r="BP109" s="190">
        <f>IF(BP63&gt;0,HLOOKUP(BP63,[1]Trav!$C$11:$O$31,$AU$105),0)</f>
        <v>28</v>
      </c>
      <c r="BQ109" s="190">
        <f>IF(BQ63&gt;0,HLOOKUP(BQ63,[1]Trav!$C$11:$O$31,$AU$105),0)</f>
        <v>28</v>
      </c>
      <c r="BR109" s="190">
        <f>IF(BR63&gt;0,HLOOKUP(BR63,[1]Trav!$C$11:$O$31,$AU$105),0)</f>
        <v>28</v>
      </c>
      <c r="BS109" s="190">
        <f>IF(BS63&gt;0,HLOOKUP(BS63,[1]Trav!$C$11:$O$31,$AU$105),0)</f>
        <v>28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275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49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46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10.6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559.99999999999989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56</v>
      </c>
      <c r="AW117" s="173">
        <f t="shared" ref="AW117:BS117" si="83">SUM(AW106:AW115)</f>
        <v>56</v>
      </c>
      <c r="AX117" s="173">
        <f t="shared" si="83"/>
        <v>56</v>
      </c>
      <c r="AY117" s="173">
        <f t="shared" si="83"/>
        <v>70</v>
      </c>
      <c r="AZ117" s="173">
        <f t="shared" si="83"/>
        <v>70</v>
      </c>
      <c r="BA117" s="173">
        <f t="shared" si="83"/>
        <v>84</v>
      </c>
      <c r="BB117" s="173">
        <f t="shared" si="83"/>
        <v>84</v>
      </c>
      <c r="BC117" s="173">
        <f t="shared" si="83"/>
        <v>84</v>
      </c>
      <c r="BD117" s="173">
        <f t="shared" si="83"/>
        <v>77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70</v>
      </c>
      <c r="BP117" s="173">
        <f t="shared" si="83"/>
        <v>56</v>
      </c>
      <c r="BQ117" s="173">
        <f t="shared" si="83"/>
        <v>56</v>
      </c>
      <c r="BR117" s="173">
        <f t="shared" si="83"/>
        <v>56</v>
      </c>
      <c r="BS117" s="173">
        <f t="shared" si="83"/>
        <v>56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5102.9534202898558</v>
      </c>
      <c r="D118" s="202">
        <f>B118/Troupeau!$B$17</f>
        <v>16.786030987795577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777</v>
      </c>
      <c r="D119" s="202">
        <f>IF(B119=0,0,B119/Troupeau!$C$17)</f>
        <v>40.89473684210526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5879.9534202898558</v>
      </c>
    </row>
    <row r="123" spans="1:132" x14ac:dyDescent="0.25">
      <c r="A123" s="2" t="s">
        <v>856</v>
      </c>
      <c r="B123" s="30">
        <f>B108</f>
        <v>304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324</v>
      </c>
    </row>
    <row r="126" spans="1:132" x14ac:dyDescent="0.25">
      <c r="A126" s="2" t="s">
        <v>872</v>
      </c>
      <c r="B126" s="30">
        <f>B114+B115+B116</f>
        <v>616.59999999999991</v>
      </c>
    </row>
    <row r="128" spans="1:132" x14ac:dyDescent="0.25">
      <c r="A128" s="2" t="s">
        <v>873</v>
      </c>
      <c r="B128" s="201">
        <f>SUM(B122:B126)</f>
        <v>7724.5534202898561</v>
      </c>
    </row>
    <row r="129" spans="1:2" x14ac:dyDescent="0.25">
      <c r="A129" s="2" t="s">
        <v>874</v>
      </c>
      <c r="B129" s="30">
        <f>IF(Scénario!K129=1,Travail!F77+Travail!F86,F86)</f>
        <v>1066</v>
      </c>
    </row>
    <row r="130" spans="1:2" x14ac:dyDescent="0.25">
      <c r="A130" s="2" t="s">
        <v>875</v>
      </c>
      <c r="B130" s="201">
        <f>ROUND((B128-B129)/(Scénario!K4+Scénario!K6),0)</f>
        <v>3329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12736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159721.52000000002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45.359000000000009</v>
      </c>
      <c r="C118" s="190">
        <f>IF(Scénario!$K$12="BV",[1]Eco!$B$78,IF(Scénario!$K$12="BL",[1]Eco!$B$77,[1]Eco!$B$76))</f>
        <v>223</v>
      </c>
      <c r="J118" s="173">
        <f>B118*C118</f>
        <v>10115.057000000003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48.019199999999998</v>
      </c>
      <c r="C119" s="190">
        <f>[1]Eco!$B$79</f>
        <v>80</v>
      </c>
      <c r="J119" s="173">
        <f>B119*C119</f>
        <v>3841.5360000000001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8.6999999999999993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391.49999999999994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3.3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199.68299999999999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745.25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9043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909.51666666666654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58581.042666666668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19.3</v>
      </c>
      <c r="X153" t="s">
        <v>52</v>
      </c>
      <c r="Y153" s="173">
        <f>W153-Scénario!K28</f>
        <v>-4.1999999999999993</v>
      </c>
      <c r="Z153" s="173">
        <f>Y153-Y156</f>
        <v>-3.7799999999999994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-0.41999999999999993</v>
      </c>
      <c r="Z156" s="173">
        <f t="shared" si="68"/>
        <v>-0.41999999999999993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-3.7799999999999994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-136.83599999999998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-0.41999999999999993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-65.267999999999986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559.99999999999989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5952.7999999999993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513.6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5459.5680000000002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72"/>
        <v>3.3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3.3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3.3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1.7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1.7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57267.963999999993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43872.513333333351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21936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5098.9024876800122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27773.61084565334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13887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19.3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8.6999999999999993</v>
      </c>
      <c r="AI228" s="62">
        <f t="shared" si="86"/>
        <v>3.3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9365</v>
      </c>
      <c r="U234" t="s">
        <v>1101</v>
      </c>
      <c r="V234" s="173"/>
      <c r="W234" s="173">
        <f>[1]Protect!$B$4</f>
        <v>6</v>
      </c>
      <c r="X234" s="173">
        <f>T234*W234</f>
        <v>56190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0.33333333333333331</v>
      </c>
      <c r="W235" s="173">
        <f>[1]Protect!$B$83</f>
        <v>2000</v>
      </c>
      <c r="X235" s="173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56856.666666666664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41356.666666666664</v>
      </c>
      <c r="AB237" s="30">
        <f>(Scénario!K127/100)*AA237</f>
        <v>0</v>
      </c>
      <c r="AC237" s="30">
        <f>AA237-AB237</f>
        <v>41356.666666666664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5098.9024876800122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10</v>
      </c>
      <c r="X245" s="173">
        <f>ROUND((([1]Protect!$B$5/[1]Protect!$B$11)+[1]Protect!$B$8)*T245,0)</f>
        <v>9043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2.333333333333333</v>
      </c>
      <c r="W246" s="173">
        <f>[1]Eco!$B$106*[1]Eco!$B$108*[1]Eco!$B$109</f>
        <v>2551.2000000000003</v>
      </c>
      <c r="X246" s="173">
        <f>T246*W246</f>
        <v>5952.8</v>
      </c>
    </row>
    <row r="247" spans="17:31" x14ac:dyDescent="0.25">
      <c r="S247" s="14" t="s">
        <v>1116</v>
      </c>
      <c r="T247" s="30">
        <f>Travail!F16/8</f>
        <v>32.666666666666664</v>
      </c>
      <c r="W247" s="173">
        <f>[1]Eco!$B$111</f>
        <v>28.3</v>
      </c>
      <c r="X247" s="173">
        <f>T247*W247</f>
        <v>924.46666666666658</v>
      </c>
    </row>
    <row r="248" spans="17:31" x14ac:dyDescent="0.25">
      <c r="W248" s="14" t="s">
        <v>1117</v>
      </c>
      <c r="X248" s="173">
        <f>SUM(X245:X247)</f>
        <v>15920.266666666666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15920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720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12736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12736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140.47499999999999</v>
      </c>
      <c r="U272" s="173"/>
      <c r="V272" s="173"/>
      <c r="W272" s="173">
        <f>W234</f>
        <v>6</v>
      </c>
      <c r="X272" s="173">
        <f>T272*W272</f>
        <v>842.84999999999991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0.66666666666666663</v>
      </c>
      <c r="U274" s="173"/>
      <c r="V274" s="173"/>
      <c r="W274" s="173">
        <f>W271</f>
        <v>100</v>
      </c>
      <c r="X274" s="173">
        <f>T274*W274</f>
        <v>66.666666666666657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Z1_OLBV_T3F_MC2s1</v>
      </c>
      <c r="D1" s="275" t="str">
        <f>CONCATENATE(C1,"_corr")</f>
        <v>Z1_OLBV_T3F_MC2s1_corr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3</v>
      </c>
      <c r="D25" s="177">
        <f t="shared" si="0"/>
        <v>3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2</v>
      </c>
      <c r="D27" s="177">
        <f t="shared" si="0"/>
        <v>2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2</v>
      </c>
      <c r="D59" s="177">
        <f t="shared" si="0"/>
        <v>2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19.3</v>
      </c>
      <c r="D85" s="261">
        <f>ROUND(C85*$D$82/$C$82,3)</f>
        <v>18.53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1.93</v>
      </c>
      <c r="D88" s="261">
        <f t="shared" si="14"/>
        <v>1.853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212</v>
      </c>
      <c r="AW122" s="173">
        <f>IF(AW76=0,0,IF(AW99=3,0,VALUE(CONCATENATE(Travail!AW27,Travail!AW38,Travail!AW49))))</f>
        <v>212</v>
      </c>
      <c r="AX122" s="173">
        <f>IF(AX76=0,0,IF(AX99=3,0,VALUE(CONCATENATE(Travail!AX27,Travail!AX38,Travail!AX49))))</f>
        <v>212</v>
      </c>
      <c r="AY122" s="173">
        <f>IF(AY76=0,0,IF(AY99=3,0,VALUE(CONCATENATE(Travail!AY27,Travail!AY38,Travail!AY49))))</f>
        <v>212</v>
      </c>
      <c r="AZ122" s="173">
        <f>IF(AZ76=0,0,IF(AZ99=3,0,VALUE(CONCATENATE(Travail!AZ27,Travail!AZ38,Travail!AZ49))))</f>
        <v>212</v>
      </c>
      <c r="BA122" s="173">
        <f>IF(BA76=0,0,IF(BA99=3,0,VALUE(CONCATENATE(Travail!BA27,Travail!BA38,Travail!BA49))))</f>
        <v>212</v>
      </c>
      <c r="BB122" s="173">
        <f>IF(BB76=0,0,IF(BB99=3,0,VALUE(CONCATENATE(Travail!BB27,Travail!BB38,Travail!BB49))))</f>
        <v>212</v>
      </c>
      <c r="BC122" s="173">
        <f>IF(BC76=0,0,IF(BC99=3,0,VALUE(CONCATENATE(Travail!BC27,Travail!BC38,Travail!BC49))))</f>
        <v>212</v>
      </c>
      <c r="BD122" s="173">
        <f>IF(BD76=0,0,IF(BD99=3,0,VALUE(CONCATENATE(Travail!BD27,Travail!BD38,Travail!BD49))))</f>
        <v>212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212</v>
      </c>
      <c r="BP122" s="173">
        <f>IF(BP76=0,0,IF(BP99=3,0,VALUE(CONCATENATE(Travail!BP27,Travail!BP38,Travail!BP49))))</f>
        <v>212</v>
      </c>
      <c r="BQ122" s="173">
        <f>IF(BQ76=0,0,IF(BQ99=3,0,VALUE(CONCATENATE(Travail!BQ27,Travail!BQ38,Travail!BQ49))))</f>
        <v>212</v>
      </c>
      <c r="BR122" s="173">
        <f>IF(BR76=0,0,IF(BR99=3,0,VALUE(CONCATENATE(Travail!BR27,Travail!BR38,Travail!BR49))))</f>
        <v>212</v>
      </c>
      <c r="BS122" s="173">
        <f>IF(BS76=0,0,IF(BS99=3,0,VALUE(CONCATENATE(Travail!BS27,Travail!BS38,Travail!BS49))))</f>
        <v>212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212</v>
      </c>
      <c r="AW124" s="173">
        <f>IF(AW78=0,0,IF(AW101=3,0,VALUE(CONCATENATE(Travail!AW29,Travail!AW40,Travail!AW51))))</f>
        <v>212</v>
      </c>
      <c r="AX124" s="173">
        <f>IF(AX78=0,0,IF(AX101=3,0,VALUE(CONCATENATE(Travail!AX29,Travail!AX40,Travail!AX51))))</f>
        <v>212</v>
      </c>
      <c r="AY124" s="173">
        <f>IF(AY78=0,0,IF(AY101=3,0,VALUE(CONCATENATE(Travail!AY29,Travail!AY40,Travail!AY51))))</f>
        <v>212</v>
      </c>
      <c r="AZ124" s="173">
        <f>IF(AZ78=0,0,IF(AZ101=3,0,VALUE(CONCATENATE(Travail!AZ29,Travail!AZ40,Travail!AZ51))))</f>
        <v>212</v>
      </c>
      <c r="BA124" s="173">
        <f>IF(BA78=0,0,IF(BA101=3,0,VALUE(CONCATENATE(Travail!BA29,Travail!BA40,Travail!BA51))))</f>
        <v>212</v>
      </c>
      <c r="BB124" s="173">
        <f>IF(BB78=0,0,IF(BB101=3,0,VALUE(CONCATENATE(Travail!BB29,Travail!BB40,Travail!BB51))))</f>
        <v>212</v>
      </c>
      <c r="BC124" s="173">
        <f>IF(BC78=0,0,IF(BC101=3,0,VALUE(CONCATENATE(Travail!BC29,Travail!BC40,Travail!BC51))))</f>
        <v>212</v>
      </c>
      <c r="BD124" s="173">
        <f>IF(BD78=0,0,IF(BD101=3,0,VALUE(CONCATENATE(Travail!BD29,Travail!BD40,Travail!BD51))))</f>
        <v>211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212</v>
      </c>
      <c r="BP124" s="173">
        <f>IF(BP78=0,0,IF(BP101=3,0,VALUE(CONCATENATE(Travail!BP29,Travail!BP40,Travail!BP51))))</f>
        <v>212</v>
      </c>
      <c r="BQ124" s="173">
        <f>IF(BQ78=0,0,IF(BQ101=3,0,VALUE(CONCATENATE(Travail!BQ29,Travail!BQ40,Travail!BQ51))))</f>
        <v>212</v>
      </c>
      <c r="BR124" s="173">
        <f>IF(BR78=0,0,IF(BR101=3,0,VALUE(CONCATENATE(Travail!BR29,Travail!BR40,Travail!BR51))))</f>
        <v>212</v>
      </c>
      <c r="BS124" s="173">
        <f>IF(BS78=0,0,IF(BS101=3,0,VALUE(CONCATENATE(Travail!BS29,Travail!BS40,Travail!BS51))))</f>
        <v>212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21</v>
      </c>
      <c r="AW133" s="173">
        <f t="shared" si="39"/>
        <v>21</v>
      </c>
      <c r="AX133" s="173">
        <f t="shared" si="39"/>
        <v>21</v>
      </c>
      <c r="AY133" s="173">
        <f t="shared" si="39"/>
        <v>21</v>
      </c>
      <c r="AZ133" s="173">
        <f t="shared" si="39"/>
        <v>21</v>
      </c>
      <c r="BA133" s="173">
        <f t="shared" si="39"/>
        <v>21</v>
      </c>
      <c r="BB133" s="173">
        <f t="shared" si="39"/>
        <v>21</v>
      </c>
      <c r="BC133" s="173">
        <f t="shared" si="39"/>
        <v>21</v>
      </c>
      <c r="BD133" s="173">
        <f t="shared" si="39"/>
        <v>21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21</v>
      </c>
      <c r="BP133" s="173">
        <f t="shared" si="39"/>
        <v>21</v>
      </c>
      <c r="BQ133" s="173">
        <f t="shared" si="39"/>
        <v>21</v>
      </c>
      <c r="BR133" s="173">
        <f t="shared" si="39"/>
        <v>21</v>
      </c>
      <c r="BS133" s="173">
        <f t="shared" si="39"/>
        <v>21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21</v>
      </c>
      <c r="AW135" s="173">
        <f t="shared" si="39"/>
        <v>21</v>
      </c>
      <c r="AX135" s="173">
        <f t="shared" si="39"/>
        <v>21</v>
      </c>
      <c r="AY135" s="173">
        <f t="shared" si="39"/>
        <v>21</v>
      </c>
      <c r="AZ135" s="173">
        <f t="shared" si="39"/>
        <v>21</v>
      </c>
      <c r="BA135" s="173">
        <f t="shared" si="39"/>
        <v>21</v>
      </c>
      <c r="BB135" s="173">
        <f t="shared" si="39"/>
        <v>21</v>
      </c>
      <c r="BC135" s="173">
        <f t="shared" si="39"/>
        <v>21</v>
      </c>
      <c r="BD135" s="173">
        <f t="shared" si="39"/>
        <v>21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21</v>
      </c>
      <c r="BP135" s="173">
        <f t="shared" si="39"/>
        <v>21</v>
      </c>
      <c r="BQ135" s="173">
        <f t="shared" si="39"/>
        <v>21</v>
      </c>
      <c r="BR135" s="173">
        <f t="shared" si="39"/>
        <v>21</v>
      </c>
      <c r="BS135" s="173">
        <f t="shared" si="39"/>
        <v>21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0.49074074074074076</v>
      </c>
      <c r="D136" s="262">
        <f t="shared" si="25"/>
        <v>0.49074074074074076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28</v>
      </c>
      <c r="AW168" s="190">
        <f>IF(AW122&gt;0,HLOOKUP(AW122,[1]Trav!$C$11:$O$31,$AU$166),0)</f>
        <v>28</v>
      </c>
      <c r="AX168" s="190">
        <f>IF(AX122&gt;0,HLOOKUP(AX122,[1]Trav!$C$11:$O$31,$AU$166),0)</f>
        <v>28</v>
      </c>
      <c r="AY168" s="190">
        <f>IF(AY122&gt;0,HLOOKUP(AY122,[1]Trav!$C$11:$O$31,$AU$166),0)</f>
        <v>28</v>
      </c>
      <c r="AZ168" s="190">
        <f>IF(AZ122&gt;0,HLOOKUP(AZ122,[1]Trav!$C$11:$O$31,$AU$166),0)</f>
        <v>28</v>
      </c>
      <c r="BA168" s="190">
        <f>IF(BA122&gt;0,HLOOKUP(BA122,[1]Trav!$C$11:$O$31,$AU$166),0)</f>
        <v>28</v>
      </c>
      <c r="BB168" s="190">
        <f>IF(BB122&gt;0,HLOOKUP(BB122,[1]Trav!$C$11:$O$31,$AU$166),0)</f>
        <v>28</v>
      </c>
      <c r="BC168" s="190">
        <f>IF(BC122&gt;0,HLOOKUP(BC122,[1]Trav!$C$11:$O$31,$AU$166),0)</f>
        <v>28</v>
      </c>
      <c r="BD168" s="190">
        <f>IF(BD122&gt;0,HLOOKUP(BD122,[1]Trav!$C$11:$O$31,$AU$166),0)</f>
        <v>28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28</v>
      </c>
      <c r="BP168" s="190">
        <f>IF(BP122&gt;0,HLOOKUP(BP122,[1]Trav!$C$11:$O$31,$AU$166),0)</f>
        <v>28</v>
      </c>
      <c r="BQ168" s="190">
        <f>IF(BQ122&gt;0,HLOOKUP(BQ122,[1]Trav!$C$11:$O$31,$AU$166),0)</f>
        <v>28</v>
      </c>
      <c r="BR168" s="190">
        <f>IF(BR122&gt;0,HLOOKUP(BR122,[1]Trav!$C$11:$O$31,$AU$166),0)</f>
        <v>28</v>
      </c>
      <c r="BS168" s="190">
        <f>IF(BS122&gt;0,HLOOKUP(BS122,[1]Trav!$C$11:$O$31,$AU$166),0)</f>
        <v>28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155.11500000000001</v>
      </c>
      <c r="D169" s="263">
        <f t="shared" si="50"/>
        <v>148.92587281795514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116.3062904394435</v>
      </c>
      <c r="D170" s="263">
        <f t="shared" si="50"/>
        <v>111.66564044684725</v>
      </c>
      <c r="AT170" s="189" t="str">
        <f t="shared" si="95"/>
        <v>beliers</v>
      </c>
      <c r="AV170" s="190">
        <f>IF(AV124&gt;0,HLOOKUP(AV124,[1]Trav!$C$11:$O$31,$AU$166),0)</f>
        <v>28</v>
      </c>
      <c r="AW170" s="190">
        <f>IF(AW124&gt;0,HLOOKUP(AW124,[1]Trav!$C$11:$O$31,$AU$166),0)</f>
        <v>28</v>
      </c>
      <c r="AX170" s="190">
        <f>IF(AX124&gt;0,HLOOKUP(AX124,[1]Trav!$C$11:$O$31,$AU$166),0)</f>
        <v>28</v>
      </c>
      <c r="AY170" s="190">
        <f>IF(AY124&gt;0,HLOOKUP(AY124,[1]Trav!$C$11:$O$31,$AU$166),0)</f>
        <v>28</v>
      </c>
      <c r="AZ170" s="190">
        <f>IF(AZ124&gt;0,HLOOKUP(AZ124,[1]Trav!$C$11:$O$31,$AU$166),0)</f>
        <v>28</v>
      </c>
      <c r="BA170" s="190">
        <f>IF(BA124&gt;0,HLOOKUP(BA124,[1]Trav!$C$11:$O$31,$AU$166),0)</f>
        <v>28</v>
      </c>
      <c r="BB170" s="190">
        <f>IF(BB124&gt;0,HLOOKUP(BB124,[1]Trav!$C$11:$O$31,$AU$166),0)</f>
        <v>28</v>
      </c>
      <c r="BC170" s="190">
        <f>IF(BC124&gt;0,HLOOKUP(BC124,[1]Trav!$C$11:$O$31,$AU$166),0)</f>
        <v>28</v>
      </c>
      <c r="BD170" s="190">
        <f>IF(BD124&gt;0,HLOOKUP(BD124,[1]Trav!$C$11:$O$31,$AU$166),0)</f>
        <v>21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28</v>
      </c>
      <c r="BP170" s="190">
        <f>IF(BP124&gt;0,HLOOKUP(BP124,[1]Trav!$C$11:$O$31,$AU$166),0)</f>
        <v>28</v>
      </c>
      <c r="BQ170" s="190">
        <f>IF(BQ124&gt;0,HLOOKUP(BQ124,[1]Trav!$C$11:$O$31,$AU$166),0)</f>
        <v>28</v>
      </c>
      <c r="BR170" s="190">
        <f>IF(BR124&gt;0,HLOOKUP(BR124,[1]Trav!$C$11:$O$31,$AU$166),0)</f>
        <v>28</v>
      </c>
      <c r="BS170" s="190">
        <f>IF(BS124&gt;0,HLOOKUP(BS124,[1]Trav!$C$11:$O$31,$AU$166),0)</f>
        <v>28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99.540999999999997</v>
      </c>
      <c r="D171" s="263">
        <f t="shared" si="50"/>
        <v>95.569289276807979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144.9</v>
      </c>
      <c r="D172" s="263">
        <f t="shared" si="50"/>
        <v>139.11845386533668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38.808709560556508</v>
      </c>
      <c r="D173" s="263">
        <f t="shared" si="50"/>
        <v>37.260232371107868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75</v>
      </c>
      <c r="D174" s="263">
        <f t="shared" si="50"/>
        <v>72.007481296758101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-45.359000000000009</v>
      </c>
      <c r="D175" s="263">
        <f>C175*$D$82/$C$82</f>
        <v>-43.549164588528683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45.359000000000009</v>
      </c>
      <c r="D176" s="263">
        <f>C176*$D$82/$C$82</f>
        <v>43.549164588528683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83</v>
      </c>
      <c r="D178" s="173">
        <f>ROUND((D170+D171)/(D170+D172),2)*100</f>
        <v>83</v>
      </c>
      <c r="AT178" s="40" t="s">
        <v>865</v>
      </c>
      <c r="AV178" s="173">
        <f>SUM(AV167:AV176)</f>
        <v>56</v>
      </c>
      <c r="AW178" s="173">
        <f t="shared" ref="AW178:BS178" si="98">SUM(AW167:AW176)</f>
        <v>56</v>
      </c>
      <c r="AX178" s="173">
        <f t="shared" si="98"/>
        <v>56</v>
      </c>
      <c r="AY178" s="173">
        <f t="shared" si="98"/>
        <v>70</v>
      </c>
      <c r="AZ178" s="173">
        <f t="shared" si="98"/>
        <v>70</v>
      </c>
      <c r="BA178" s="173">
        <f t="shared" si="98"/>
        <v>84</v>
      </c>
      <c r="BB178" s="173">
        <f t="shared" si="98"/>
        <v>84</v>
      </c>
      <c r="BC178" s="173">
        <f t="shared" si="98"/>
        <v>84</v>
      </c>
      <c r="BD178" s="173">
        <f t="shared" si="98"/>
        <v>77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70</v>
      </c>
      <c r="BP178" s="173">
        <f t="shared" si="98"/>
        <v>56</v>
      </c>
      <c r="BQ178" s="173">
        <f t="shared" si="98"/>
        <v>56</v>
      </c>
      <c r="BR178" s="173">
        <f t="shared" si="98"/>
        <v>56</v>
      </c>
      <c r="BS178" s="173">
        <f t="shared" si="98"/>
        <v>56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9365</v>
      </c>
      <c r="D183" s="264">
        <f>ROUND(D184*D185,0)</f>
        <v>9010</v>
      </c>
      <c r="E183" s="17" t="s">
        <v>1295</v>
      </c>
    </row>
    <row r="184" spans="1:132" x14ac:dyDescent="0.25">
      <c r="B184" s="14" t="s">
        <v>1296</v>
      </c>
      <c r="C184" s="173">
        <f>Protection!AK26</f>
        <v>39.099999999999994</v>
      </c>
      <c r="D184" s="265">
        <f>C184*D82/C82</f>
        <v>37.539900249376551</v>
      </c>
    </row>
    <row r="185" spans="1:132" x14ac:dyDescent="0.25">
      <c r="B185" s="14" t="s">
        <v>1297</v>
      </c>
      <c r="C185" s="173">
        <f>IF(C183=0,0,ROUND(C183/C184,0))</f>
        <v>240</v>
      </c>
      <c r="D185" s="173">
        <f>C185</f>
        <v>240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0.33333333333333331</v>
      </c>
      <c r="D187" s="173">
        <f>C187</f>
        <v>0.33333333333333331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10</v>
      </c>
      <c r="D189" s="173">
        <f t="shared" si="101"/>
        <v>10</v>
      </c>
      <c r="AH189" s="15"/>
      <c r="AJ189" s="14" t="s">
        <v>1114</v>
      </c>
      <c r="AK189" s="30">
        <f>D189</f>
        <v>10</v>
      </c>
      <c r="AO189" s="173">
        <f>ROUND((([1]Protect!$B$5/[1]Protect!$B$11)+[1]Protect!$B$8)*AK189,0)</f>
        <v>9043</v>
      </c>
    </row>
    <row r="190" spans="1:132" x14ac:dyDescent="0.25">
      <c r="B190" s="14" t="s">
        <v>1302</v>
      </c>
      <c r="C190" s="173">
        <f>'Calcul éco'!T246*(30)</f>
        <v>69.999999999999986</v>
      </c>
      <c r="D190" s="173">
        <f>C190</f>
        <v>69.999999999999986</v>
      </c>
      <c r="AH190" s="15"/>
      <c r="AJ190" s="14" t="s">
        <v>1115</v>
      </c>
      <c r="AK190" s="30">
        <f>D190/30</f>
        <v>2.333333333333333</v>
      </c>
      <c r="AN190" s="173">
        <f>[1]Eco!$B$106*[1]Eco!$B$108*[1]Eco!$B$109</f>
        <v>2551.2000000000003</v>
      </c>
      <c r="AO190" s="173">
        <f>AK190*AN190</f>
        <v>5952.8</v>
      </c>
    </row>
    <row r="191" spans="1:132" x14ac:dyDescent="0.25">
      <c r="B191" s="14" t="s">
        <v>1303</v>
      </c>
      <c r="C191" s="198">
        <f>ROUND(SUM(Travail!F69:F74)/8,1)</f>
        <v>34.4</v>
      </c>
      <c r="D191" s="173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32.666666666666664</v>
      </c>
      <c r="AN191" s="173">
        <f>[1]Eco!$B$111</f>
        <v>28.3</v>
      </c>
      <c r="AO191" s="173">
        <f>AK191*AN191</f>
        <v>924.46666666666658</v>
      </c>
    </row>
    <row r="192" spans="1:132" x14ac:dyDescent="0.25">
      <c r="B192" s="14" t="s">
        <v>1307</v>
      </c>
      <c r="C192" s="173">
        <f>(Travail!F83+Travail!F84)/8</f>
        <v>1.325</v>
      </c>
      <c r="D192" s="266">
        <f>ROUND((D183/1000)*([1]Protect!$B$25*8/10+[1]Protect!$B$26),2)/8</f>
        <v>1.2725</v>
      </c>
      <c r="E192" s="17" t="s">
        <v>1308</v>
      </c>
      <c r="I192" s="5"/>
      <c r="AN192" s="14" t="s">
        <v>1117</v>
      </c>
      <c r="AO192" s="173">
        <f>SUM(AO189:AO191)</f>
        <v>15920.266666666666</v>
      </c>
    </row>
    <row r="193" spans="1:43" x14ac:dyDescent="0.25">
      <c r="B193" s="14" t="s">
        <v>1309</v>
      </c>
      <c r="C193" s="173">
        <f>(Travail!F75+Travail!F76+Travail!F81)/8</f>
        <v>34.625</v>
      </c>
      <c r="D193" s="173">
        <f>C193</f>
        <v>34.625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691.27182044887786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15920.266666666666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12736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57342.2</v>
      </c>
      <c r="D211" s="264">
        <f>ROUND(SUM(D201:D210),0)</f>
        <v>53564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135.15</v>
      </c>
      <c r="AK216" s="173"/>
      <c r="AL216" s="173"/>
      <c r="AM216" s="173">
        <f>'Calcul éco'!W272</f>
        <v>6</v>
      </c>
      <c r="AN216" s="173">
        <f>AJ216*AM216</f>
        <v>810.90000000000009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2426.433</v>
      </c>
      <c r="D217" s="261">
        <f t="shared" si="106"/>
        <v>2330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13956.593000000003</v>
      </c>
      <c r="D218" s="261">
        <f t="shared" si="106"/>
        <v>13400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0.66666666666666663</v>
      </c>
      <c r="AK218" s="173"/>
      <c r="AL218" s="173"/>
      <c r="AM218" s="173">
        <f>'Calcul éco'!W274</f>
        <v>100</v>
      </c>
      <c r="AN218" s="173">
        <f>AJ218*AM218</f>
        <v>66.666666666666657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9043</v>
      </c>
      <c r="D219" s="261">
        <f t="shared" si="106"/>
        <v>8682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909.51666666666654</v>
      </c>
      <c r="D220" s="264">
        <f>SUM(AN215:AN219)</f>
        <v>877.56666666666672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58582</v>
      </c>
      <c r="D221" s="264">
        <f>ROUND(SUM(D216:D220),0)</f>
        <v>56249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9010</v>
      </c>
      <c r="AL225" t="s">
        <v>1101</v>
      </c>
      <c r="AM225" s="173"/>
      <c r="AN225" s="173">
        <f>[1]Protect!$B$4</f>
        <v>6</v>
      </c>
      <c r="AO225" s="173">
        <f>AK225*AN225</f>
        <v>54060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0.33333333333333331</v>
      </c>
      <c r="AN226" s="173">
        <f>[1]Protect!$B$83</f>
        <v>2000</v>
      </c>
      <c r="AO226" s="173">
        <f t="shared" ref="AO226:AO227" si="108">AK226*AN226</f>
        <v>666.66666666666663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54726.666666666664</v>
      </c>
      <c r="AQ228" s="30">
        <f>IF(Scénario!K84=1,MIN(0.8*AO228,[1]Protect!$B$68),IF(Scénario!K84=2,MIN(0.8*AO228,[1]Protect!$B$67),0))</f>
        <v>15500</v>
      </c>
      <c r="AR228" s="30">
        <f>AO228-AQ228</f>
        <v>39226.666666666664</v>
      </c>
      <c r="AS228" s="30">
        <f>(1-Scénario!K127/100)*AR228</f>
        <v>39226.666666666664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-136.83599999999998</v>
      </c>
      <c r="D230" s="261">
        <f t="shared" si="109"/>
        <v>-131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-65.267999999999986</v>
      </c>
      <c r="D233" s="261">
        <f t="shared" si="109"/>
        <v>-63</v>
      </c>
    </row>
    <row r="234" spans="1:49" x14ac:dyDescent="0.25">
      <c r="B234" s="14" t="s">
        <v>1352</v>
      </c>
      <c r="C234" s="173">
        <f>'Calcul éco'!J166</f>
        <v>5952.7999999999993</v>
      </c>
      <c r="D234" s="173">
        <f>C234</f>
        <v>5952.7999999999993</v>
      </c>
    </row>
    <row r="235" spans="1:49" x14ac:dyDescent="0.25">
      <c r="B235" s="14" t="s">
        <v>1353</v>
      </c>
      <c r="C235" s="173">
        <f>'Calcul éco'!J167</f>
        <v>5459.5680000000002</v>
      </c>
      <c r="D235" s="264">
        <f>(D191+D192)*8*[1]Eco!$B$106</f>
        <v>3033.5894000000003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57268</v>
      </c>
      <c r="D236" s="264">
        <f>ROUND(SUM(D222:D235),0)</f>
        <v>53838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43871.200000000012</v>
      </c>
      <c r="D237" s="264">
        <f>D194+D211-D221-D236</f>
        <v>41771</v>
      </c>
    </row>
    <row r="238" spans="1:49" x14ac:dyDescent="0.25">
      <c r="B238" s="211" t="s">
        <v>1090</v>
      </c>
      <c r="C238" s="173">
        <f>ROUND(C237/Scénario!$K$4,0)</f>
        <v>21936</v>
      </c>
      <c r="D238" s="264">
        <f>ROUND(D237/D83,0)</f>
        <v>20886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5098.9024876800122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27772</v>
      </c>
      <c r="D241" s="268">
        <f>ROUND(D237-D239-D240,0)</f>
        <v>30771</v>
      </c>
    </row>
    <row r="242" spans="1:15" x14ac:dyDescent="0.25">
      <c r="B242" s="211" t="s">
        <v>1094</v>
      </c>
      <c r="C242" s="173">
        <f>ROUND(C241/Scénario!K4,0)</f>
        <v>13886</v>
      </c>
      <c r="D242" s="264">
        <f>ROUND(D241/D83,0)</f>
        <v>15386</v>
      </c>
    </row>
    <row r="243" spans="1:15" x14ac:dyDescent="0.25">
      <c r="B243" s="211" t="s">
        <v>1357</v>
      </c>
      <c r="C243" s="173">
        <f>'Calcul éco'!X237+'Calcul éco'!X240</f>
        <v>56856.666666666664</v>
      </c>
      <c r="D243" s="173">
        <f>C243</f>
        <v>56856.666666666664</v>
      </c>
    </row>
    <row r="244" spans="1:15" x14ac:dyDescent="0.25">
      <c r="B244" s="211" t="s">
        <v>1358</v>
      </c>
      <c r="C244" s="173">
        <f>'Calcul éco'!AA237+'Calcul éco'!AA240</f>
        <v>41356.666666666664</v>
      </c>
      <c r="D244" s="173">
        <f>C244</f>
        <v>41356.666666666664</v>
      </c>
    </row>
    <row r="245" spans="1:15" x14ac:dyDescent="0.25">
      <c r="A245" s="2" t="s">
        <v>1359</v>
      </c>
      <c r="B245" s="14" t="s">
        <v>568</v>
      </c>
      <c r="C245" s="270">
        <f>Travail!F5</f>
        <v>1113</v>
      </c>
      <c r="D245" s="173">
        <f>C245</f>
        <v>1113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261.33333333333331</v>
      </c>
      <c r="D251" s="173">
        <f>C251</f>
        <v>261.33333333333331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16.677000000000003</v>
      </c>
      <c r="L258" s="190">
        <f>IF(K258&gt;[1]Trav!E121,[1]Trav!C121,[1]Trav!B121)</f>
        <v>7.2</v>
      </c>
      <c r="N258" s="274"/>
      <c r="O258">
        <f t="shared" si="114"/>
        <v>120.07440000000003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1.853</v>
      </c>
      <c r="L261" s="190">
        <f>IF(K261&gt;[1]Trav!E122,[1]Trav!C122,[1]Trav!B122)</f>
        <v>4.4000000000000004</v>
      </c>
      <c r="M261" s="5"/>
      <c r="N261" s="274"/>
      <c r="O261">
        <f t="shared" si="114"/>
        <v>8.1532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125</v>
      </c>
      <c r="D267" s="264">
        <f t="shared" si="116"/>
        <v>120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8</v>
      </c>
      <c r="D270" s="264">
        <f t="shared" si="116"/>
        <v>8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275.2</v>
      </c>
      <c r="D275" s="173">
        <f>C275</f>
        <v>275.2</v>
      </c>
    </row>
    <row r="276" spans="1:4" x14ac:dyDescent="0.25">
      <c r="A276" s="23"/>
      <c r="B276" s="32" t="s">
        <v>1369</v>
      </c>
      <c r="C276" s="270">
        <f>C192*8</f>
        <v>10.6</v>
      </c>
      <c r="D276" s="264">
        <f>D192*8</f>
        <v>10.18</v>
      </c>
    </row>
    <row r="277" spans="1:4" x14ac:dyDescent="0.25">
      <c r="B277" s="32" t="s">
        <v>1419</v>
      </c>
      <c r="C277" s="270">
        <f>Travail!F75+Travail!F81</f>
        <v>228</v>
      </c>
      <c r="D277" s="173">
        <f>C277</f>
        <v>228</v>
      </c>
    </row>
    <row r="278" spans="1:4" x14ac:dyDescent="0.25">
      <c r="B278" s="32" t="s">
        <v>1420</v>
      </c>
      <c r="C278" s="270">
        <f>Travail!F76</f>
        <v>49</v>
      </c>
      <c r="D278" s="173">
        <f>C278</f>
        <v>49</v>
      </c>
    </row>
    <row r="279" spans="1:4" x14ac:dyDescent="0.25">
      <c r="B279" s="32" t="s">
        <v>1386</v>
      </c>
      <c r="C279" s="270">
        <f>Travail!F86</f>
        <v>559.99999999999989</v>
      </c>
      <c r="D279" s="270">
        <f>C279</f>
        <v>559.99999999999989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5103</v>
      </c>
      <c r="D281" s="264">
        <f>ROUND(D245+D248+D251+D254+D257+D260+D261,0)</f>
        <v>4989</v>
      </c>
    </row>
    <row r="282" spans="1:4" x14ac:dyDescent="0.25">
      <c r="B282" s="14" t="s">
        <v>1372</v>
      </c>
      <c r="C282" s="173">
        <f>ROUND(C246+C249+C252+C255+C258,0)</f>
        <v>777</v>
      </c>
      <c r="D282" s="264">
        <f>ROUND(D246+D249+D252+D255+D258,0)</f>
        <v>774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16.79</v>
      </c>
      <c r="D284" s="173">
        <f>ROUND(D281/(Troupeau!$B$17*G63),2)</f>
        <v>17.09</v>
      </c>
    </row>
    <row r="285" spans="1:4" x14ac:dyDescent="0.25">
      <c r="B285" s="14" t="s">
        <v>1375</v>
      </c>
      <c r="C285" s="173">
        <f>IF(Troupeau!$C$17=0,0,ROUND(C282/Troupeau!$C$17,2))</f>
        <v>40.89</v>
      </c>
      <c r="D285" s="173">
        <f>IF(Troupeau!$C$17=0,0,ROUND(D282/Troupeau!$C$17*G63,2))</f>
        <v>39.11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5880</v>
      </c>
      <c r="D287" s="264">
        <f>SUM(D281:D283)</f>
        <v>5763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304</v>
      </c>
      <c r="D289" s="264">
        <f>SUM(D262:D271)</f>
        <v>296</v>
      </c>
    </row>
    <row r="290" spans="2:4" x14ac:dyDescent="0.25">
      <c r="B290" s="14" t="s">
        <v>1421</v>
      </c>
      <c r="C290" s="270">
        <f>C275+C276+C277</f>
        <v>513.79999999999995</v>
      </c>
      <c r="D290" s="277">
        <f>D275+D276+D277</f>
        <v>513.38</v>
      </c>
    </row>
    <row r="291" spans="2:4" x14ac:dyDescent="0.25">
      <c r="B291" s="14" t="s">
        <v>1422</v>
      </c>
      <c r="C291" s="270">
        <f>C278+C279+C280</f>
        <v>608.99999999999989</v>
      </c>
      <c r="D291" s="270">
        <f>D278+D279+D280</f>
        <v>608.99999999999989</v>
      </c>
    </row>
    <row r="292" spans="2:4" x14ac:dyDescent="0.25">
      <c r="B292" s="14" t="s">
        <v>873</v>
      </c>
      <c r="C292" s="173">
        <f>ROUND(SUM(C287:C291),0)</f>
        <v>7907</v>
      </c>
      <c r="D292" s="264">
        <f>ROUND(SUM(D287:D291),0)</f>
        <v>7781</v>
      </c>
    </row>
    <row r="293" spans="2:4" x14ac:dyDescent="0.25">
      <c r="B293" s="14" t="s">
        <v>874</v>
      </c>
      <c r="C293" s="173">
        <f>ROUND(IF(Scénario!$K$129=1,SUM(C275:C280),SUM(C278:C280)),0)</f>
        <v>1123</v>
      </c>
      <c r="D293" s="173">
        <f>ROUND(IF(Scénario!$K$129=1,SUM(D275:D280),SUM(D278:D280)),0)</f>
        <v>1122</v>
      </c>
    </row>
    <row r="294" spans="2:4" x14ac:dyDescent="0.25">
      <c r="B294" s="14" t="s">
        <v>875</v>
      </c>
      <c r="C294" s="173">
        <f>ROUND((C292-C293)/C83,0)</f>
        <v>3392</v>
      </c>
      <c r="D294" s="173">
        <f>ROUND((D292-D293)/D83,0)</f>
        <v>3330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56190</v>
      </c>
    </row>
    <row r="308" spans="2:3" x14ac:dyDescent="0.25">
      <c r="B308" s="14" t="s">
        <v>1460</v>
      </c>
      <c r="C308" s="173">
        <f>'Calcul éco'!X235</f>
        <v>666.66666666666663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B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41" activePane="bottomLeft" state="frozen"/>
      <selection pane="bottomLeft" activeCell="V55" sqref="V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33.819199999999995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8" activePane="bottomLeft" state="frozen"/>
      <selection pane="bottomLeft" activeCell="Y54" sqref="Y5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2023-01-09T09:57:31Z</dcterms:modified>
</cp:coreProperties>
</file>