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0160" windowHeight="7650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Feuil1" sheetId="34" r:id="rId14"/>
    <sheet name="Parcellaire" sheetId="7" r:id="rId15"/>
    <sheet name="fonctionnement trp" sheetId="27" r:id="rId16"/>
  </sheets>
  <externalReferences>
    <externalReference r:id="rId17"/>
  </externalReferences>
  <calcPr calcId="162913"/>
  <pivotCaches>
    <pivotCache cacheId="48" r:id="rId18"/>
  </pivotCaches>
</workbook>
</file>

<file path=xl/calcChain.xml><?xml version="1.0" encoding="utf-8"?>
<calcChain xmlns="http://schemas.openxmlformats.org/spreadsheetml/2006/main">
  <c r="AV5" i="29" l="1"/>
  <c r="AW5" i="29"/>
  <c r="AX5" i="29"/>
  <c r="AY5" i="29"/>
  <c r="AZ5" i="29"/>
  <c r="BD5" i="29"/>
  <c r="BE5" i="29" s="1"/>
  <c r="BF5" i="29" s="1"/>
  <c r="AV6" i="29"/>
  <c r="AW6" i="29"/>
  <c r="BD6" i="29" s="1"/>
  <c r="AX6" i="29"/>
  <c r="AY6" i="29"/>
  <c r="AZ6" i="29"/>
  <c r="BE6" i="29"/>
  <c r="BF6" i="29" s="1"/>
  <c r="AV7" i="29"/>
  <c r="AW7" i="29"/>
  <c r="BK7" i="29" s="1"/>
  <c r="AX7" i="29"/>
  <c r="AY7" i="29"/>
  <c r="AZ7" i="29"/>
  <c r="BD7" i="29"/>
  <c r="BE7" i="29" s="1"/>
  <c r="BF7" i="29" s="1"/>
  <c r="BG7" i="29"/>
  <c r="BH7" i="29"/>
  <c r="BI7" i="29"/>
  <c r="BJ7" i="29"/>
  <c r="BL7" i="29"/>
  <c r="AV8" i="29"/>
  <c r="AW8" i="29"/>
  <c r="AX8" i="29"/>
  <c r="AY8" i="29"/>
  <c r="AZ8" i="29"/>
  <c r="AV9" i="29"/>
  <c r="AW9" i="29"/>
  <c r="AX9" i="29"/>
  <c r="AY9" i="29"/>
  <c r="BD9" i="29" s="1"/>
  <c r="BE9" i="29" s="1"/>
  <c r="BF9" i="29" s="1"/>
  <c r="AZ9" i="29"/>
  <c r="AV10" i="29"/>
  <c r="AW10" i="29"/>
  <c r="AX10" i="29"/>
  <c r="AY10" i="29"/>
  <c r="BD10" i="29" s="1"/>
  <c r="BE10" i="29" s="1"/>
  <c r="BF10" i="29" s="1"/>
  <c r="AZ10" i="29"/>
  <c r="AV11" i="29"/>
  <c r="AW11" i="29"/>
  <c r="AX11" i="29"/>
  <c r="AY11" i="29"/>
  <c r="AZ11" i="29"/>
  <c r="AV12" i="29"/>
  <c r="AW12" i="29"/>
  <c r="AX12" i="29"/>
  <c r="AY12" i="29"/>
  <c r="AZ12" i="29"/>
  <c r="BD12" i="29"/>
  <c r="BE12" i="29" s="1"/>
  <c r="BF12" i="29" s="1"/>
  <c r="BL12" i="29" s="1"/>
  <c r="AV13" i="29"/>
  <c r="AW13" i="29"/>
  <c r="AX13" i="29"/>
  <c r="AY13" i="29"/>
  <c r="AZ13" i="29"/>
  <c r="BD13" i="29"/>
  <c r="BE13" i="29" s="1"/>
  <c r="BF13" i="29" s="1"/>
  <c r="AV14" i="29"/>
  <c r="AW14" i="29"/>
  <c r="BD14" i="29" s="1"/>
  <c r="BE14" i="29" s="1"/>
  <c r="BF14" i="29" s="1"/>
  <c r="AX14" i="29"/>
  <c r="AY14" i="29"/>
  <c r="AZ14" i="29"/>
  <c r="AV15" i="29"/>
  <c r="AW15" i="29"/>
  <c r="AX15" i="29"/>
  <c r="AY15" i="29"/>
  <c r="AZ15" i="29"/>
  <c r="BD15" i="29"/>
  <c r="BE15" i="29" s="1"/>
  <c r="BF15" i="29" s="1"/>
  <c r="AV16" i="29"/>
  <c r="AW16" i="29"/>
  <c r="AX16" i="29"/>
  <c r="AY16" i="29"/>
  <c r="AZ16" i="29"/>
  <c r="AV17" i="29"/>
  <c r="AW17" i="29"/>
  <c r="AX17" i="29"/>
  <c r="AY17" i="29"/>
  <c r="BD17" i="29" s="1"/>
  <c r="BE17" i="29" s="1"/>
  <c r="BF17" i="29" s="1"/>
  <c r="AZ17" i="29"/>
  <c r="AV18" i="29"/>
  <c r="AW18" i="29"/>
  <c r="AX18" i="29"/>
  <c r="AY18" i="29"/>
  <c r="BD18" i="29" s="1"/>
  <c r="BE18" i="29" s="1"/>
  <c r="BF18" i="29" s="1"/>
  <c r="AZ18" i="29"/>
  <c r="AV19" i="29"/>
  <c r="AW19" i="29"/>
  <c r="AX19" i="29"/>
  <c r="AY19" i="29"/>
  <c r="AZ19" i="29"/>
  <c r="AV20" i="29"/>
  <c r="AW20" i="29"/>
  <c r="AX20" i="29"/>
  <c r="AY20" i="29"/>
  <c r="AZ20" i="29"/>
  <c r="BD20" i="29"/>
  <c r="BE20" i="29" s="1"/>
  <c r="BF20" i="29" s="1"/>
  <c r="BL20" i="29" s="1"/>
  <c r="AV21" i="29"/>
  <c r="AW21" i="29"/>
  <c r="AX21" i="29"/>
  <c r="AY21" i="29"/>
  <c r="AZ21" i="29"/>
  <c r="BD21" i="29"/>
  <c r="BE21" i="29" s="1"/>
  <c r="BF21" i="29" s="1"/>
  <c r="AV22" i="29"/>
  <c r="AW22" i="29"/>
  <c r="BD22" i="29" s="1"/>
  <c r="BE22" i="29" s="1"/>
  <c r="BF22" i="29" s="1"/>
  <c r="AX22" i="29"/>
  <c r="AY22" i="29"/>
  <c r="AZ22" i="29"/>
  <c r="AV23" i="29"/>
  <c r="AW23" i="29"/>
  <c r="AX23" i="29"/>
  <c r="AY23" i="29"/>
  <c r="AZ23" i="29"/>
  <c r="BD23" i="29"/>
  <c r="BE23" i="29" s="1"/>
  <c r="BF23" i="29" s="1"/>
  <c r="AV24" i="29"/>
  <c r="AW24" i="29"/>
  <c r="AX24" i="29"/>
  <c r="AY24" i="29"/>
  <c r="AZ24" i="29"/>
  <c r="AV25" i="29"/>
  <c r="AW25" i="29"/>
  <c r="AX25" i="29"/>
  <c r="AY25" i="29"/>
  <c r="BD25" i="29" s="1"/>
  <c r="BE25" i="29" s="1"/>
  <c r="BF25" i="29" s="1"/>
  <c r="AZ25" i="29"/>
  <c r="AV26" i="29"/>
  <c r="AW26" i="29"/>
  <c r="BD26" i="29" s="1"/>
  <c r="BE26" i="29" s="1"/>
  <c r="BF26" i="29" s="1"/>
  <c r="AX26" i="29"/>
  <c r="AY26" i="29"/>
  <c r="AZ26" i="29"/>
  <c r="BA26" i="29"/>
  <c r="BB26" i="29"/>
  <c r="BC26" i="29"/>
  <c r="BG26" i="29"/>
  <c r="BH26" i="29"/>
  <c r="BI26" i="29"/>
  <c r="BJ26" i="29"/>
  <c r="BK26" i="29"/>
  <c r="BL26" i="29"/>
  <c r="AV27" i="29"/>
  <c r="AW27" i="29"/>
  <c r="BG27" i="29" s="1"/>
  <c r="AX27" i="29"/>
  <c r="AY27" i="29"/>
  <c r="AZ27" i="29"/>
  <c r="BA27" i="29"/>
  <c r="BB27" i="29"/>
  <c r="BC27" i="29"/>
  <c r="AV28" i="29"/>
  <c r="AW28" i="29"/>
  <c r="BG28" i="29" s="1"/>
  <c r="AX28" i="29"/>
  <c r="AY28" i="29"/>
  <c r="AZ28" i="29"/>
  <c r="BA28" i="29"/>
  <c r="BB28" i="29"/>
  <c r="BC28" i="29"/>
  <c r="BD28" i="29"/>
  <c r="BE28" i="29" s="1"/>
  <c r="BF28" i="29" s="1"/>
  <c r="BL28" i="29"/>
  <c r="AV29" i="29"/>
  <c r="AW29" i="29"/>
  <c r="AX29" i="29"/>
  <c r="AY29" i="29"/>
  <c r="AZ29" i="29"/>
  <c r="BA29" i="29"/>
  <c r="BB29" i="29"/>
  <c r="BC29" i="29"/>
  <c r="BD29" i="29"/>
  <c r="BE29" i="29" s="1"/>
  <c r="BF29" i="29" s="1"/>
  <c r="BG29" i="29"/>
  <c r="BH29" i="29"/>
  <c r="BI29" i="29"/>
  <c r="BJ29" i="29"/>
  <c r="BK29" i="29"/>
  <c r="BL29" i="29"/>
  <c r="AV30" i="29"/>
  <c r="AW30" i="29"/>
  <c r="BD30" i="29" s="1"/>
  <c r="BE30" i="29" s="1"/>
  <c r="BF30" i="29" s="1"/>
  <c r="AX30" i="29"/>
  <c r="AY30" i="29"/>
  <c r="AZ30" i="29"/>
  <c r="BA30" i="29"/>
  <c r="BB30" i="29"/>
  <c r="BC30" i="29"/>
  <c r="BG30" i="29"/>
  <c r="BJ30" i="29"/>
  <c r="BK30" i="29"/>
  <c r="BK22" i="29" l="1"/>
  <c r="BJ22" i="29"/>
  <c r="BG18" i="29"/>
  <c r="BI18" i="29"/>
  <c r="BJ18" i="29"/>
  <c r="BK18" i="29"/>
  <c r="BL18" i="29"/>
  <c r="BI17" i="29"/>
  <c r="BJ17" i="29"/>
  <c r="BK17" i="29"/>
  <c r="BL17" i="29"/>
  <c r="BG17" i="29"/>
  <c r="BJ23" i="29"/>
  <c r="BK23" i="29"/>
  <c r="BL23" i="29"/>
  <c r="BI23" i="29"/>
  <c r="BH23" i="29"/>
  <c r="BL21" i="29"/>
  <c r="BK21" i="29"/>
  <c r="BG21" i="29"/>
  <c r="BH21" i="29"/>
  <c r="BJ21" i="29"/>
  <c r="BG20" i="29"/>
  <c r="BK14" i="29"/>
  <c r="BG14" i="29"/>
  <c r="BJ14" i="29"/>
  <c r="BG10" i="29"/>
  <c r="BI10" i="29"/>
  <c r="BJ10" i="29"/>
  <c r="BK10" i="29"/>
  <c r="BL10" i="29"/>
  <c r="BH9" i="29"/>
  <c r="BJ9" i="29"/>
  <c r="BK9" i="29"/>
  <c r="BL9" i="29"/>
  <c r="BG9" i="29"/>
  <c r="BJ15" i="29"/>
  <c r="BK15" i="29"/>
  <c r="BL15" i="29"/>
  <c r="BG15" i="29"/>
  <c r="BI15" i="29"/>
  <c r="BH25" i="29"/>
  <c r="BJ25" i="29"/>
  <c r="BK25" i="29"/>
  <c r="BL25" i="29"/>
  <c r="BG25" i="29"/>
  <c r="BL13" i="29"/>
  <c r="BK13" i="29"/>
  <c r="BG13" i="29"/>
  <c r="BI13" i="29"/>
  <c r="BJ13" i="29"/>
  <c r="BG12" i="29"/>
  <c r="BK6" i="29"/>
  <c r="BG6" i="29"/>
  <c r="BH6" i="29"/>
  <c r="BJ6" i="29"/>
  <c r="BI6" i="29"/>
  <c r="BL5" i="29"/>
  <c r="BG5" i="29"/>
  <c r="BH5" i="29"/>
  <c r="BK5" i="29"/>
  <c r="BJ5" i="29"/>
  <c r="BI30" i="29"/>
  <c r="BK28" i="29"/>
  <c r="BL27" i="29"/>
  <c r="BD27" i="29"/>
  <c r="BE27" i="29" s="1"/>
  <c r="BF27" i="29" s="1"/>
  <c r="BI22" i="29"/>
  <c r="BK20" i="29"/>
  <c r="BD19" i="29"/>
  <c r="BE19" i="29" s="1"/>
  <c r="BF19" i="29" s="1"/>
  <c r="BJ19" i="29" s="1"/>
  <c r="BI14" i="29"/>
  <c r="BK12" i="29"/>
  <c r="BD11" i="29"/>
  <c r="BE11" i="29" s="1"/>
  <c r="BF11" i="29" s="1"/>
  <c r="BL11" i="29" s="1"/>
  <c r="BH30" i="29"/>
  <c r="BJ28" i="29"/>
  <c r="BK27" i="29"/>
  <c r="BH22" i="29"/>
  <c r="BJ20" i="29"/>
  <c r="BJ12" i="29"/>
  <c r="BI28" i="29"/>
  <c r="BJ27" i="29"/>
  <c r="BI20" i="29"/>
  <c r="BI12" i="29"/>
  <c r="BH28" i="29"/>
  <c r="BI27" i="29"/>
  <c r="BD24" i="29"/>
  <c r="BE24" i="29" s="1"/>
  <c r="BF24" i="29" s="1"/>
  <c r="BG24" i="29" s="1"/>
  <c r="BD16" i="29"/>
  <c r="BE16" i="29" s="1"/>
  <c r="BF16" i="29" s="1"/>
  <c r="BJ16" i="29" s="1"/>
  <c r="BD8" i="29"/>
  <c r="BE8" i="29" s="1"/>
  <c r="BF8" i="29" s="1"/>
  <c r="BJ8" i="29" s="1"/>
  <c r="BH27" i="29"/>
  <c r="BL30" i="29"/>
  <c r="BL22" i="29"/>
  <c r="BL14" i="29"/>
  <c r="BL6" i="29"/>
  <c r="BK8" i="29" l="1"/>
  <c r="BJ24" i="29"/>
  <c r="BK16" i="29"/>
  <c r="BK11" i="29"/>
  <c r="BL24" i="29"/>
  <c r="BL8" i="29"/>
  <c r="BI11" i="29"/>
  <c r="BG16" i="29"/>
  <c r="BG11" i="29"/>
  <c r="BL19" i="29"/>
  <c r="BI16" i="29"/>
  <c r="BJ11" i="29"/>
  <c r="BG8" i="29"/>
  <c r="BG19" i="29"/>
  <c r="BL16" i="29"/>
  <c r="BK19" i="29"/>
  <c r="BK24" i="29"/>
  <c r="BI19" i="29"/>
  <c r="BH8" i="29"/>
  <c r="BH24" i="29"/>
  <c r="C297" i="33" l="1"/>
  <c r="C295" i="33"/>
  <c r="C296" i="33"/>
  <c r="C302" i="33" l="1"/>
  <c r="AD29" i="29"/>
  <c r="AD28" i="29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" i="7"/>
  <c r="AF4" i="24" l="1"/>
  <c r="AF4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AA134" i="31"/>
  <c r="Y134" i="31"/>
  <c r="W134" i="31"/>
  <c r="AI145" i="31"/>
  <c r="AH145" i="31"/>
  <c r="AI142" i="31"/>
  <c r="AH142" i="31"/>
  <c r="AI139" i="31"/>
  <c r="AH139" i="31"/>
  <c r="AI136" i="31"/>
  <c r="AH136" i="31"/>
  <c r="AI133" i="31"/>
  <c r="AH133" i="31"/>
  <c r="AI130" i="31"/>
  <c r="AH130" i="31"/>
  <c r="AI127" i="31"/>
  <c r="AH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3"/>
  <c r="DD166" i="33"/>
  <c r="CA166" i="33"/>
  <c r="AU166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C108" i="30"/>
  <c r="CB108" i="30"/>
  <c r="CY106" i="30"/>
  <c r="CX106" i="30"/>
  <c r="CG106" i="30"/>
  <c r="CF106" i="30"/>
  <c r="CE106" i="30"/>
  <c r="CD106" i="30"/>
  <c r="CC106" i="30"/>
  <c r="CB106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6" i="30"/>
  <c r="BR106" i="30"/>
  <c r="BQ106" i="30"/>
  <c r="BP106" i="30"/>
  <c r="AX106" i="30"/>
  <c r="AW106" i="30"/>
  <c r="AV106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S87" i="30"/>
  <c r="CR87" i="30"/>
  <c r="CQ87" i="30"/>
  <c r="CP87" i="30"/>
  <c r="CO87" i="30"/>
  <c r="CN87" i="30"/>
  <c r="CM87" i="30"/>
  <c r="CL87" i="30"/>
  <c r="CS86" i="30"/>
  <c r="CR86" i="30"/>
  <c r="CQ86" i="30"/>
  <c r="CP86" i="30"/>
  <c r="CO86" i="30"/>
  <c r="CN86" i="30"/>
  <c r="CM86" i="30"/>
  <c r="CL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3"/>
  <c r="AV231" i="33"/>
  <c r="AU231" i="33"/>
  <c r="AV228" i="33"/>
  <c r="AU228" i="33"/>
  <c r="AN227" i="33"/>
  <c r="AN226" i="33"/>
  <c r="AN225" i="33"/>
  <c r="AN224" i="33"/>
  <c r="AM224" i="33"/>
  <c r="W275" i="31"/>
  <c r="AA260" i="31"/>
  <c r="AA259" i="31"/>
  <c r="AA258" i="31"/>
  <c r="AA257" i="31"/>
  <c r="AA256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V31" i="29"/>
  <c r="L31" i="29"/>
  <c r="K31" i="29"/>
  <c r="I31" i="29"/>
  <c r="C31" i="29"/>
  <c r="Z30" i="29"/>
  <c r="Y30" i="29"/>
  <c r="V30" i="29"/>
  <c r="L30" i="29"/>
  <c r="K30" i="29"/>
  <c r="I30" i="29"/>
  <c r="D30" i="29"/>
  <c r="C30" i="29"/>
  <c r="Z29" i="29"/>
  <c r="Y29" i="29"/>
  <c r="V29" i="29"/>
  <c r="L29" i="29"/>
  <c r="K29" i="29"/>
  <c r="I29" i="29"/>
  <c r="D29" i="29"/>
  <c r="C29" i="29"/>
  <c r="C10" i="29"/>
  <c r="K9" i="29"/>
  <c r="J9" i="29"/>
  <c r="I9" i="29"/>
  <c r="F9" i="29"/>
  <c r="E9" i="29"/>
  <c r="D9" i="29"/>
  <c r="C9" i="29"/>
  <c r="K8" i="29"/>
  <c r="J8" i="29"/>
  <c r="I8" i="29"/>
  <c r="F8" i="29"/>
  <c r="E8" i="29"/>
  <c r="D8" i="29"/>
  <c r="C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V24" i="28"/>
  <c r="CJ87" i="30" l="1"/>
  <c r="CH87" i="30"/>
  <c r="CH86" i="30"/>
  <c r="CJ86" i="30"/>
  <c r="CI86" i="30"/>
  <c r="CI87" i="30"/>
  <c r="CK86" i="30"/>
  <c r="CK87" i="30"/>
  <c r="CT86" i="30"/>
  <c r="CT87" i="30"/>
  <c r="CM107" i="30"/>
  <c r="CU86" i="30"/>
  <c r="CU87" i="30"/>
  <c r="CV86" i="30"/>
  <c r="CV87" i="30"/>
  <c r="CG86" i="30"/>
  <c r="CW86" i="30"/>
  <c r="CG87" i="30"/>
  <c r="CW87" i="30"/>
  <c r="BH106" i="30"/>
  <c r="CE108" i="30"/>
  <c r="CU108" i="30"/>
  <c r="CU107" i="30"/>
  <c r="AZ106" i="30"/>
  <c r="CU106" i="30"/>
  <c r="BA106" i="30"/>
  <c r="BI106" i="30"/>
  <c r="CV107" i="30"/>
  <c r="CF108" i="30"/>
  <c r="CV108" i="30"/>
  <c r="BB106" i="30"/>
  <c r="BJ106" i="30"/>
  <c r="CW107" i="30"/>
  <c r="CG108" i="30"/>
  <c r="CW108" i="30"/>
  <c r="BC106" i="30"/>
  <c r="BK106" i="30"/>
  <c r="CH106" i="30"/>
  <c r="CH107" i="30"/>
  <c r="CH108" i="30"/>
  <c r="CP108" i="30"/>
  <c r="BD106" i="30"/>
  <c r="BL106" i="30"/>
  <c r="CI107" i="30"/>
  <c r="CI108" i="30"/>
  <c r="CQ108" i="30"/>
  <c r="BE106" i="30"/>
  <c r="BM106" i="30"/>
  <c r="CJ106" i="30"/>
  <c r="CJ107" i="30"/>
  <c r="CJ108" i="30"/>
  <c r="CR108" i="30"/>
  <c r="BF106" i="30"/>
  <c r="BN106" i="30"/>
  <c r="CK106" i="30"/>
  <c r="CK107" i="30"/>
  <c r="CK108" i="30"/>
  <c r="AY106" i="30"/>
  <c r="BG106" i="30"/>
  <c r="BO106" i="30"/>
  <c r="CT106" i="30"/>
  <c r="CL107" i="30"/>
  <c r="CT107" i="30"/>
  <c r="CD108" i="30"/>
  <c r="CL108" i="30"/>
  <c r="R8" i="7"/>
  <c r="S8" i="7"/>
  <c r="BA10" i="29" s="1"/>
  <c r="U8" i="7"/>
  <c r="BC10" i="29" s="1"/>
  <c r="R9" i="7"/>
  <c r="S9" i="7"/>
  <c r="BA11" i="29" s="1"/>
  <c r="U9" i="7"/>
  <c r="BC11" i="29" s="1"/>
  <c r="S4" i="7" l="1"/>
  <c r="BA6" i="29" s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V187" i="29" l="1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S154" i="33" s="1"/>
  <c r="BR101" i="33"/>
  <c r="BR154" i="33" s="1"/>
  <c r="BQ101" i="33"/>
  <c r="BQ154" i="33" s="1"/>
  <c r="BP101" i="33"/>
  <c r="BO101" i="33"/>
  <c r="BO154" i="33" s="1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D154" i="33" s="1"/>
  <c r="BC101" i="33"/>
  <c r="BC154" i="33" s="1"/>
  <c r="BB101" i="33"/>
  <c r="BB154" i="33" s="1"/>
  <c r="BA101" i="33"/>
  <c r="BA154" i="33" s="1"/>
  <c r="AZ101" i="33"/>
  <c r="AZ154" i="33" s="1"/>
  <c r="AY101" i="33"/>
  <c r="AY154" i="33" s="1"/>
  <c r="AX101" i="33"/>
  <c r="AW101" i="33"/>
  <c r="AW154" i="33" s="1"/>
  <c r="AV101" i="33"/>
  <c r="AV154" i="33" s="1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Z89" i="33" s="1"/>
  <c r="AU88" i="33"/>
  <c r="AU87" i="33"/>
  <c r="BR87" i="33" s="1"/>
  <c r="C83" i="33"/>
  <c r="C62" i="33"/>
  <c r="C61" i="33"/>
  <c r="D61" i="33" s="1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D4" i="33" s="1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P154" i="33"/>
  <c r="BN154" i="33"/>
  <c r="BH154" i="33"/>
  <c r="BF154" i="33"/>
  <c r="AX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N152" i="33"/>
  <c r="BJ152" i="33"/>
  <c r="BI152" i="33"/>
  <c r="BF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I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57" i="33"/>
  <c r="D54" i="33"/>
  <c r="D49" i="33"/>
  <c r="D33" i="33"/>
  <c r="D29" i="33"/>
  <c r="D25" i="33"/>
  <c r="D24" i="33"/>
  <c r="D16" i="33"/>
  <c r="D15" i="33"/>
  <c r="D6" i="33"/>
  <c r="D5" i="33"/>
  <c r="D1" i="33"/>
  <c r="BJ89" i="33" l="1"/>
  <c r="CM89" i="33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B152" i="31"/>
  <c r="S52" i="31"/>
  <c r="I218" i="33" s="1"/>
  <c r="S51" i="31"/>
  <c r="I217" i="33" s="1"/>
  <c r="S50" i="31"/>
  <c r="I216" i="33" s="1"/>
  <c r="Z35" i="3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AU26" i="30"/>
  <c r="E22" i="30"/>
  <c r="E21" i="30"/>
  <c r="E20" i="30"/>
  <c r="E18" i="30"/>
  <c r="C18" i="30"/>
  <c r="B18" i="30"/>
  <c r="E17" i="30"/>
  <c r="C17" i="30"/>
  <c r="B17" i="30"/>
  <c r="E16" i="30"/>
  <c r="C16" i="30"/>
  <c r="D16" i="30" s="1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X6" i="30"/>
  <c r="CX17" i="30" s="1"/>
  <c r="CX62" i="30" s="1"/>
  <c r="CW6" i="30"/>
  <c r="CW17" i="30" s="1"/>
  <c r="CV6" i="30"/>
  <c r="CU6" i="30"/>
  <c r="CT6" i="30"/>
  <c r="CS6" i="30"/>
  <c r="CR6" i="30"/>
  <c r="CQ6" i="30"/>
  <c r="CQ17" i="30" s="1"/>
  <c r="CP6" i="30"/>
  <c r="CP17" i="30" s="1"/>
  <c r="CO6" i="30"/>
  <c r="CO17" i="30" s="1"/>
  <c r="CN6" i="30"/>
  <c r="CM6" i="30"/>
  <c r="CL6" i="30"/>
  <c r="CK6" i="30"/>
  <c r="CJ6" i="30"/>
  <c r="CI6" i="30"/>
  <c r="CI17" i="30" s="1"/>
  <c r="CH6" i="30"/>
  <c r="CH17" i="30" s="1"/>
  <c r="CG6" i="30"/>
  <c r="CG92" i="30" s="1"/>
  <c r="CF6" i="30"/>
  <c r="CF92" i="30" s="1"/>
  <c r="CE6" i="30"/>
  <c r="CD6" i="30"/>
  <c r="CC6" i="30"/>
  <c r="CB6" i="30"/>
  <c r="BZ6" i="30"/>
  <c r="BZ62" i="30" s="1"/>
  <c r="CY5" i="30"/>
  <c r="CY16" i="30" s="1"/>
  <c r="CY61" i="30" s="1"/>
  <c r="CY107" i="30" s="1"/>
  <c r="CX5" i="30"/>
  <c r="CW5" i="30"/>
  <c r="CV5" i="30"/>
  <c r="CU5" i="30"/>
  <c r="CT5" i="30"/>
  <c r="CS5" i="30"/>
  <c r="CR5" i="30"/>
  <c r="CR16" i="30" s="1"/>
  <c r="CQ5" i="30"/>
  <c r="CQ16" i="30" s="1"/>
  <c r="CP5" i="30"/>
  <c r="CP16" i="30" s="1"/>
  <c r="CO5" i="30"/>
  <c r="CN5" i="30"/>
  <c r="CM5" i="30"/>
  <c r="CL5" i="30"/>
  <c r="CK5" i="30"/>
  <c r="CJ5" i="30"/>
  <c r="CI5" i="30"/>
  <c r="CI16" i="30" s="1"/>
  <c r="CH5" i="30"/>
  <c r="CH16" i="30" s="1"/>
  <c r="CG5" i="30"/>
  <c r="CG91" i="30" s="1"/>
  <c r="CF5" i="30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I90" i="30" s="1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R40" i="30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I93" i="30" s="1"/>
  <c r="BH40" i="30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Q91" i="30" s="1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I91" i="30" s="1"/>
  <c r="BH38" i="30"/>
  <c r="BG38" i="30"/>
  <c r="BF38" i="30"/>
  <c r="BF91" i="30" s="1"/>
  <c r="BE38" i="30"/>
  <c r="BE91" i="30" s="1"/>
  <c r="BD38" i="30"/>
  <c r="BD91" i="30" s="1"/>
  <c r="BC38" i="30"/>
  <c r="BC91" i="30" s="1"/>
  <c r="BB38" i="30"/>
  <c r="BA38" i="30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N90" i="30" s="1"/>
  <c r="BM37" i="30"/>
  <c r="BL37" i="30"/>
  <c r="BL90" i="30" s="1"/>
  <c r="BK37" i="30"/>
  <c r="BJ37" i="30"/>
  <c r="BI37" i="30"/>
  <c r="BH37" i="30"/>
  <c r="BG37" i="30"/>
  <c r="BF37" i="30"/>
  <c r="BF90" i="30" s="1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L7" i="30"/>
  <c r="BK7" i="30"/>
  <c r="BJ7" i="30"/>
  <c r="BI7" i="30"/>
  <c r="BH7" i="30"/>
  <c r="BH18" i="30" s="1"/>
  <c r="BG7" i="30"/>
  <c r="BF7" i="30"/>
  <c r="BF18" i="30" s="1"/>
  <c r="BE7" i="30"/>
  <c r="BD7" i="30"/>
  <c r="BC7" i="30"/>
  <c r="BB7" i="30"/>
  <c r="BA7" i="30"/>
  <c r="AZ7" i="30"/>
  <c r="AZ18" i="30" s="1"/>
  <c r="AY7" i="30"/>
  <c r="AX7" i="30"/>
  <c r="AX18" i="30" s="1"/>
  <c r="AW7" i="30"/>
  <c r="AV7" i="30"/>
  <c r="BS6" i="30"/>
  <c r="BR6" i="30"/>
  <c r="BQ6" i="30"/>
  <c r="BP6" i="30"/>
  <c r="BP17" i="30" s="1"/>
  <c r="BO6" i="30"/>
  <c r="BN6" i="30"/>
  <c r="BN17" i="30" s="1"/>
  <c r="BM6" i="30"/>
  <c r="BM92" i="30" s="1"/>
  <c r="BL6" i="30"/>
  <c r="BK6" i="30"/>
  <c r="BJ6" i="30"/>
  <c r="BI6" i="30"/>
  <c r="BH6" i="30"/>
  <c r="BH17" i="30" s="1"/>
  <c r="BG6" i="30"/>
  <c r="BF6" i="30"/>
  <c r="BF17" i="30" s="1"/>
  <c r="BE6" i="30"/>
  <c r="BD6" i="30"/>
  <c r="BC6" i="30"/>
  <c r="BB6" i="30"/>
  <c r="BA6" i="30"/>
  <c r="AZ6" i="30"/>
  <c r="AZ17" i="30" s="1"/>
  <c r="AY6" i="30"/>
  <c r="AX6" i="30"/>
  <c r="AX17" i="30" s="1"/>
  <c r="AW6" i="30"/>
  <c r="AW92" i="30" s="1"/>
  <c r="AV6" i="30"/>
  <c r="BS5" i="30"/>
  <c r="BR5" i="30"/>
  <c r="BQ5" i="30"/>
  <c r="BN5" i="30"/>
  <c r="BN16" i="30" s="1"/>
  <c r="BM5" i="30"/>
  <c r="BL5" i="30"/>
  <c r="BL16" i="30" s="1"/>
  <c r="BK5" i="30"/>
  <c r="BJ5" i="30"/>
  <c r="BI5" i="30"/>
  <c r="BH5" i="30"/>
  <c r="BG5" i="30"/>
  <c r="BF5" i="30"/>
  <c r="BF16" i="30" s="1"/>
  <c r="BE5" i="30"/>
  <c r="BD5" i="30"/>
  <c r="BD16" i="30" s="1"/>
  <c r="BC5" i="30"/>
  <c r="BC16" i="30" s="1"/>
  <c r="BB5" i="30"/>
  <c r="BA5" i="30"/>
  <c r="AZ5" i="30"/>
  <c r="AY5" i="30"/>
  <c r="AX5" i="30"/>
  <c r="AX16" i="30" s="1"/>
  <c r="AW5" i="30"/>
  <c r="AV5" i="30"/>
  <c r="AV16" i="30" s="1"/>
  <c r="BP4" i="30"/>
  <c r="BP90" i="30" s="1"/>
  <c r="BN4" i="30"/>
  <c r="BM4" i="30"/>
  <c r="BL4" i="30"/>
  <c r="BK4" i="30"/>
  <c r="BJ4" i="30"/>
  <c r="BJ15" i="30" s="1"/>
  <c r="BI4" i="30"/>
  <c r="BH4" i="30"/>
  <c r="BG4" i="30"/>
  <c r="BG15" i="30" s="1"/>
  <c r="BF4" i="30"/>
  <c r="BE4" i="30"/>
  <c r="BD4" i="30"/>
  <c r="BC4" i="30"/>
  <c r="BB4" i="30"/>
  <c r="BB90" i="30" s="1"/>
  <c r="BA4" i="30"/>
  <c r="AZ4" i="30"/>
  <c r="AZ15" i="30" s="1"/>
  <c r="AY4" i="30"/>
  <c r="AY15" i="30" s="1"/>
  <c r="AX4" i="30"/>
  <c r="AW4" i="30"/>
  <c r="AV4" i="30"/>
  <c r="Z254" i="3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T39" i="31"/>
  <c r="V39" i="31" s="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S93" i="30"/>
  <c r="BR93" i="30"/>
  <c r="BQ93" i="30"/>
  <c r="BP93" i="30"/>
  <c r="BO93" i="30"/>
  <c r="BM93" i="30"/>
  <c r="BK93" i="30"/>
  <c r="BH93" i="30"/>
  <c r="BG93" i="30"/>
  <c r="BE93" i="30"/>
  <c r="BB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J92" i="30"/>
  <c r="BI92" i="30"/>
  <c r="BG92" i="30"/>
  <c r="BE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Y91" i="30"/>
  <c r="CW91" i="30"/>
  <c r="CV91" i="30"/>
  <c r="CT91" i="30"/>
  <c r="CQ91" i="30"/>
  <c r="CP91" i="30"/>
  <c r="CO91" i="30"/>
  <c r="CN91" i="30"/>
  <c r="CL91" i="30"/>
  <c r="CI91" i="30"/>
  <c r="CF91" i="30"/>
  <c r="CD91" i="30"/>
  <c r="BS91" i="30"/>
  <c r="BR91" i="30"/>
  <c r="BP91" i="30"/>
  <c r="BO91" i="30"/>
  <c r="BM91" i="30"/>
  <c r="BH91" i="30"/>
  <c r="BG91" i="30"/>
  <c r="BB91" i="30"/>
  <c r="BA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Y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O27" i="30"/>
  <c r="BN27" i="30"/>
  <c r="BL27" i="30"/>
  <c r="BG27" i="30"/>
  <c r="BF27" i="30"/>
  <c r="BD27" i="30"/>
  <c r="AY27" i="30"/>
  <c r="AX27" i="30"/>
  <c r="AV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V17" i="30"/>
  <c r="CT17" i="30"/>
  <c r="CN17" i="30"/>
  <c r="CL17" i="30"/>
  <c r="CF17" i="30"/>
  <c r="CD17" i="30"/>
  <c r="CD62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V16" i="30"/>
  <c r="CT16" i="30"/>
  <c r="CN16" i="30"/>
  <c r="CL16" i="30"/>
  <c r="CF16" i="30"/>
  <c r="CF61" i="30" s="1"/>
  <c r="CF107" i="30" s="1"/>
  <c r="CD16" i="30"/>
  <c r="CD61" i="30" s="1"/>
  <c r="CD107" i="30" s="1"/>
  <c r="BS16" i="30"/>
  <c r="BQ16" i="30"/>
  <c r="BK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X15" i="30"/>
  <c r="CX60" i="30" s="1"/>
  <c r="CV15" i="30"/>
  <c r="CT15" i="30"/>
  <c r="CP15" i="30"/>
  <c r="CN15" i="30"/>
  <c r="CL15" i="30"/>
  <c r="CH15" i="30"/>
  <c r="CF15" i="30"/>
  <c r="CF60" i="30" s="1"/>
  <c r="CD15" i="30"/>
  <c r="CD60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M18" i="30"/>
  <c r="BL18" i="30"/>
  <c r="BJ18" i="30"/>
  <c r="BE18" i="30"/>
  <c r="BD18" i="30"/>
  <c r="BB18" i="30"/>
  <c r="AW18" i="30"/>
  <c r="AV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U17" i="30"/>
  <c r="CS17" i="30"/>
  <c r="CR17" i="30"/>
  <c r="CM17" i="30"/>
  <c r="CK17" i="30"/>
  <c r="CJ17" i="30"/>
  <c r="CE17" i="30"/>
  <c r="CE62" i="30" s="1"/>
  <c r="CC17" i="30"/>
  <c r="CB17" i="30"/>
  <c r="CB62" i="30" s="1"/>
  <c r="BR17" i="30"/>
  <c r="BM17" i="30"/>
  <c r="BL17" i="30"/>
  <c r="BJ17" i="30"/>
  <c r="BE17" i="30"/>
  <c r="BD17" i="30"/>
  <c r="BB17" i="30"/>
  <c r="AW17" i="30"/>
  <c r="AV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J16" i="30"/>
  <c r="BH16" i="30"/>
  <c r="BE16" i="30"/>
  <c r="BB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E15" i="30"/>
  <c r="CE60" i="30" s="1"/>
  <c r="CB15" i="30"/>
  <c r="CB60" i="30" s="1"/>
  <c r="BP15" i="30"/>
  <c r="BN15" i="30"/>
  <c r="BM15" i="30"/>
  <c r="BL15" i="30"/>
  <c r="BH15" i="30"/>
  <c r="BF15" i="30"/>
  <c r="BE15" i="30"/>
  <c r="BD15" i="30"/>
  <c r="AX15" i="30"/>
  <c r="AW15" i="30"/>
  <c r="AV15" i="30"/>
  <c r="DD2" i="30"/>
  <c r="DD120" i="33" s="1"/>
  <c r="CA2" i="30"/>
  <c r="CA120" i="33" s="1"/>
  <c r="AZ4" i="29"/>
  <c r="AY4" i="29"/>
  <c r="AX4" i="29"/>
  <c r="AW4" i="29"/>
  <c r="BD4" i="29" s="1"/>
  <c r="BE4" i="29" s="1"/>
  <c r="AV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J30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C25" i="29"/>
  <c r="C20" i="29"/>
  <c r="C4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AC26" i="28" s="1"/>
  <c r="U25" i="28"/>
  <c r="T25" i="28"/>
  <c r="AA25" i="28" s="1"/>
  <c r="U24" i="28"/>
  <c r="T24" i="28"/>
  <c r="K71" i="28"/>
  <c r="C39" i="33" s="1"/>
  <c r="D39" i="33" s="1"/>
  <c r="K72" i="28"/>
  <c r="C40" i="33" s="1"/>
  <c r="D40" i="33" s="1"/>
  <c r="K11" i="28"/>
  <c r="K10" i="28"/>
  <c r="C9" i="33" s="1"/>
  <c r="D9" i="33" s="1"/>
  <c r="W136" i="31" l="1"/>
  <c r="AG127" i="31"/>
  <c r="AG142" i="31"/>
  <c r="AG133" i="31"/>
  <c r="AG136" i="31"/>
  <c r="AG139" i="31"/>
  <c r="AG130" i="31"/>
  <c r="AG145" i="31"/>
  <c r="U133" i="31"/>
  <c r="U134" i="31"/>
  <c r="U137" i="31"/>
  <c r="U132" i="31"/>
  <c r="U136" i="31"/>
  <c r="U135" i="31"/>
  <c r="AF142" i="31"/>
  <c r="AF136" i="31"/>
  <c r="AF130" i="31"/>
  <c r="AF145" i="31"/>
  <c r="AF139" i="31"/>
  <c r="AF133" i="31"/>
  <c r="AF127" i="31"/>
  <c r="CX91" i="30"/>
  <c r="S3" i="29"/>
  <c r="D225" i="33"/>
  <c r="D239" i="33"/>
  <c r="D223" i="33"/>
  <c r="D224" i="33"/>
  <c r="I220" i="33"/>
  <c r="I221" i="33" s="1"/>
  <c r="Z165" i="28"/>
  <c r="AC165" i="28" s="1"/>
  <c r="Y165" i="28"/>
  <c r="AB165" i="28" s="1"/>
  <c r="T165" i="28"/>
  <c r="X165" i="28"/>
  <c r="AA165" i="28" s="1"/>
  <c r="Y165" i="31"/>
  <c r="AB165" i="31" s="1"/>
  <c r="X165" i="31"/>
  <c r="AA165" i="31" s="1"/>
  <c r="T165" i="31"/>
  <c r="V165" i="31" s="1"/>
  <c r="Z165" i="31"/>
  <c r="AC165" i="31" s="1"/>
  <c r="T169" i="28"/>
  <c r="AF169" i="28" s="1"/>
  <c r="X169" i="28"/>
  <c r="AA169" i="28" s="1"/>
  <c r="Z169" i="28"/>
  <c r="AC169" i="28" s="1"/>
  <c r="Y169" i="28"/>
  <c r="AB169" i="28" s="1"/>
  <c r="T170" i="28"/>
  <c r="U170" i="28" s="1"/>
  <c r="Z170" i="28"/>
  <c r="AC170" i="28" s="1"/>
  <c r="Y170" i="28"/>
  <c r="AB170" i="28" s="1"/>
  <c r="X170" i="28"/>
  <c r="AA170" i="28" s="1"/>
  <c r="T169" i="31"/>
  <c r="AI169" i="31" s="1"/>
  <c r="Z169" i="31"/>
  <c r="AC169" i="31" s="1"/>
  <c r="Y169" i="31"/>
  <c r="AB169" i="31" s="1"/>
  <c r="X169" i="31"/>
  <c r="AA169" i="31" s="1"/>
  <c r="Y170" i="31"/>
  <c r="AB170" i="31" s="1"/>
  <c r="T170" i="31"/>
  <c r="U170" i="31" s="1"/>
  <c r="X170" i="31"/>
  <c r="AA170" i="31" s="1"/>
  <c r="Z170" i="31"/>
  <c r="AC170" i="31" s="1"/>
  <c r="Z167" i="31"/>
  <c r="AC167" i="31" s="1"/>
  <c r="T167" i="31"/>
  <c r="Y167" i="31"/>
  <c r="AB167" i="31" s="1"/>
  <c r="X167" i="31"/>
  <c r="AA167" i="31" s="1"/>
  <c r="T167" i="28"/>
  <c r="Z167" i="28"/>
  <c r="AC167" i="28" s="1"/>
  <c r="Y167" i="28"/>
  <c r="AB167" i="28" s="1"/>
  <c r="X167" i="28"/>
  <c r="AA167" i="28" s="1"/>
  <c r="Y168" i="28"/>
  <c r="AB168" i="28" s="1"/>
  <c r="T168" i="28"/>
  <c r="X168" i="28"/>
  <c r="AA168" i="28" s="1"/>
  <c r="Z168" i="28"/>
  <c r="AC168" i="28" s="1"/>
  <c r="T168" i="31"/>
  <c r="Z168" i="31"/>
  <c r="AC168" i="31" s="1"/>
  <c r="Y168" i="31"/>
  <c r="AB168" i="31" s="1"/>
  <c r="X168" i="31"/>
  <c r="AA168" i="31" s="1"/>
  <c r="Z166" i="28"/>
  <c r="AC166" i="28" s="1"/>
  <c r="T166" i="28"/>
  <c r="Y166" i="28"/>
  <c r="AB166" i="28" s="1"/>
  <c r="X166" i="28"/>
  <c r="AA166" i="28" s="1"/>
  <c r="Z166" i="31"/>
  <c r="AC166" i="31" s="1"/>
  <c r="Y166" i="31"/>
  <c r="AB166" i="31" s="1"/>
  <c r="X166" i="31"/>
  <c r="AA166" i="31" s="1"/>
  <c r="T166" i="31"/>
  <c r="Z164" i="31"/>
  <c r="AC164" i="31" s="1"/>
  <c r="Y164" i="31"/>
  <c r="AB164" i="31" s="1"/>
  <c r="T164" i="31"/>
  <c r="U164" i="31" s="1"/>
  <c r="X164" i="31"/>
  <c r="AA164" i="31" s="1"/>
  <c r="T164" i="28"/>
  <c r="Z164" i="28"/>
  <c r="AC164" i="28" s="1"/>
  <c r="Y164" i="28"/>
  <c r="AB164" i="28" s="1"/>
  <c r="X164" i="28"/>
  <c r="AA164" i="28" s="1"/>
  <c r="Z188" i="28"/>
  <c r="AC188" i="28" s="1"/>
  <c r="Y188" i="28"/>
  <c r="AB188" i="28" s="1"/>
  <c r="X188" i="28"/>
  <c r="AA188" i="28" s="1"/>
  <c r="T188" i="28"/>
  <c r="Z188" i="31"/>
  <c r="AC188" i="31" s="1"/>
  <c r="Y188" i="31"/>
  <c r="AB188" i="31" s="1"/>
  <c r="X188" i="31"/>
  <c r="AA188" i="31" s="1"/>
  <c r="T188" i="31"/>
  <c r="AF188" i="31" s="1"/>
  <c r="T187" i="31"/>
  <c r="Z187" i="31"/>
  <c r="AC187" i="31" s="1"/>
  <c r="Y187" i="31"/>
  <c r="AB187" i="31" s="1"/>
  <c r="X187" i="31"/>
  <c r="AA187" i="31" s="1"/>
  <c r="X186" i="28"/>
  <c r="AA186" i="28" s="1"/>
  <c r="Z186" i="28"/>
  <c r="AC186" i="28" s="1"/>
  <c r="Y186" i="28"/>
  <c r="AB186" i="28" s="1"/>
  <c r="T186" i="28"/>
  <c r="Z187" i="28"/>
  <c r="AC187" i="28" s="1"/>
  <c r="T187" i="28"/>
  <c r="Y187" i="28"/>
  <c r="AB187" i="28" s="1"/>
  <c r="X187" i="28"/>
  <c r="AA187" i="28" s="1"/>
  <c r="Y186" i="31"/>
  <c r="AB186" i="31" s="1"/>
  <c r="X186" i="31"/>
  <c r="AA186" i="31" s="1"/>
  <c r="Z186" i="31"/>
  <c r="AC186" i="31" s="1"/>
  <c r="T186" i="31"/>
  <c r="W186" i="31" s="1"/>
  <c r="T189" i="28"/>
  <c r="Z189" i="28"/>
  <c r="AC189" i="28" s="1"/>
  <c r="Y189" i="28"/>
  <c r="AB189" i="28" s="1"/>
  <c r="X189" i="28"/>
  <c r="AA189" i="28" s="1"/>
  <c r="T189" i="31"/>
  <c r="V189" i="31" s="1"/>
  <c r="Z189" i="31"/>
  <c r="AC189" i="31" s="1"/>
  <c r="Y189" i="31"/>
  <c r="AB189" i="31" s="1"/>
  <c r="X189" i="31"/>
  <c r="AA189" i="31" s="1"/>
  <c r="Z192" i="31"/>
  <c r="AC192" i="31" s="1"/>
  <c r="Y192" i="31"/>
  <c r="AB192" i="31" s="1"/>
  <c r="X192" i="31"/>
  <c r="AA192" i="31" s="1"/>
  <c r="T192" i="31"/>
  <c r="T192" i="28"/>
  <c r="Z192" i="28"/>
  <c r="AC192" i="28" s="1"/>
  <c r="Y192" i="28"/>
  <c r="AB192" i="28" s="1"/>
  <c r="X192" i="28"/>
  <c r="AA192" i="28" s="1"/>
  <c r="Y191" i="28"/>
  <c r="AB191" i="28" s="1"/>
  <c r="T191" i="28"/>
  <c r="X191" i="28"/>
  <c r="AA191" i="28" s="1"/>
  <c r="Z191" i="28"/>
  <c r="AC191" i="28" s="1"/>
  <c r="T191" i="31"/>
  <c r="Z191" i="31"/>
  <c r="AC191" i="31" s="1"/>
  <c r="Y191" i="31"/>
  <c r="AB191" i="31" s="1"/>
  <c r="X191" i="31"/>
  <c r="AA191" i="31" s="1"/>
  <c r="X190" i="28"/>
  <c r="AA190" i="28" s="1"/>
  <c r="T190" i="28"/>
  <c r="U190" i="28" s="1"/>
  <c r="Z190" i="28"/>
  <c r="AC190" i="28" s="1"/>
  <c r="Y190" i="28"/>
  <c r="AB190" i="28" s="1"/>
  <c r="Y190" i="31"/>
  <c r="AB190" i="31" s="1"/>
  <c r="X190" i="31"/>
  <c r="AA190" i="31" s="1"/>
  <c r="Z190" i="31"/>
  <c r="AC190" i="31" s="1"/>
  <c r="T190" i="31"/>
  <c r="V190" i="31" s="1"/>
  <c r="CB90" i="30"/>
  <c r="CE90" i="30"/>
  <c r="CX92" i="30"/>
  <c r="AC24" i="28"/>
  <c r="S4" i="29"/>
  <c r="S20" i="29"/>
  <c r="AB171" i="28"/>
  <c r="AA171" i="28"/>
  <c r="AB171" i="31"/>
  <c r="AA171" i="31"/>
  <c r="AC171" i="31"/>
  <c r="K113" i="31"/>
  <c r="K111" i="31"/>
  <c r="K110" i="31"/>
  <c r="CC91" i="30"/>
  <c r="CK91" i="30"/>
  <c r="CE91" i="30"/>
  <c r="CE92" i="30"/>
  <c r="CW90" i="30"/>
  <c r="CU90" i="30"/>
  <c r="CG15" i="30"/>
  <c r="CG60" i="30" s="1"/>
  <c r="Q71" i="29"/>
  <c r="P71" i="29"/>
  <c r="BK92" i="30"/>
  <c r="BS92" i="30"/>
  <c r="AV92" i="30"/>
  <c r="BD92" i="30"/>
  <c r="BL92" i="30"/>
  <c r="BC90" i="30"/>
  <c r="AX90" i="30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J124" i="31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DE75" i="30"/>
  <c r="DE64" i="30"/>
  <c r="BJ29" i="30"/>
  <c r="DO33" i="30"/>
  <c r="CH91" i="30"/>
  <c r="AC172" i="31"/>
  <c r="AB172" i="31"/>
  <c r="AA172" i="31"/>
  <c r="W172" i="31"/>
  <c r="AB176" i="31"/>
  <c r="AA176" i="31"/>
  <c r="AJ176" i="31"/>
  <c r="AC176" i="31"/>
  <c r="AC180" i="31"/>
  <c r="AA180" i="31"/>
  <c r="AB180" i="31"/>
  <c r="AB184" i="31"/>
  <c r="U184" i="31"/>
  <c r="AC184" i="31"/>
  <c r="AC196" i="31"/>
  <c r="AA196" i="31"/>
  <c r="AB196" i="31"/>
  <c r="W196" i="31"/>
  <c r="AB200" i="31"/>
  <c r="AA200" i="31"/>
  <c r="AF200" i="31"/>
  <c r="AC200" i="31"/>
  <c r="AC204" i="31"/>
  <c r="AA204" i="31"/>
  <c r="AB204" i="31"/>
  <c r="F16" i="30"/>
  <c r="AK191" i="33" s="1"/>
  <c r="AO191" i="33" s="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AC173" i="31"/>
  <c r="AB173" i="31"/>
  <c r="AA173" i="31"/>
  <c r="AI173" i="31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C197" i="31"/>
  <c r="AA197" i="31"/>
  <c r="AB197" i="31"/>
  <c r="AJ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F172" i="28"/>
  <c r="AC172" i="28"/>
  <c r="AB172" i="28"/>
  <c r="AC196" i="28"/>
  <c r="AB196" i="28"/>
  <c r="AB181" i="28"/>
  <c r="AC181" i="28"/>
  <c r="AA197" i="28"/>
  <c r="AB197" i="28"/>
  <c r="AC197" i="28"/>
  <c r="G116" i="29"/>
  <c r="CY78" i="30"/>
  <c r="CY67" i="30"/>
  <c r="CN79" i="30"/>
  <c r="CN68" i="30"/>
  <c r="CY90" i="30"/>
  <c r="AC174" i="28"/>
  <c r="AB174" i="28"/>
  <c r="AB178" i="28"/>
  <c r="AA178" i="28"/>
  <c r="AC182" i="28"/>
  <c r="AB182" i="28"/>
  <c r="V194" i="28"/>
  <c r="AB194" i="28"/>
  <c r="AA194" i="28"/>
  <c r="AC198" i="28"/>
  <c r="AB198" i="28"/>
  <c r="AJ198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L114" i="31"/>
  <c r="DG80" i="30"/>
  <c r="DG69" i="30"/>
  <c r="AA173" i="28"/>
  <c r="AC173" i="28"/>
  <c r="AB173" i="28"/>
  <c r="AJ173" i="28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U174" i="31"/>
  <c r="AB174" i="31"/>
  <c r="AA174" i="31"/>
  <c r="AC174" i="31"/>
  <c r="AC178" i="31"/>
  <c r="AA178" i="31"/>
  <c r="AG178" i="31"/>
  <c r="AB182" i="31"/>
  <c r="AC182" i="31"/>
  <c r="AA182" i="31"/>
  <c r="AA194" i="31"/>
  <c r="AC194" i="31"/>
  <c r="AB194" i="31"/>
  <c r="U194" i="31"/>
  <c r="AC198" i="31"/>
  <c r="AA198" i="31"/>
  <c r="AA202" i="31"/>
  <c r="AC202" i="31"/>
  <c r="AB202" i="31"/>
  <c r="AF202" i="31"/>
  <c r="AC206" i="31"/>
  <c r="AI206" i="31"/>
  <c r="AA206" i="31"/>
  <c r="AB206" i="31"/>
  <c r="U171" i="28"/>
  <c r="AC183" i="28"/>
  <c r="V183" i="28"/>
  <c r="AB183" i="28"/>
  <c r="AA183" i="28"/>
  <c r="AJ195" i="28"/>
  <c r="AC195" i="28"/>
  <c r="AB195" i="28"/>
  <c r="AA195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205" i="28"/>
  <c r="AB205" i="28"/>
  <c r="AC175" i="28"/>
  <c r="AB175" i="28"/>
  <c r="AA175" i="28"/>
  <c r="AC179" i="28"/>
  <c r="AI179" i="28"/>
  <c r="AB179" i="28"/>
  <c r="AA179" i="28"/>
  <c r="AC199" i="28"/>
  <c r="AB199" i="28"/>
  <c r="AA199" i="28"/>
  <c r="H74" i="29"/>
  <c r="O76" i="29"/>
  <c r="C116" i="29"/>
  <c r="Q116" i="29"/>
  <c r="S155" i="29"/>
  <c r="Q160" i="29"/>
  <c r="CC15" i="30"/>
  <c r="CC60" i="30" s="1"/>
  <c r="DY76" i="30"/>
  <c r="DY65" i="30"/>
  <c r="DU78" i="30"/>
  <c r="DU67" i="30"/>
  <c r="DJ79" i="30"/>
  <c r="DJ68" i="30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195" i="31"/>
  <c r="AC195" i="31"/>
  <c r="AB195" i="31"/>
  <c r="AB199" i="31"/>
  <c r="AC199" i="31"/>
  <c r="AA199" i="31"/>
  <c r="AA203" i="31"/>
  <c r="AC203" i="31"/>
  <c r="AB203" i="31"/>
  <c r="AC207" i="31"/>
  <c r="AA207" i="31"/>
  <c r="I72" i="29"/>
  <c r="X72" i="29"/>
  <c r="W73" i="29"/>
  <c r="K5" i="29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P92" i="30"/>
  <c r="V135" i="31"/>
  <c r="W135" i="31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J29" i="29" s="1"/>
  <c r="R25" i="29"/>
  <c r="R29" i="29" s="1"/>
  <c r="Z25" i="29"/>
  <c r="I159" i="29"/>
  <c r="I160" i="29"/>
  <c r="W160" i="29"/>
  <c r="O161" i="29"/>
  <c r="E47" i="29"/>
  <c r="M47" i="29"/>
  <c r="U46" i="29"/>
  <c r="BB15" i="30"/>
  <c r="DK27" i="30"/>
  <c r="DM35" i="30"/>
  <c r="CK90" i="30"/>
  <c r="G4" i="3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9" i="29" s="1"/>
  <c r="G20" i="29"/>
  <c r="G21" i="29" s="1"/>
  <c r="G7" i="29" s="1"/>
  <c r="G12" i="29" s="1"/>
  <c r="G4" i="29"/>
  <c r="G3" i="29"/>
  <c r="G8" i="29" s="1"/>
  <c r="O5" i="29"/>
  <c r="O9" i="29" s="1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G26" i="29"/>
  <c r="G30" i="29" s="1"/>
  <c r="G25" i="29"/>
  <c r="G29" i="29" s="1"/>
  <c r="O26" i="29"/>
  <c r="O30" i="29" s="1"/>
  <c r="O25" i="29"/>
  <c r="O29" i="29" s="1"/>
  <c r="W26" i="29"/>
  <c r="W30" i="29" s="1"/>
  <c r="W25" i="29"/>
  <c r="W29" i="29" s="1"/>
  <c r="P5" i="29"/>
  <c r="P9" i="29" s="1"/>
  <c r="P20" i="29"/>
  <c r="P21" i="29" s="1"/>
  <c r="P7" i="29" s="1"/>
  <c r="P12" i="29" s="1"/>
  <c r="P4" i="29"/>
  <c r="P3" i="29"/>
  <c r="X26" i="29"/>
  <c r="X30" i="29" s="1"/>
  <c r="X25" i="29"/>
  <c r="X29" i="29" s="1"/>
  <c r="H5" i="29"/>
  <c r="H9" i="29" s="1"/>
  <c r="H20" i="29"/>
  <c r="H4" i="29"/>
  <c r="H3" i="29"/>
  <c r="H26" i="29"/>
  <c r="H30" i="29" s="1"/>
  <c r="H25" i="29"/>
  <c r="H29" i="29" s="1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20" i="29"/>
  <c r="I21" i="29" s="1"/>
  <c r="I7" i="29" s="1"/>
  <c r="I12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S118" i="29"/>
  <c r="C118" i="29"/>
  <c r="I26" i="29"/>
  <c r="I25" i="29"/>
  <c r="Q26" i="29"/>
  <c r="Q30" i="29" s="1"/>
  <c r="Q25" i="29"/>
  <c r="Q29" i="29" s="1"/>
  <c r="Y26" i="29"/>
  <c r="Y25" i="29"/>
  <c r="X5" i="29"/>
  <c r="X9" i="29" s="1"/>
  <c r="X20" i="29"/>
  <c r="X21" i="29" s="1"/>
  <c r="X7" i="29" s="1"/>
  <c r="X12" i="29" s="1"/>
  <c r="X4" i="29"/>
  <c r="X3" i="29"/>
  <c r="X8" i="29" s="1"/>
  <c r="P26" i="29"/>
  <c r="P30" i="29" s="1"/>
  <c r="P25" i="29"/>
  <c r="P29" i="29" s="1"/>
  <c r="C19" i="29"/>
  <c r="C5" i="29"/>
  <c r="C41" i="29"/>
  <c r="C42" i="29" s="1"/>
  <c r="C26" i="29"/>
  <c r="C32" i="29" s="1"/>
  <c r="D5" i="29"/>
  <c r="D20" i="29"/>
  <c r="D21" i="29" s="1"/>
  <c r="D7" i="29" s="1"/>
  <c r="D12" i="29" s="1"/>
  <c r="D4" i="29"/>
  <c r="D3" i="29"/>
  <c r="L5" i="29"/>
  <c r="L9" i="29" s="1"/>
  <c r="L20" i="29"/>
  <c r="L21" i="29" s="1"/>
  <c r="L7" i="29" s="1"/>
  <c r="L12" i="29" s="1"/>
  <c r="L4" i="29"/>
  <c r="L3" i="29"/>
  <c r="T5" i="29"/>
  <c r="T9" i="29" s="1"/>
  <c r="T20" i="29"/>
  <c r="T21" i="29" s="1"/>
  <c r="T7" i="29" s="1"/>
  <c r="T12" i="29" s="1"/>
  <c r="T4" i="29"/>
  <c r="T3" i="29"/>
  <c r="D26" i="29"/>
  <c r="D25" i="29"/>
  <c r="L26" i="29"/>
  <c r="L25" i="29"/>
  <c r="T26" i="29"/>
  <c r="T30" i="29" s="1"/>
  <c r="T25" i="29"/>
  <c r="T29" i="29" s="1"/>
  <c r="E71" i="29"/>
  <c r="E3" i="29"/>
  <c r="E4" i="29"/>
  <c r="E5" i="29"/>
  <c r="E20" i="29"/>
  <c r="E21" i="29" s="1"/>
  <c r="E7" i="29" s="1"/>
  <c r="E12" i="29" s="1"/>
  <c r="M4" i="29"/>
  <c r="M5" i="29"/>
  <c r="M9" i="29" s="1"/>
  <c r="M3" i="29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30" i="29" s="1"/>
  <c r="E25" i="29"/>
  <c r="E29" i="29" s="1"/>
  <c r="M26" i="29"/>
  <c r="M30" i="29" s="1"/>
  <c r="M25" i="29"/>
  <c r="M29" i="29" s="1"/>
  <c r="U26" i="29"/>
  <c r="U30" i="29" s="1"/>
  <c r="U25" i="29"/>
  <c r="U29" i="29" s="1"/>
  <c r="C3" i="29"/>
  <c r="C201" i="29" s="1"/>
  <c r="S25" i="29"/>
  <c r="S29" i="29" s="1"/>
  <c r="F5" i="29"/>
  <c r="F20" i="29"/>
  <c r="F21" i="29" s="1"/>
  <c r="F7" i="29" s="1"/>
  <c r="F12" i="29" s="1"/>
  <c r="F4" i="29"/>
  <c r="F3" i="29"/>
  <c r="N5" i="29"/>
  <c r="N9" i="29" s="1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F26" i="29"/>
  <c r="F30" i="29" s="1"/>
  <c r="F25" i="29"/>
  <c r="F29" i="29" s="1"/>
  <c r="F112" i="29"/>
  <c r="N112" i="29"/>
  <c r="N26" i="29"/>
  <c r="N30" i="29" s="1"/>
  <c r="N25" i="29"/>
  <c r="N29" i="29" s="1"/>
  <c r="V112" i="29"/>
  <c r="V26" i="29"/>
  <c r="V25" i="29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Z8" i="29" s="1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Z256" i="31"/>
  <c r="Z260" i="31"/>
  <c r="AC201" i="31"/>
  <c r="J126" i="31"/>
  <c r="J130" i="31"/>
  <c r="J123" i="31"/>
  <c r="J127" i="31"/>
  <c r="J131" i="31"/>
  <c r="CE26" i="30"/>
  <c r="CM26" i="30"/>
  <c r="CM60" i="30" s="1"/>
  <c r="CM106" i="30" s="1"/>
  <c r="CU26" i="30"/>
  <c r="CU60" i="30" s="1"/>
  <c r="CF26" i="30"/>
  <c r="CN26" i="30"/>
  <c r="CN71" i="30" s="1"/>
  <c r="CV26" i="30"/>
  <c r="CV60" i="30" s="1"/>
  <c r="CV106" i="30" s="1"/>
  <c r="CG26" i="30"/>
  <c r="CO26" i="30"/>
  <c r="CO60" i="30" s="1"/>
  <c r="CO106" i="30" s="1"/>
  <c r="CW26" i="30"/>
  <c r="CW60" i="30" s="1"/>
  <c r="CW106" i="30" s="1"/>
  <c r="CH26" i="30"/>
  <c r="CH60" i="30" s="1"/>
  <c r="CX26" i="30"/>
  <c r="CX71" i="30" s="1"/>
  <c r="CP26" i="30"/>
  <c r="CP60" i="30" s="1"/>
  <c r="CP106" i="30" s="1"/>
  <c r="CI26" i="30"/>
  <c r="CI71" i="30" s="1"/>
  <c r="CQ26" i="30"/>
  <c r="CQ60" i="30" s="1"/>
  <c r="CQ106" i="30" s="1"/>
  <c r="CY26" i="30"/>
  <c r="CJ26" i="30"/>
  <c r="CJ60" i="30" s="1"/>
  <c r="CR26" i="30"/>
  <c r="CR60" i="30" s="1"/>
  <c r="CR106" i="30" s="1"/>
  <c r="CB26" i="30"/>
  <c r="CB71" i="30" s="1"/>
  <c r="CL26" i="30"/>
  <c r="CL71" i="30" s="1"/>
  <c r="CC26" i="30"/>
  <c r="CK26" i="30"/>
  <c r="CK71" i="30" s="1"/>
  <c r="CS26" i="30"/>
  <c r="CS60" i="30" s="1"/>
  <c r="CS106" i="30" s="1"/>
  <c r="CD26" i="30"/>
  <c r="CT26" i="30"/>
  <c r="CT60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N107" i="30" s="1"/>
  <c r="CV27" i="30"/>
  <c r="CV72" i="30" s="1"/>
  <c r="CG27" i="30"/>
  <c r="CG61" i="30" s="1"/>
  <c r="CG107" i="30" s="1"/>
  <c r="CO27" i="30"/>
  <c r="CO61" i="30" s="1"/>
  <c r="CO107" i="30" s="1"/>
  <c r="CW27" i="30"/>
  <c r="CW61" i="30" s="1"/>
  <c r="CH27" i="30"/>
  <c r="CH61" i="30" s="1"/>
  <c r="CP27" i="30"/>
  <c r="CP61" i="30" s="1"/>
  <c r="CP107" i="30" s="1"/>
  <c r="CX27" i="30"/>
  <c r="CI27" i="30"/>
  <c r="CI72" i="30" s="1"/>
  <c r="CQ27" i="30"/>
  <c r="CQ61" i="30" s="1"/>
  <c r="CQ107" i="30" s="1"/>
  <c r="CY27" i="30"/>
  <c r="CJ27" i="30"/>
  <c r="CR27" i="30"/>
  <c r="CR61" i="30" s="1"/>
  <c r="CR107" i="30" s="1"/>
  <c r="CB27" i="30"/>
  <c r="CC27" i="30"/>
  <c r="CK27" i="30"/>
  <c r="CK61" i="30" s="1"/>
  <c r="CS27" i="30"/>
  <c r="CS61" i="30" s="1"/>
  <c r="CS107" i="30" s="1"/>
  <c r="CE27" i="30"/>
  <c r="CU27" i="30"/>
  <c r="CU61" i="30" s="1"/>
  <c r="CD27" i="30"/>
  <c r="CL27" i="30"/>
  <c r="CL61" i="30" s="1"/>
  <c r="CT27" i="30"/>
  <c r="CT61" i="30" s="1"/>
  <c r="CM27" i="30"/>
  <c r="CM61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P28" i="30"/>
  <c r="CP73" i="30" s="1"/>
  <c r="CX28" i="30"/>
  <c r="CI28" i="30"/>
  <c r="CI62" i="30" s="1"/>
  <c r="CQ28" i="30"/>
  <c r="CQ62" i="30" s="1"/>
  <c r="CY28" i="30"/>
  <c r="CJ28" i="30"/>
  <c r="CJ62" i="30" s="1"/>
  <c r="CR28" i="30"/>
  <c r="CR62" i="30" s="1"/>
  <c r="CC28" i="30"/>
  <c r="CC73" i="30" s="1"/>
  <c r="CK28" i="30"/>
  <c r="CK73" i="30" s="1"/>
  <c r="CS28" i="30"/>
  <c r="CS62" i="30" s="1"/>
  <c r="CS108" i="30" s="1"/>
  <c r="CD28" i="30"/>
  <c r="CL28" i="30"/>
  <c r="CL62" i="30" s="1"/>
  <c r="CT28" i="30"/>
  <c r="CT62" i="30" s="1"/>
  <c r="CT108" i="30" s="1"/>
  <c r="CB28" i="30"/>
  <c r="CN28" i="30"/>
  <c r="CN73" i="30" s="1"/>
  <c r="CW28" i="30"/>
  <c r="CW62" i="30" s="1"/>
  <c r="CE28" i="30"/>
  <c r="CE73" i="30" s="1"/>
  <c r="CM28" i="30"/>
  <c r="CM62" i="30" s="1"/>
  <c r="CM108" i="30" s="1"/>
  <c r="CU28" i="30"/>
  <c r="CU62" i="30" s="1"/>
  <c r="CF28" i="30"/>
  <c r="CF62" i="30" s="1"/>
  <c r="CV28" i="30"/>
  <c r="CV62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W25" i="28"/>
  <c r="BI99" i="31"/>
  <c r="AT100" i="31"/>
  <c r="BD105" i="31"/>
  <c r="X25" i="28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E100" i="30" s="1"/>
  <c r="BE101" i="30" s="1"/>
  <c r="BM99" i="30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BE71" i="30"/>
  <c r="BE60" i="30"/>
  <c r="BM71" i="30"/>
  <c r="BM60" i="30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BF71" i="30"/>
  <c r="BF60" i="30"/>
  <c r="BN71" i="30"/>
  <c r="BN60" i="30"/>
  <c r="DE71" i="30"/>
  <c r="DM71" i="30"/>
  <c r="DU71" i="30"/>
  <c r="AZ73" i="30"/>
  <c r="AZ62" i="30"/>
  <c r="AZ108" i="30" s="1"/>
  <c r="BH73" i="30"/>
  <c r="BH62" i="30"/>
  <c r="BH108" i="30" s="1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AV107" i="30" s="1"/>
  <c r="BD72" i="30"/>
  <c r="BD61" i="30"/>
  <c r="BD107" i="30" s="1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BH71" i="30"/>
  <c r="BH60" i="30"/>
  <c r="BP71" i="30"/>
  <c r="BP60" i="30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108" i="30" s="1"/>
  <c r="BB73" i="30"/>
  <c r="BJ62" i="30"/>
  <c r="BJ108" i="30" s="1"/>
  <c r="BJ73" i="30"/>
  <c r="BR73" i="30"/>
  <c r="BR62" i="30"/>
  <c r="BR108" i="30" s="1"/>
  <c r="DI73" i="30"/>
  <c r="DQ73" i="30"/>
  <c r="DY73" i="30"/>
  <c r="AZ63" i="30"/>
  <c r="AZ109" i="30" s="1"/>
  <c r="AZ74" i="30"/>
  <c r="BH74" i="30"/>
  <c r="BH63" i="30"/>
  <c r="BH109" i="30" s="1"/>
  <c r="BP63" i="30"/>
  <c r="BP109" i="30" s="1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AX107" i="30" s="1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B60" i="30"/>
  <c r="BB71" i="30"/>
  <c r="BJ71" i="30"/>
  <c r="BJ60" i="30"/>
  <c r="DI71" i="30"/>
  <c r="DQ71" i="30"/>
  <c r="DY71" i="30"/>
  <c r="AV62" i="30"/>
  <c r="AV108" i="30" s="1"/>
  <c r="AV73" i="30"/>
  <c r="BD62" i="30"/>
  <c r="BD108" i="30" s="1"/>
  <c r="BD73" i="30"/>
  <c r="BL62" i="30"/>
  <c r="BL108" i="30" s="1"/>
  <c r="BL73" i="30"/>
  <c r="CY73" i="30"/>
  <c r="DK73" i="30"/>
  <c r="DS73" i="30"/>
  <c r="EA73" i="30"/>
  <c r="BB74" i="30"/>
  <c r="BB63" i="30"/>
  <c r="BB109" i="30" s="1"/>
  <c r="BJ74" i="30"/>
  <c r="BJ63" i="30"/>
  <c r="BJ109" i="30" s="1"/>
  <c r="BR74" i="30"/>
  <c r="BR63" i="30"/>
  <c r="BR109" i="30" s="1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E108" i="30" s="1"/>
  <c r="BM73" i="30"/>
  <c r="BM62" i="30"/>
  <c r="BM108" i="30" s="1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71" i="30"/>
  <c r="BD60" i="30"/>
  <c r="BD71" i="30"/>
  <c r="BL60" i="30"/>
  <c r="BL71" i="30"/>
  <c r="DK71" i="30"/>
  <c r="DS71" i="30"/>
  <c r="EA71" i="30"/>
  <c r="AX73" i="30"/>
  <c r="AX62" i="30"/>
  <c r="AX108" i="30" s="1"/>
  <c r="BF73" i="30"/>
  <c r="BF62" i="30"/>
  <c r="BF108" i="30" s="1"/>
  <c r="BN73" i="30"/>
  <c r="BN62" i="30"/>
  <c r="BN108" i="30" s="1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DH71" i="30"/>
  <c r="BI72" i="30"/>
  <c r="BI61" i="30"/>
  <c r="BI107" i="30" s="1"/>
  <c r="CF72" i="30"/>
  <c r="DH72" i="30"/>
  <c r="DX72" i="30"/>
  <c r="BA73" i="30"/>
  <c r="BA62" i="30"/>
  <c r="BA108" i="30" s="1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CV71" i="30"/>
  <c r="DP71" i="30"/>
  <c r="DX71" i="30"/>
  <c r="DP72" i="30"/>
  <c r="BI73" i="30"/>
  <c r="BI62" i="30"/>
  <c r="BI108" i="30" s="1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A109" i="30" s="1"/>
  <c r="BI29" i="30"/>
  <c r="BQ29" i="30"/>
  <c r="BQ63" i="30" s="1"/>
  <c r="BQ109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F113" i="30" s="1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C109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D109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AY107" i="30" s="1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G108" i="30" s="1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B107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BM100" i="30"/>
  <c r="BM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C107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C99" i="30"/>
  <c r="BC100" i="30" s="1"/>
  <c r="BC101" i="30" s="1"/>
  <c r="BK99" i="30"/>
  <c r="BK100" i="30" s="1"/>
  <c r="BK101" i="30" s="1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D99" i="30"/>
  <c r="BD100" i="30" s="1"/>
  <c r="BD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AX99" i="30"/>
  <c r="AX100" i="30" s="1"/>
  <c r="AX101" i="30" s="1"/>
  <c r="BF99" i="30"/>
  <c r="BF100" i="30" s="1"/>
  <c r="BF101" i="30" s="1"/>
  <c r="BN99" i="30"/>
  <c r="BN100" i="30" s="1"/>
  <c r="BN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AY99" i="30"/>
  <c r="AY100" i="30" s="1"/>
  <c r="AY101" i="30" s="1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AZ99" i="30"/>
  <c r="AZ100" i="30" s="1"/>
  <c r="AZ101" i="30" s="1"/>
  <c r="BH99" i="30"/>
  <c r="BH100" i="30" s="1"/>
  <c r="BH101" i="30" s="1"/>
  <c r="BP99" i="30"/>
  <c r="BP100" i="30" s="1"/>
  <c r="BP101" i="30" s="1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AF173" i="31"/>
  <c r="W173" i="31"/>
  <c r="V173" i="31"/>
  <c r="U173" i="31"/>
  <c r="M114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Z257" i="31"/>
  <c r="U197" i="31"/>
  <c r="AF197" i="31"/>
  <c r="AI205" i="31"/>
  <c r="AI181" i="31"/>
  <c r="W197" i="31"/>
  <c r="AG197" i="31"/>
  <c r="AJ205" i="31"/>
  <c r="X246" i="31"/>
  <c r="AB207" i="31"/>
  <c r="T256" i="31"/>
  <c r="U256" i="31" s="1"/>
  <c r="T258" i="31"/>
  <c r="U258" i="31" s="1"/>
  <c r="T260" i="31"/>
  <c r="U260" i="31" s="1"/>
  <c r="T257" i="31"/>
  <c r="U257" i="31" s="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C33" i="29" s="1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54" i="29" s="1"/>
  <c r="C21" i="29"/>
  <c r="C7" i="29" s="1"/>
  <c r="C12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BF4" i="29"/>
  <c r="S62" i="29"/>
  <c r="Z28" i="28"/>
  <c r="AC171" i="28"/>
  <c r="AA206" i="28"/>
  <c r="AJ179" i="28"/>
  <c r="Y26" i="28"/>
  <c r="Y25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AA196" i="28"/>
  <c r="W26" i="28"/>
  <c r="AA198" i="28"/>
  <c r="Y24" i="28"/>
  <c r="Z26" i="28"/>
  <c r="AB32" i="28"/>
  <c r="AA32" i="28"/>
  <c r="X32" i="28"/>
  <c r="Z24" i="28"/>
  <c r="W28" i="28"/>
  <c r="AA28" i="28"/>
  <c r="X31" i="28"/>
  <c r="W32" i="28"/>
  <c r="Y33" i="28"/>
  <c r="X33" i="28"/>
  <c r="AC33" i="28"/>
  <c r="U179" i="28"/>
  <c r="AG179" i="28"/>
  <c r="V179" i="28"/>
  <c r="AA24" i="28"/>
  <c r="Z27" i="28"/>
  <c r="Y27" i="28"/>
  <c r="AB29" i="28"/>
  <c r="AA29" i="28"/>
  <c r="X29" i="28"/>
  <c r="Y31" i="28"/>
  <c r="Y32" i="28"/>
  <c r="Z33" i="28"/>
  <c r="AA181" i="28"/>
  <c r="X24" i="28"/>
  <c r="W24" i="28"/>
  <c r="AB24" i="28"/>
  <c r="W31" i="28"/>
  <c r="AA31" i="28"/>
  <c r="Z32" i="28"/>
  <c r="AA33" i="28"/>
  <c r="S228" i="28"/>
  <c r="AC25" i="28"/>
  <c r="Z25" i="28"/>
  <c r="W27" i="28"/>
  <c r="Y29" i="28"/>
  <c r="AB31" i="28"/>
  <c r="AC32" i="28"/>
  <c r="AB33" i="28"/>
  <c r="AA172" i="28"/>
  <c r="AA174" i="28"/>
  <c r="AB26" i="28"/>
  <c r="AA26" i="28"/>
  <c r="X26" i="28"/>
  <c r="AF201" i="28"/>
  <c r="U201" i="28"/>
  <c r="AG201" i="28"/>
  <c r="AJ201" i="28"/>
  <c r="W201" i="28"/>
  <c r="V201" i="28"/>
  <c r="AC205" i="28"/>
  <c r="AC202" i="28"/>
  <c r="AA182" i="28"/>
  <c r="AF195" i="28"/>
  <c r="AC194" i="28"/>
  <c r="U195" i="28"/>
  <c r="T14" i="7"/>
  <c r="BB16" i="29" s="1"/>
  <c r="BH16" i="29" s="1"/>
  <c r="T13" i="7"/>
  <c r="BB15" i="29" s="1"/>
  <c r="BH15" i="29" s="1"/>
  <c r="T12" i="7"/>
  <c r="BB14" i="29" s="1"/>
  <c r="BH14" i="29" s="1"/>
  <c r="T11" i="7"/>
  <c r="BB13" i="29" s="1"/>
  <c r="BH13" i="29" s="1"/>
  <c r="Z72" i="30" l="1"/>
  <c r="Q72" i="30"/>
  <c r="M8" i="29"/>
  <c r="Q8" i="29"/>
  <c r="U72" i="30"/>
  <c r="R8" i="29"/>
  <c r="V72" i="30"/>
  <c r="N8" i="29"/>
  <c r="N201" i="29" s="1"/>
  <c r="R72" i="30"/>
  <c r="O8" i="29"/>
  <c r="O201" i="29" s="1"/>
  <c r="S72" i="30"/>
  <c r="P8" i="29"/>
  <c r="T72" i="30"/>
  <c r="U8" i="29"/>
  <c r="U201" i="29" s="1"/>
  <c r="Y72" i="30"/>
  <c r="X72" i="30"/>
  <c r="T8" i="29"/>
  <c r="T201" i="29" s="1"/>
  <c r="W72" i="30"/>
  <c r="S8" i="29"/>
  <c r="P72" i="30"/>
  <c r="L8" i="29"/>
  <c r="AF187" i="31"/>
  <c r="H8" i="29"/>
  <c r="H201" i="29" s="1"/>
  <c r="W8" i="29"/>
  <c r="W201" i="29" s="1"/>
  <c r="V8" i="29"/>
  <c r="V201" i="29" s="1"/>
  <c r="Y8" i="29"/>
  <c r="Y201" i="29" s="1"/>
  <c r="X28" i="31"/>
  <c r="AG33" i="31"/>
  <c r="AH33" i="31" s="1"/>
  <c r="AI33" i="31" s="1"/>
  <c r="X30" i="31"/>
  <c r="AF27" i="31" s="1"/>
  <c r="AG27" i="31" s="1"/>
  <c r="AG35" i="31"/>
  <c r="AI35" i="31" s="1"/>
  <c r="X29" i="31"/>
  <c r="AG34" i="31"/>
  <c r="AH34" i="31" s="1"/>
  <c r="AI34" i="31" s="1"/>
  <c r="AF167" i="28"/>
  <c r="AF168" i="31"/>
  <c r="AG165" i="28"/>
  <c r="W165" i="31"/>
  <c r="AF165" i="31"/>
  <c r="AI165" i="31"/>
  <c r="U165" i="31"/>
  <c r="AG165" i="31"/>
  <c r="M6" i="31"/>
  <c r="E201" i="29"/>
  <c r="E212" i="29" s="1"/>
  <c r="P201" i="29"/>
  <c r="I201" i="29"/>
  <c r="Q201" i="29"/>
  <c r="M201" i="29"/>
  <c r="K201" i="29"/>
  <c r="U167" i="28"/>
  <c r="V167" i="28"/>
  <c r="W167" i="28"/>
  <c r="AF188" i="28"/>
  <c r="V188" i="28"/>
  <c r="W188" i="28"/>
  <c r="L201" i="29"/>
  <c r="AN215" i="33"/>
  <c r="C6" i="29"/>
  <c r="C181" i="29"/>
  <c r="C196" i="29" s="1"/>
  <c r="G76" i="30" s="1"/>
  <c r="S59" i="29"/>
  <c r="V196" i="31"/>
  <c r="U188" i="31"/>
  <c r="AI184" i="28"/>
  <c r="AG196" i="31"/>
  <c r="AG188" i="31"/>
  <c r="V164" i="31"/>
  <c r="AI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AI165" i="28"/>
  <c r="V169" i="28"/>
  <c r="AG194" i="31"/>
  <c r="W187" i="31"/>
  <c r="V186" i="31"/>
  <c r="AJ202" i="31"/>
  <c r="AD172" i="28"/>
  <c r="AH172" i="28" s="1"/>
  <c r="AI169" i="28"/>
  <c r="AG169" i="28"/>
  <c r="AI179" i="31"/>
  <c r="W179" i="31"/>
  <c r="U178" i="31"/>
  <c r="AI194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C212" i="29"/>
  <c r="AI180" i="28"/>
  <c r="V168" i="28"/>
  <c r="AE176" i="31"/>
  <c r="AI184" i="31"/>
  <c r="Z201" i="29"/>
  <c r="AG183" i="28"/>
  <c r="W173" i="28"/>
  <c r="AF166" i="28"/>
  <c r="AJ184" i="31"/>
  <c r="AI190" i="28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C202" i="29"/>
  <c r="C213" i="29" s="1"/>
  <c r="AD181" i="31"/>
  <c r="AH181" i="31" s="1"/>
  <c r="AD173" i="31"/>
  <c r="AH173" i="31" s="1"/>
  <c r="AD165" i="31"/>
  <c r="AD177" i="28"/>
  <c r="AH177" i="28" s="1"/>
  <c r="AD184" i="28"/>
  <c r="AH184" i="28" s="1"/>
  <c r="V206" i="28"/>
  <c r="AF206" i="28"/>
  <c r="W180" i="28"/>
  <c r="W172" i="28"/>
  <c r="AG166" i="28"/>
  <c r="AI173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I170" i="31"/>
  <c r="AG170" i="31"/>
  <c r="AJ202" i="28"/>
  <c r="AF202" i="28"/>
  <c r="AI202" i="28"/>
  <c r="V202" i="28"/>
  <c r="AJ194" i="28"/>
  <c r="W194" i="28"/>
  <c r="U194" i="28"/>
  <c r="AI194" i="28"/>
  <c r="AF194" i="28"/>
  <c r="W170" i="28"/>
  <c r="AG170" i="28"/>
  <c r="AI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I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P62" i="30"/>
  <c r="CI61" i="30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R201" i="29"/>
  <c r="F201" i="29"/>
  <c r="G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J201" i="29"/>
  <c r="X201" i="29"/>
  <c r="C251" i="33"/>
  <c r="D251" i="33" s="1"/>
  <c r="CK62" i="30"/>
  <c r="CG62" i="30"/>
  <c r="CV61" i="30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CN106" i="30" s="1"/>
  <c r="S57" i="29"/>
  <c r="AE177" i="31"/>
  <c r="U172" i="31"/>
  <c r="CI60" i="30"/>
  <c r="CI106" i="30" s="1"/>
  <c r="CK60" i="30"/>
  <c r="V172" i="31"/>
  <c r="S58" i="29"/>
  <c r="AF177" i="31"/>
  <c r="AD174" i="31"/>
  <c r="AH174" i="31" s="1"/>
  <c r="V45" i="31"/>
  <c r="AD203" i="28"/>
  <c r="AH203" i="28" s="1"/>
  <c r="AF176" i="28"/>
  <c r="AG177" i="31"/>
  <c r="U169" i="31"/>
  <c r="CC71" i="30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AE33" i="29"/>
  <c r="T240" i="31" s="1"/>
  <c r="T273" i="31" s="1"/>
  <c r="C41" i="33"/>
  <c r="D41" i="33" s="1"/>
  <c r="BC60" i="30"/>
  <c r="AD184" i="31"/>
  <c r="AH184" i="31" s="1"/>
  <c r="C53" i="29"/>
  <c r="C55" i="29" s="1"/>
  <c r="AE184" i="31"/>
  <c r="D288" i="33"/>
  <c r="C288" i="33"/>
  <c r="AD187" i="28"/>
  <c r="AJ187" i="28" s="1"/>
  <c r="Y62" i="29"/>
  <c r="Y63" i="29" s="1"/>
  <c r="Y49" i="29" s="1"/>
  <c r="Y54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BC74" i="30"/>
  <c r="BK62" i="30"/>
  <c r="BK108" i="30" s="1"/>
  <c r="CQ72" i="30"/>
  <c r="CR71" i="30"/>
  <c r="CR81" i="30" s="1"/>
  <c r="CG71" i="30"/>
  <c r="BB72" i="30"/>
  <c r="BB82" i="30" s="1"/>
  <c r="CN72" i="30"/>
  <c r="CN82" i="30" s="1"/>
  <c r="CT71" i="30"/>
  <c r="CT83" i="30" s="1"/>
  <c r="CH73" i="30"/>
  <c r="BK60" i="30"/>
  <c r="BQ74" i="30"/>
  <c r="BC72" i="30"/>
  <c r="BA74" i="30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AB94" i="31"/>
  <c r="BY89" i="31" s="1"/>
  <c r="AD167" i="28"/>
  <c r="AJ167" i="28" s="1"/>
  <c r="AD175" i="31"/>
  <c r="AH175" i="31" s="1"/>
  <c r="V199" i="28"/>
  <c r="C11" i="29"/>
  <c r="C13" i="29" s="1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AC34" i="28"/>
  <c r="K39" i="28" s="1"/>
  <c r="C96" i="33" s="1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BD81" i="30" s="1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O71" i="30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Q69" i="30"/>
  <c r="BI94" i="31"/>
  <c r="AN94" i="31"/>
  <c r="BY101" i="31" s="1"/>
  <c r="AD187" i="31"/>
  <c r="AI187" i="31" s="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DV117" i="30"/>
  <c r="X7" i="30" s="1"/>
  <c r="DC114" i="30"/>
  <c r="DC79" i="30"/>
  <c r="BZ109" i="30"/>
  <c r="BZ74" i="30"/>
  <c r="CF83" i="30"/>
  <c r="CF81" i="30"/>
  <c r="CF84" i="30"/>
  <c r="CF82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CM84" i="30"/>
  <c r="CM83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CO84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CC84" i="30"/>
  <c r="CC83" i="30"/>
  <c r="CC81" i="30"/>
  <c r="CC82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AH169" i="31" s="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CI83" i="30"/>
  <c r="CI84" i="30"/>
  <c r="CI82" i="30"/>
  <c r="CI81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J199" i="3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BA83" i="30"/>
  <c r="BA82" i="30"/>
  <c r="BA81" i="30"/>
  <c r="BA84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CR82" i="30"/>
  <c r="BE84" i="30"/>
  <c r="BE81" i="30"/>
  <c r="BE82" i="30"/>
  <c r="BE83" i="30"/>
  <c r="AE198" i="31"/>
  <c r="W198" i="31"/>
  <c r="AI198" i="31"/>
  <c r="AJ198" i="31"/>
  <c r="AG198" i="31"/>
  <c r="V198" i="31"/>
  <c r="AF198" i="31"/>
  <c r="U198" i="31"/>
  <c r="AO28" i="31"/>
  <c r="AP28" i="31" s="1"/>
  <c r="AO27" i="31"/>
  <c r="AP27" i="31" s="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CS84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BD82" i="30"/>
  <c r="BD84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S54" i="29" s="1"/>
  <c r="C38" i="29"/>
  <c r="C36" i="29"/>
  <c r="C37" i="29"/>
  <c r="K41" i="29"/>
  <c r="K38" i="29"/>
  <c r="K36" i="29"/>
  <c r="K40" i="29"/>
  <c r="K27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I62" i="29"/>
  <c r="I61" i="29"/>
  <c r="I48" i="29" s="1"/>
  <c r="I59" i="29"/>
  <c r="I58" i="29"/>
  <c r="I57" i="29"/>
  <c r="AI199" i="28"/>
  <c r="AE171" i="28"/>
  <c r="AE187" i="28"/>
  <c r="AJ199" i="28"/>
  <c r="V203" i="28"/>
  <c r="AJ203" i="28"/>
  <c r="U187" i="28"/>
  <c r="W187" i="28"/>
  <c r="V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I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Y34" i="28"/>
  <c r="K36" i="28" s="1"/>
  <c r="C92" i="33" s="1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I164" i="28"/>
  <c r="AB34" i="28"/>
  <c r="K32" i="28" s="1"/>
  <c r="C89" i="33" s="1"/>
  <c r="AC228" i="28"/>
  <c r="K40" i="28" s="1"/>
  <c r="B52" i="30" s="1"/>
  <c r="C52" i="30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AI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X34" i="28"/>
  <c r="K35" i="28" s="1"/>
  <c r="C91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BB83" i="30" l="1"/>
  <c r="BB84" i="30"/>
  <c r="BB81" i="30"/>
  <c r="BB85" i="30" s="1"/>
  <c r="F72" i="30"/>
  <c r="AI187" i="28"/>
  <c r="AI166" i="31"/>
  <c r="AI188" i="28"/>
  <c r="AI188" i="31"/>
  <c r="AJ166" i="31"/>
  <c r="AH166" i="28"/>
  <c r="AJ166" i="28"/>
  <c r="CX83" i="30"/>
  <c r="CM81" i="30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BC85" i="30" s="1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CN85" i="30" s="1"/>
  <c r="BC84" i="30"/>
  <c r="CO82" i="30"/>
  <c r="CY117" i="30"/>
  <c r="AD6" i="30" s="1"/>
  <c r="CN83" i="30"/>
  <c r="BC81" i="30"/>
  <c r="Q60" i="29"/>
  <c r="C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CQ85" i="30" s="1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F52" i="30"/>
  <c r="C264" i="33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BA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DY85" i="30"/>
  <c r="DH85" i="30"/>
  <c r="CL85" i="30"/>
  <c r="AZ85" i="30"/>
  <c r="CD85" i="30"/>
  <c r="DX85" i="30"/>
  <c r="C138" i="31"/>
  <c r="J138" i="31" s="1"/>
  <c r="T42" i="31"/>
  <c r="V44" i="31" s="1"/>
  <c r="V46" i="31" s="1"/>
  <c r="AJ36" i="31" s="1"/>
  <c r="AJ40" i="31" s="1"/>
  <c r="BG85" i="30"/>
  <c r="BH85" i="30"/>
  <c r="DK85" i="30"/>
  <c r="DP85" i="30"/>
  <c r="F7" i="30"/>
  <c r="C247" i="33" s="1"/>
  <c r="CI85" i="30"/>
  <c r="CM85" i="30"/>
  <c r="CJ85" i="30"/>
  <c r="DI85" i="30"/>
  <c r="CR85" i="30"/>
  <c r="DE85" i="30"/>
  <c r="DN85" i="30"/>
  <c r="DV85" i="30"/>
  <c r="DU85" i="30"/>
  <c r="BJ85" i="30"/>
  <c r="AO165" i="31"/>
  <c r="C78" i="33" s="1"/>
  <c r="BD85" i="30"/>
  <c r="BL85" i="30"/>
  <c r="CC85" i="30"/>
  <c r="EA85" i="30"/>
  <c r="CF85" i="30"/>
  <c r="AD228" i="31"/>
  <c r="V39" i="29"/>
  <c r="Q63" i="29"/>
  <c r="Q49" i="29" s="1"/>
  <c r="Q54" i="29" s="1"/>
  <c r="O39" i="29"/>
  <c r="M60" i="29"/>
  <c r="U63" i="29"/>
  <c r="U49" i="29" s="1"/>
  <c r="U54" i="29" s="1"/>
  <c r="P63" i="29"/>
  <c r="P49" i="29" s="1"/>
  <c r="P54" i="29" s="1"/>
  <c r="C60" i="29"/>
  <c r="C64" i="29" s="1"/>
  <c r="W63" i="29"/>
  <c r="W49" i="29" s="1"/>
  <c r="W54" i="29" s="1"/>
  <c r="F60" i="29"/>
  <c r="N60" i="29"/>
  <c r="F42" i="29"/>
  <c r="F28" i="29" s="1"/>
  <c r="F33" i="29" s="1"/>
  <c r="R63" i="29"/>
  <c r="R49" i="29" s="1"/>
  <c r="R54" i="29" s="1"/>
  <c r="T63" i="29"/>
  <c r="T49" i="29" s="1"/>
  <c r="T54" i="29" s="1"/>
  <c r="S32" i="29"/>
  <c r="F63" i="29"/>
  <c r="F49" i="29" s="1"/>
  <c r="F54" i="29" s="1"/>
  <c r="I63" i="29"/>
  <c r="I49" i="29" s="1"/>
  <c r="I54" i="29" s="1"/>
  <c r="J42" i="29"/>
  <c r="J28" i="29" s="1"/>
  <c r="J33" i="29" s="1"/>
  <c r="X63" i="29"/>
  <c r="X49" i="29" s="1"/>
  <c r="X54" i="29" s="1"/>
  <c r="E42" i="29"/>
  <c r="E28" i="29" s="1"/>
  <c r="E33" i="29" s="1"/>
  <c r="D63" i="29"/>
  <c r="D49" i="29" s="1"/>
  <c r="D54" i="29" s="1"/>
  <c r="K39" i="29"/>
  <c r="Y42" i="29"/>
  <c r="Y28" i="29" s="1"/>
  <c r="Y33" i="29" s="1"/>
  <c r="Z63" i="29"/>
  <c r="Z49" i="29" s="1"/>
  <c r="Z54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M54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H54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J54" i="29" s="1"/>
  <c r="L63" i="29"/>
  <c r="L49" i="29" s="1"/>
  <c r="L54" i="29" s="1"/>
  <c r="G42" i="29"/>
  <c r="G28" i="29" s="1"/>
  <c r="G33" i="29" s="1"/>
  <c r="W32" i="29"/>
  <c r="W34" i="29" s="1"/>
  <c r="O42" i="29"/>
  <c r="N63" i="29"/>
  <c r="N49" i="29" s="1"/>
  <c r="N54" i="29" s="1"/>
  <c r="G63" i="29"/>
  <c r="G49" i="29" s="1"/>
  <c r="G54" i="29" s="1"/>
  <c r="V63" i="29"/>
  <c r="V49" i="29" s="1"/>
  <c r="V54" i="29" s="1"/>
  <c r="W39" i="29"/>
  <c r="W43" i="29" s="1"/>
  <c r="T42" i="29"/>
  <c r="U42" i="29"/>
  <c r="U28" i="29" s="1"/>
  <c r="U33" i="29" s="1"/>
  <c r="K63" i="29"/>
  <c r="Z42" i="29"/>
  <c r="Q42" i="29"/>
  <c r="O63" i="29"/>
  <c r="O49" i="29" s="1"/>
  <c r="O54" i="29" s="1"/>
  <c r="E63" i="29"/>
  <c r="E49" i="29" s="1"/>
  <c r="E54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L64" i="29" s="1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CY86" i="30" l="1"/>
  <c r="CY87" i="30"/>
  <c r="CX87" i="30"/>
  <c r="CX86" i="30"/>
  <c r="CD86" i="30"/>
  <c r="CD87" i="30"/>
  <c r="CC86" i="30"/>
  <c r="CC87" i="30"/>
  <c r="CF87" i="30"/>
  <c r="CF86" i="30"/>
  <c r="CE86" i="30"/>
  <c r="CE87" i="30"/>
  <c r="CB87" i="30"/>
  <c r="CB86" i="30"/>
  <c r="C191" i="33"/>
  <c r="B109" i="30"/>
  <c r="B112" i="30" s="1"/>
  <c r="BD86" i="30"/>
  <c r="BD87" i="30"/>
  <c r="AX86" i="30"/>
  <c r="AX87" i="30"/>
  <c r="BC87" i="30"/>
  <c r="BC86" i="30"/>
  <c r="AZ87" i="30"/>
  <c r="AZ86" i="30"/>
  <c r="BA87" i="30"/>
  <c r="BA86" i="30"/>
  <c r="AV86" i="30"/>
  <c r="AV87" i="30"/>
  <c r="AY86" i="30"/>
  <c r="AY87" i="30"/>
  <c r="BB86" i="30"/>
  <c r="BB87" i="30"/>
  <c r="AW87" i="30"/>
  <c r="AW86" i="30"/>
  <c r="Q43" i="29"/>
  <c r="C71" i="33"/>
  <c r="K48" i="28"/>
  <c r="B154" i="31" s="1"/>
  <c r="B155" i="31" s="1"/>
  <c r="I155" i="31" s="1"/>
  <c r="C304" i="33"/>
  <c r="AQ3" i="29"/>
  <c r="C305" i="33"/>
  <c r="AA240" i="31"/>
  <c r="AB240" i="31" s="1"/>
  <c r="C310" i="33"/>
  <c r="BK86" i="30"/>
  <c r="BK87" i="30"/>
  <c r="BM86" i="30"/>
  <c r="BM87" i="30"/>
  <c r="BI86" i="30"/>
  <c r="BI87" i="30"/>
  <c r="BL86" i="30"/>
  <c r="BL87" i="30"/>
  <c r="BN87" i="30"/>
  <c r="BN86" i="30"/>
  <c r="BH86" i="30"/>
  <c r="BH87" i="30"/>
  <c r="BF87" i="30"/>
  <c r="BF86" i="30"/>
  <c r="BG87" i="30"/>
  <c r="BG86" i="30"/>
  <c r="BJ86" i="30"/>
  <c r="BJ87" i="30"/>
  <c r="BE87" i="30"/>
  <c r="BE86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C74" i="33"/>
  <c r="D262" i="33"/>
  <c r="D247" i="33"/>
  <c r="C9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Z38" i="31"/>
  <c r="Z39" i="31" s="1"/>
  <c r="B42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K54" i="29" s="1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C275" i="33" l="1"/>
  <c r="D275" i="33" s="1"/>
  <c r="D191" i="33"/>
  <c r="J154" i="31"/>
  <c r="C227" i="33" s="1"/>
  <c r="B149" i="31"/>
  <c r="J149" i="31" s="1"/>
  <c r="C222" i="33" s="1"/>
  <c r="AC240" i="31"/>
  <c r="AF240" i="31" s="1"/>
  <c r="CS102" i="30"/>
  <c r="X10" i="30" s="1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C81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CQ102" i="30"/>
  <c r="V10" i="30" s="1"/>
  <c r="DI102" i="30"/>
  <c r="K11" i="30" s="1"/>
  <c r="DX102" i="30"/>
  <c r="Z11" i="30" s="1"/>
  <c r="CC102" i="30"/>
  <c r="H10" i="30" s="1"/>
  <c r="DQ102" i="30"/>
  <c r="S11" i="30" s="1"/>
  <c r="J42" i="31"/>
  <c r="C206" i="33" s="1"/>
  <c r="B44" i="31"/>
  <c r="J44" i="31" s="1"/>
  <c r="C208" i="33" s="1"/>
  <c r="DE102" i="30"/>
  <c r="G11" i="30" s="1"/>
  <c r="BG102" i="30"/>
  <c r="R9" i="30" s="1"/>
  <c r="CF102" i="30"/>
  <c r="K10" i="30" s="1"/>
  <c r="CB102" i="30"/>
  <c r="G10" i="30" s="1"/>
  <c r="B43" i="31"/>
  <c r="J43" i="31" s="1"/>
  <c r="C207" i="33" s="1"/>
  <c r="AB40" i="31"/>
  <c r="AD40" i="31" s="1"/>
  <c r="AE40" i="31" s="1"/>
  <c r="AB38" i="31"/>
  <c r="AB39" i="31"/>
  <c r="CL102" i="30"/>
  <c r="Q10" i="30" s="1"/>
  <c r="CP102" i="30"/>
  <c r="U10" i="30" s="1"/>
  <c r="BM102" i="30"/>
  <c r="X9" i="30" s="1"/>
  <c r="CN102" i="30"/>
  <c r="S10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O102" i="30" l="1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X13" i="30"/>
  <c r="C82" i="33"/>
  <c r="D230" i="33" s="1"/>
  <c r="U87" i="27"/>
  <c r="N13" i="30"/>
  <c r="H13" i="30"/>
  <c r="V13" i="30"/>
  <c r="O13" i="30"/>
  <c r="K13" i="30"/>
  <c r="S13" i="30"/>
  <c r="U13" i="30"/>
  <c r="L13" i="30"/>
  <c r="W13" i="30"/>
  <c r="R13" i="30"/>
  <c r="F11" i="30"/>
  <c r="C250" i="33" s="1"/>
  <c r="G13" i="30"/>
  <c r="F10" i="30" l="1"/>
  <c r="C249" i="33" s="1"/>
  <c r="C270" i="33"/>
  <c r="C289" i="33" s="1"/>
  <c r="B108" i="30"/>
  <c r="B123" i="30" s="1"/>
  <c r="D208" i="33"/>
  <c r="D81" i="33"/>
  <c r="J205" i="33" s="1"/>
  <c r="L205" i="33" s="1"/>
  <c r="D229" i="33"/>
  <c r="D228" i="33"/>
  <c r="D164" i="33"/>
  <c r="D65" i="33"/>
  <c r="J193" i="33" s="1"/>
  <c r="J194" i="33" s="1"/>
  <c r="D64" i="33"/>
  <c r="Q193" i="33" s="1"/>
  <c r="Q194" i="33" s="1"/>
  <c r="D66" i="33"/>
  <c r="D200" i="33"/>
  <c r="D213" i="33"/>
  <c r="D198" i="33"/>
  <c r="D196" i="33"/>
  <c r="L225" i="33"/>
  <c r="J218" i="33"/>
  <c r="D63" i="33"/>
  <c r="D141" i="33"/>
  <c r="D147" i="33"/>
  <c r="L223" i="33"/>
  <c r="AJ198" i="33" s="1"/>
  <c r="L224" i="33"/>
  <c r="J216" i="33"/>
  <c r="D146" i="33"/>
  <c r="D140" i="33"/>
  <c r="D80" i="33"/>
  <c r="J206" i="33" s="1"/>
  <c r="L206" i="33" s="1"/>
  <c r="J217" i="33"/>
  <c r="D150" i="33"/>
  <c r="D167" i="33"/>
  <c r="D163" i="33"/>
  <c r="D139" i="33"/>
  <c r="G63" i="33"/>
  <c r="D168" i="33"/>
  <c r="D215" i="33"/>
  <c r="D226" i="33"/>
  <c r="D95" i="33"/>
  <c r="D93" i="33"/>
  <c r="D76" i="33"/>
  <c r="D90" i="33"/>
  <c r="K254" i="33" s="1"/>
  <c r="L254" i="33" s="1"/>
  <c r="D92" i="33"/>
  <c r="D96" i="33"/>
  <c r="D89" i="33"/>
  <c r="K262" i="33" s="1"/>
  <c r="D73" i="33"/>
  <c r="K255" i="33" s="1"/>
  <c r="L255" i="33" s="1"/>
  <c r="D94" i="33"/>
  <c r="D77" i="33"/>
  <c r="D72" i="33"/>
  <c r="D91" i="33"/>
  <c r="D71" i="33"/>
  <c r="D75" i="33"/>
  <c r="D79" i="33"/>
  <c r="D87" i="33"/>
  <c r="K260" i="33" s="1"/>
  <c r="L260" i="33" s="1"/>
  <c r="D78" i="33"/>
  <c r="D85" i="33"/>
  <c r="K258" i="33" s="1"/>
  <c r="L258" i="33" s="1"/>
  <c r="D205" i="33"/>
  <c r="D204" i="33"/>
  <c r="D86" i="33"/>
  <c r="K259" i="33" s="1"/>
  <c r="L259" i="33" s="1"/>
  <c r="D232" i="33"/>
  <c r="D97" i="33"/>
  <c r="D88" i="33"/>
  <c r="K261" i="33" s="1"/>
  <c r="L261" i="33" s="1"/>
  <c r="D74" i="33"/>
  <c r="D227" i="33"/>
  <c r="D233" i="33"/>
  <c r="D222" i="33"/>
  <c r="D231" i="33"/>
  <c r="D206" i="33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B92" i="30" l="1"/>
  <c r="D92" i="30" s="1"/>
  <c r="W193" i="33"/>
  <c r="W194" i="33" s="1"/>
  <c r="AP198" i="33"/>
  <c r="D268" i="33"/>
  <c r="AJ204" i="33"/>
  <c r="AK204" i="33" s="1"/>
  <c r="AJ201" i="33"/>
  <c r="AK201" i="33" s="1"/>
  <c r="AJ200" i="33"/>
  <c r="AK200" i="33" s="1"/>
  <c r="AJ202" i="33"/>
  <c r="AK202" i="33" s="1"/>
  <c r="AJ203" i="33"/>
  <c r="AK203" i="33" s="1"/>
  <c r="I200" i="33"/>
  <c r="J200" i="33" s="1"/>
  <c r="I198" i="33"/>
  <c r="J198" i="33" s="1"/>
  <c r="I199" i="33"/>
  <c r="J199" i="33" s="1"/>
  <c r="D269" i="33"/>
  <c r="D264" i="33"/>
  <c r="O254" i="33"/>
  <c r="DJ73" i="33"/>
  <c r="DJ85" i="33" s="1"/>
  <c r="EB71" i="33"/>
  <c r="EB82" i="33" s="1"/>
  <c r="DM70" i="33"/>
  <c r="DM81" i="33" s="1"/>
  <c r="DF69" i="33"/>
  <c r="DF80" i="33" s="1"/>
  <c r="DX67" i="33"/>
  <c r="DX78" i="33" s="1"/>
  <c r="DQ66" i="33"/>
  <c r="DQ77" i="33" s="1"/>
  <c r="DJ65" i="33"/>
  <c r="DJ76" i="33" s="1"/>
  <c r="CT73" i="33"/>
  <c r="CT85" i="33" s="1"/>
  <c r="CM72" i="33"/>
  <c r="CM84" i="33" s="1"/>
  <c r="CF71" i="33"/>
  <c r="CF82" i="33" s="1"/>
  <c r="CX69" i="33"/>
  <c r="CX80" i="33" s="1"/>
  <c r="DQ73" i="33"/>
  <c r="DQ85" i="33" s="1"/>
  <c r="DJ72" i="33"/>
  <c r="DJ84" i="33" s="1"/>
  <c r="EB70" i="33"/>
  <c r="EB81" i="33" s="1"/>
  <c r="DM69" i="33"/>
  <c r="DM80" i="33" s="1"/>
  <c r="DF68" i="33"/>
  <c r="DF79" i="33" s="1"/>
  <c r="DX66" i="33"/>
  <c r="DX77" i="33" s="1"/>
  <c r="DQ65" i="33"/>
  <c r="DQ76" i="33" s="1"/>
  <c r="DJ64" i="33"/>
  <c r="DJ75" i="33" s="1"/>
  <c r="CT72" i="33"/>
  <c r="CT84" i="33" s="1"/>
  <c r="CM71" i="33"/>
  <c r="CM82" i="33" s="1"/>
  <c r="CF70" i="33"/>
  <c r="CF81" i="33" s="1"/>
  <c r="DX73" i="33"/>
  <c r="DX85" i="33" s="1"/>
  <c r="DQ72" i="33"/>
  <c r="DQ84" i="33" s="1"/>
  <c r="DJ71" i="33"/>
  <c r="DJ82" i="33" s="1"/>
  <c r="EB69" i="33"/>
  <c r="EB80" i="33" s="1"/>
  <c r="DM68" i="33"/>
  <c r="DM79" i="33" s="1"/>
  <c r="DF67" i="33"/>
  <c r="DF78" i="33" s="1"/>
  <c r="DX65" i="33"/>
  <c r="DX76" i="33" s="1"/>
  <c r="DQ64" i="33"/>
  <c r="DQ75" i="33" s="1"/>
  <c r="CB73" i="33"/>
  <c r="CB85" i="33" s="1"/>
  <c r="CT71" i="33"/>
  <c r="CT82" i="33" s="1"/>
  <c r="CM70" i="33"/>
  <c r="CM81" i="33" s="1"/>
  <c r="CF69" i="33"/>
  <c r="CF80" i="33" s="1"/>
  <c r="DX72" i="33"/>
  <c r="DX84" i="33" s="1"/>
  <c r="DQ71" i="33"/>
  <c r="DQ82" i="33" s="1"/>
  <c r="DJ70" i="33"/>
  <c r="DJ81" i="33" s="1"/>
  <c r="EB68" i="33"/>
  <c r="EB79" i="33" s="1"/>
  <c r="DM67" i="33"/>
  <c r="DM78" i="33" s="1"/>
  <c r="DF66" i="33"/>
  <c r="DF77" i="33" s="1"/>
  <c r="DX64" i="33"/>
  <c r="DX75" i="33" s="1"/>
  <c r="CQ73" i="33"/>
  <c r="CQ85" i="33" s="1"/>
  <c r="CB72" i="33"/>
  <c r="CB84" i="33" s="1"/>
  <c r="CT70" i="33"/>
  <c r="CT81" i="33" s="1"/>
  <c r="CM69" i="33"/>
  <c r="CM80" i="33" s="1"/>
  <c r="DF73" i="33"/>
  <c r="DF85" i="33" s="1"/>
  <c r="DX71" i="33"/>
  <c r="DX82" i="33" s="1"/>
  <c r="DQ70" i="33"/>
  <c r="DQ81" i="33" s="1"/>
  <c r="DJ69" i="33"/>
  <c r="DJ80" i="33" s="1"/>
  <c r="EB67" i="33"/>
  <c r="EB78" i="33" s="1"/>
  <c r="DM66" i="33"/>
  <c r="DM77" i="33" s="1"/>
  <c r="DF65" i="33"/>
  <c r="DF76" i="33" s="1"/>
  <c r="DU73" i="33"/>
  <c r="DU85" i="33" s="1"/>
  <c r="DN72" i="33"/>
  <c r="DN84" i="33" s="1"/>
  <c r="DG71" i="33"/>
  <c r="DG82" i="33" s="1"/>
  <c r="DY69" i="33"/>
  <c r="DY80" i="33" s="1"/>
  <c r="DR68" i="33"/>
  <c r="DR79" i="33" s="1"/>
  <c r="DK67" i="33"/>
  <c r="DK78" i="33" s="1"/>
  <c r="DU65" i="33"/>
  <c r="DU76" i="33" s="1"/>
  <c r="DN64" i="33"/>
  <c r="DN75" i="33" s="1"/>
  <c r="CG73" i="33"/>
  <c r="CG85" i="33" s="1"/>
  <c r="CY71" i="33"/>
  <c r="CY82" i="33" s="1"/>
  <c r="CJ70" i="33"/>
  <c r="CJ81" i="33" s="1"/>
  <c r="EB73" i="33"/>
  <c r="EB85" i="33" s="1"/>
  <c r="DM72" i="33"/>
  <c r="DM84" i="33" s="1"/>
  <c r="DF71" i="33"/>
  <c r="DF82" i="33" s="1"/>
  <c r="DX69" i="33"/>
  <c r="DX80" i="33" s="1"/>
  <c r="DQ68" i="33"/>
  <c r="DQ79" i="33" s="1"/>
  <c r="DJ67" i="33"/>
  <c r="DJ78" i="33" s="1"/>
  <c r="EB65" i="33"/>
  <c r="EB76" i="33" s="1"/>
  <c r="DM64" i="33"/>
  <c r="DM75" i="33" s="1"/>
  <c r="CF73" i="33"/>
  <c r="CF85" i="33" s="1"/>
  <c r="CX71" i="33"/>
  <c r="CX82" i="33" s="1"/>
  <c r="CQ70" i="33"/>
  <c r="CQ81" i="33" s="1"/>
  <c r="CB69" i="33"/>
  <c r="CB80" i="33" s="1"/>
  <c r="DI67" i="33"/>
  <c r="DI78" i="33" s="1"/>
  <c r="CP70" i="33"/>
  <c r="CP81" i="33" s="1"/>
  <c r="CF68" i="33"/>
  <c r="CF79" i="33" s="1"/>
  <c r="CX66" i="33"/>
  <c r="CQ65" i="33"/>
  <c r="CQ76" i="33" s="1"/>
  <c r="CB64" i="33"/>
  <c r="BS72" i="33"/>
  <c r="BS84" i="33" s="1"/>
  <c r="EA72" i="33"/>
  <c r="EA84" i="33" s="1"/>
  <c r="DT71" i="33"/>
  <c r="DT82" i="33" s="1"/>
  <c r="DE70" i="33"/>
  <c r="DE81" i="33" s="1"/>
  <c r="DW68" i="33"/>
  <c r="DW79" i="33" s="1"/>
  <c r="DP67" i="33"/>
  <c r="DP78" i="33" s="1"/>
  <c r="DI66" i="33"/>
  <c r="DI77" i="33" s="1"/>
  <c r="EA64" i="33"/>
  <c r="EA75" i="33" s="1"/>
  <c r="CL73" i="33"/>
  <c r="CL85" i="33" s="1"/>
  <c r="CE72" i="33"/>
  <c r="CE84" i="33" s="1"/>
  <c r="CW70" i="33"/>
  <c r="CW81" i="33" s="1"/>
  <c r="CP69" i="33"/>
  <c r="CP80" i="33" s="1"/>
  <c r="DI73" i="33"/>
  <c r="DI85" i="33" s="1"/>
  <c r="EA71" i="33"/>
  <c r="EA82" i="33" s="1"/>
  <c r="DT70" i="33"/>
  <c r="DT81" i="33" s="1"/>
  <c r="DE69" i="33"/>
  <c r="DE80" i="33" s="1"/>
  <c r="DW67" i="33"/>
  <c r="DW78" i="33" s="1"/>
  <c r="DP66" i="33"/>
  <c r="DP77" i="33" s="1"/>
  <c r="DI65" i="33"/>
  <c r="DI76" i="33" s="1"/>
  <c r="CS73" i="33"/>
  <c r="CS85" i="33" s="1"/>
  <c r="CL72" i="33"/>
  <c r="CL84" i="33" s="1"/>
  <c r="CE71" i="33"/>
  <c r="CE82" i="33" s="1"/>
  <c r="CW69" i="33"/>
  <c r="CW80" i="33" s="1"/>
  <c r="DP73" i="33"/>
  <c r="DP85" i="33" s="1"/>
  <c r="DI72" i="33"/>
  <c r="DI84" i="33" s="1"/>
  <c r="EA70" i="33"/>
  <c r="EA81" i="33" s="1"/>
  <c r="DT69" i="33"/>
  <c r="DT80" i="33" s="1"/>
  <c r="DE68" i="33"/>
  <c r="DE79" i="33" s="1"/>
  <c r="DW66" i="33"/>
  <c r="DW77" i="33" s="1"/>
  <c r="DP65" i="33"/>
  <c r="DP76" i="33" s="1"/>
  <c r="DI64" i="33"/>
  <c r="DI75" i="33" s="1"/>
  <c r="CS72" i="33"/>
  <c r="CS84" i="33" s="1"/>
  <c r="CL71" i="33"/>
  <c r="CL82" i="33" s="1"/>
  <c r="CE70" i="33"/>
  <c r="CE81" i="33" s="1"/>
  <c r="DW73" i="33"/>
  <c r="DW85" i="33" s="1"/>
  <c r="DP72" i="33"/>
  <c r="DP84" i="33" s="1"/>
  <c r="DI71" i="33"/>
  <c r="DI82" i="33" s="1"/>
  <c r="EA69" i="33"/>
  <c r="EA80" i="33" s="1"/>
  <c r="DT68" i="33"/>
  <c r="DT79" i="33" s="1"/>
  <c r="DE67" i="33"/>
  <c r="DE78" i="33" s="1"/>
  <c r="DW65" i="33"/>
  <c r="DW76" i="33" s="1"/>
  <c r="DP64" i="33"/>
  <c r="DP75" i="33" s="1"/>
  <c r="CI73" i="33"/>
  <c r="CI85" i="33" s="1"/>
  <c r="CS71" i="33"/>
  <c r="CS82" i="33" s="1"/>
  <c r="CL70" i="33"/>
  <c r="CL81" i="33" s="1"/>
  <c r="CE69" i="33"/>
  <c r="CE80" i="33" s="1"/>
  <c r="DW72" i="33"/>
  <c r="DW84" i="33" s="1"/>
  <c r="DP71" i="33"/>
  <c r="DP82" i="33" s="1"/>
  <c r="DI70" i="33"/>
  <c r="DI81" i="33" s="1"/>
  <c r="EA68" i="33"/>
  <c r="EA79" i="33" s="1"/>
  <c r="DT67" i="33"/>
  <c r="DT78" i="33" s="1"/>
  <c r="DE66" i="33"/>
  <c r="DE77" i="33" s="1"/>
  <c r="DW64" i="33"/>
  <c r="DW75" i="33" s="1"/>
  <c r="DM73" i="33"/>
  <c r="DM85" i="33" s="1"/>
  <c r="DF72" i="33"/>
  <c r="DF84" i="33" s="1"/>
  <c r="DX70" i="33"/>
  <c r="DX81" i="33" s="1"/>
  <c r="DQ69" i="33"/>
  <c r="DQ80" i="33" s="1"/>
  <c r="DJ68" i="33"/>
  <c r="DJ79" i="33" s="1"/>
  <c r="EB66" i="33"/>
  <c r="EB77" i="33" s="1"/>
  <c r="DM65" i="33"/>
  <c r="DM76" i="33" s="1"/>
  <c r="DF64" i="33"/>
  <c r="DF75" i="33" s="1"/>
  <c r="CX72" i="33"/>
  <c r="CX84" i="33" s="1"/>
  <c r="CQ71" i="33"/>
  <c r="CQ82" i="33" s="1"/>
  <c r="CB70" i="33"/>
  <c r="CB81" i="33" s="1"/>
  <c r="DT73" i="33"/>
  <c r="DT85" i="33" s="1"/>
  <c r="DE72" i="33"/>
  <c r="DE84" i="33" s="1"/>
  <c r="DW70" i="33"/>
  <c r="DW81" i="33" s="1"/>
  <c r="DP69" i="33"/>
  <c r="DP80" i="33" s="1"/>
  <c r="DI68" i="33"/>
  <c r="DI79" i="33" s="1"/>
  <c r="EA66" i="33"/>
  <c r="EA77" i="33" s="1"/>
  <c r="DT65" i="33"/>
  <c r="DT76" i="33" s="1"/>
  <c r="DE64" i="33"/>
  <c r="DE75" i="33" s="1"/>
  <c r="CW72" i="33"/>
  <c r="CW84" i="33" s="1"/>
  <c r="CP71" i="33"/>
  <c r="CP82" i="33" s="1"/>
  <c r="CI70" i="33"/>
  <c r="CI81" i="33" s="1"/>
  <c r="DK73" i="33"/>
  <c r="DK85" i="33" s="1"/>
  <c r="DK65" i="33"/>
  <c r="DK76" i="33" s="1"/>
  <c r="CL69" i="33"/>
  <c r="CL80" i="33" s="1"/>
  <c r="CW67" i="33"/>
  <c r="CW78" i="33" s="1"/>
  <c r="CP66" i="33"/>
  <c r="CP77" i="33" s="1"/>
  <c r="CI65" i="33"/>
  <c r="DZ73" i="33"/>
  <c r="DZ85" i="33" s="1"/>
  <c r="DS72" i="33"/>
  <c r="DS84" i="33" s="1"/>
  <c r="DL71" i="33"/>
  <c r="DL82" i="33" s="1"/>
  <c r="DV69" i="33"/>
  <c r="DV80" i="33" s="1"/>
  <c r="DO68" i="33"/>
  <c r="DO79" i="33" s="1"/>
  <c r="DH67" i="33"/>
  <c r="DH78" i="33" s="1"/>
  <c r="DZ65" i="33"/>
  <c r="DZ76" i="33" s="1"/>
  <c r="DS64" i="33"/>
  <c r="DS75" i="33" s="1"/>
  <c r="CD73" i="33"/>
  <c r="CD85" i="33" s="1"/>
  <c r="CV71" i="33"/>
  <c r="CV82" i="33" s="1"/>
  <c r="CO70" i="33"/>
  <c r="CO81" i="33" s="1"/>
  <c r="CH69" i="33"/>
  <c r="CH80" i="33" s="1"/>
  <c r="DZ72" i="33"/>
  <c r="DZ84" i="33" s="1"/>
  <c r="DS71" i="33"/>
  <c r="DS82" i="33" s="1"/>
  <c r="DL70" i="33"/>
  <c r="DL81" i="33" s="1"/>
  <c r="DV68" i="33"/>
  <c r="DV79" i="33" s="1"/>
  <c r="DO67" i="33"/>
  <c r="DO78" i="33" s="1"/>
  <c r="DH66" i="33"/>
  <c r="DH77" i="33" s="1"/>
  <c r="DZ64" i="33"/>
  <c r="DZ75" i="33" s="1"/>
  <c r="CK73" i="33"/>
  <c r="CK85" i="33" s="1"/>
  <c r="CD72" i="33"/>
  <c r="CD84" i="33" s="1"/>
  <c r="CV70" i="33"/>
  <c r="CV81" i="33" s="1"/>
  <c r="CO69" i="33"/>
  <c r="CO80" i="33" s="1"/>
  <c r="DH73" i="33"/>
  <c r="DH85" i="33" s="1"/>
  <c r="DZ71" i="33"/>
  <c r="DZ82" i="33" s="1"/>
  <c r="DS70" i="33"/>
  <c r="DS81" i="33" s="1"/>
  <c r="DL69" i="33"/>
  <c r="DL80" i="33" s="1"/>
  <c r="DV67" i="33"/>
  <c r="DV78" i="33" s="1"/>
  <c r="DO66" i="33"/>
  <c r="DO77" i="33" s="1"/>
  <c r="DH65" i="33"/>
  <c r="DH76" i="33" s="1"/>
  <c r="CR73" i="33"/>
  <c r="CR85" i="33" s="1"/>
  <c r="CK72" i="33"/>
  <c r="CK84" i="33" s="1"/>
  <c r="CD71" i="33"/>
  <c r="CD82" i="33" s="1"/>
  <c r="CV69" i="33"/>
  <c r="CV80" i="33" s="1"/>
  <c r="DO73" i="33"/>
  <c r="DO85" i="33" s="1"/>
  <c r="DH72" i="33"/>
  <c r="DH84" i="33" s="1"/>
  <c r="DZ70" i="33"/>
  <c r="DZ81" i="33" s="1"/>
  <c r="DS69" i="33"/>
  <c r="DS80" i="33" s="1"/>
  <c r="DL68" i="33"/>
  <c r="DL79" i="33" s="1"/>
  <c r="DV66" i="33"/>
  <c r="DV77" i="33" s="1"/>
  <c r="DO65" i="33"/>
  <c r="DO76" i="33" s="1"/>
  <c r="DH64" i="33"/>
  <c r="DH75" i="33" s="1"/>
  <c r="CR72" i="33"/>
  <c r="CR84" i="33" s="1"/>
  <c r="CK71" i="33"/>
  <c r="CK82" i="33" s="1"/>
  <c r="CD70" i="33"/>
  <c r="CD81" i="33" s="1"/>
  <c r="DV73" i="33"/>
  <c r="DV85" i="33" s="1"/>
  <c r="DO72" i="33"/>
  <c r="DO84" i="33" s="1"/>
  <c r="DH71" i="33"/>
  <c r="DH82" i="33" s="1"/>
  <c r="DZ69" i="33"/>
  <c r="DZ80" i="33" s="1"/>
  <c r="DS68" i="33"/>
  <c r="DS79" i="33" s="1"/>
  <c r="DL67" i="33"/>
  <c r="DL78" i="33" s="1"/>
  <c r="DV65" i="33"/>
  <c r="DV76" i="33" s="1"/>
  <c r="DO64" i="33"/>
  <c r="DO75" i="33" s="1"/>
  <c r="DE73" i="33"/>
  <c r="DE85" i="33" s="1"/>
  <c r="DW71" i="33"/>
  <c r="DW82" i="33" s="1"/>
  <c r="DP70" i="33"/>
  <c r="DP81" i="33" s="1"/>
  <c r="DI69" i="33"/>
  <c r="DI80" i="33" s="1"/>
  <c r="EA67" i="33"/>
  <c r="EA78" i="33" s="1"/>
  <c r="DT66" i="33"/>
  <c r="DT77" i="33" s="1"/>
  <c r="DE65" i="33"/>
  <c r="DE76" i="33" s="1"/>
  <c r="CW73" i="33"/>
  <c r="CW85" i="33" s="1"/>
  <c r="CP72" i="33"/>
  <c r="CP84" i="33" s="1"/>
  <c r="CI71" i="33"/>
  <c r="CI82" i="33" s="1"/>
  <c r="CS69" i="33"/>
  <c r="CS80" i="33" s="1"/>
  <c r="DL73" i="33"/>
  <c r="DL85" i="33" s="1"/>
  <c r="DV71" i="33"/>
  <c r="DV82" i="33" s="1"/>
  <c r="DO70" i="33"/>
  <c r="DO81" i="33" s="1"/>
  <c r="DH69" i="33"/>
  <c r="DH80" i="33" s="1"/>
  <c r="DZ67" i="33"/>
  <c r="DZ78" i="33" s="1"/>
  <c r="DS66" i="33"/>
  <c r="DS77" i="33" s="1"/>
  <c r="DL65" i="33"/>
  <c r="DL76" i="33" s="1"/>
  <c r="CV73" i="33"/>
  <c r="CV85" i="33" s="1"/>
  <c r="CO72" i="33"/>
  <c r="CO84" i="33" s="1"/>
  <c r="CH71" i="33"/>
  <c r="CH82" i="33" s="1"/>
  <c r="CR69" i="33"/>
  <c r="CR80" i="33" s="1"/>
  <c r="DE71" i="33"/>
  <c r="DE82" i="33" s="1"/>
  <c r="CY72" i="33"/>
  <c r="CY84" i="33" s="1"/>
  <c r="CV68" i="33"/>
  <c r="CV79" i="33" s="1"/>
  <c r="CO67" i="33"/>
  <c r="CO78" i="33" s="1"/>
  <c r="CH66" i="33"/>
  <c r="CH77" i="33" s="1"/>
  <c r="CR64" i="33"/>
  <c r="CR75" i="33" s="1"/>
  <c r="BK73" i="33"/>
  <c r="BK85" i="33" s="1"/>
  <c r="BC72" i="33"/>
  <c r="BC84" i="33" s="1"/>
  <c r="DU70" i="33"/>
  <c r="DU81" i="33" s="1"/>
  <c r="DR65" i="33"/>
  <c r="DR76" i="33" s="1"/>
  <c r="CG70" i="33"/>
  <c r="CG81" i="33" s="1"/>
  <c r="DU69" i="33"/>
  <c r="DU80" i="33" s="1"/>
  <c r="DR64" i="33"/>
  <c r="DR75" i="33" s="1"/>
  <c r="CG69" i="33"/>
  <c r="CG80" i="33" s="1"/>
  <c r="DU68" i="33"/>
  <c r="DU79" i="33" s="1"/>
  <c r="CJ73" i="33"/>
  <c r="CJ85" i="33" s="1"/>
  <c r="DG73" i="33"/>
  <c r="DG85" i="33" s="1"/>
  <c r="DU67" i="33"/>
  <c r="DU78" i="33" s="1"/>
  <c r="CJ72" i="33"/>
  <c r="CJ84" i="33" s="1"/>
  <c r="DG72" i="33"/>
  <c r="DG84" i="33" s="1"/>
  <c r="DU66" i="33"/>
  <c r="DU77" i="33" s="1"/>
  <c r="DO71" i="33"/>
  <c r="DO82" i="33" s="1"/>
  <c r="DL66" i="33"/>
  <c r="DL77" i="33" s="1"/>
  <c r="CR70" i="33"/>
  <c r="CR81" i="33" s="1"/>
  <c r="DG70" i="33"/>
  <c r="DG81" i="33" s="1"/>
  <c r="DU64" i="33"/>
  <c r="DU75" i="33" s="1"/>
  <c r="CJ69" i="33"/>
  <c r="CJ80" i="33" s="1"/>
  <c r="CG67" i="33"/>
  <c r="CG78" i="33" s="1"/>
  <c r="BC73" i="33"/>
  <c r="BC85" i="33" s="1"/>
  <c r="BC71" i="33"/>
  <c r="BC82" i="33" s="1"/>
  <c r="BS69" i="33"/>
  <c r="BS80" i="33" s="1"/>
  <c r="BK68" i="33"/>
  <c r="BK79" i="33" s="1"/>
  <c r="BC67" i="33"/>
  <c r="BC78" i="33" s="1"/>
  <c r="BS65" i="33"/>
  <c r="BK64" i="33"/>
  <c r="BK75" i="33" s="1"/>
  <c r="CO71" i="33"/>
  <c r="CO82" i="33" s="1"/>
  <c r="CM68" i="33"/>
  <c r="CM79" i="33" s="1"/>
  <c r="CF67" i="33"/>
  <c r="CF78" i="33" s="1"/>
  <c r="CX65" i="33"/>
  <c r="CQ64" i="33"/>
  <c r="CQ75" i="33" s="1"/>
  <c r="BB73" i="33"/>
  <c r="BB85" i="33" s="1"/>
  <c r="BR71" i="33"/>
  <c r="BR82" i="33" s="1"/>
  <c r="BJ70" i="33"/>
  <c r="BJ81" i="33" s="1"/>
  <c r="BB69" i="33"/>
  <c r="BB80" i="33" s="1"/>
  <c r="BR67" i="33"/>
  <c r="BR78" i="33" s="1"/>
  <c r="BJ66" i="33"/>
  <c r="BB65" i="33"/>
  <c r="EB72" i="33"/>
  <c r="EB84" i="33" s="1"/>
  <c r="EB64" i="33"/>
  <c r="EB75" i="33" s="1"/>
  <c r="CH70" i="33"/>
  <c r="CH81" i="33" s="1"/>
  <c r="CD68" i="33"/>
  <c r="CD79" i="33" s="1"/>
  <c r="CV66" i="33"/>
  <c r="CV77" i="33" s="1"/>
  <c r="CO65" i="33"/>
  <c r="CO76" i="33" s="1"/>
  <c r="CH64" i="33"/>
  <c r="BQ72" i="33"/>
  <c r="BQ84" i="33" s="1"/>
  <c r="BI71" i="33"/>
  <c r="BI82" i="33" s="1"/>
  <c r="BA70" i="33"/>
  <c r="BA81" i="33" s="1"/>
  <c r="BQ68" i="33"/>
  <c r="BQ79" i="33" s="1"/>
  <c r="BI67" i="33"/>
  <c r="BI78" i="33" s="1"/>
  <c r="BA66" i="33"/>
  <c r="DN70" i="33"/>
  <c r="DN81" i="33" s="1"/>
  <c r="CP73" i="33"/>
  <c r="CP85" i="33" s="1"/>
  <c r="CC69" i="33"/>
  <c r="CC80" i="33" s="1"/>
  <c r="CT67" i="33"/>
  <c r="CT78" i="33" s="1"/>
  <c r="CM66" i="33"/>
  <c r="CM77" i="33" s="1"/>
  <c r="CF65" i="33"/>
  <c r="BP73" i="33"/>
  <c r="BP85" i="33" s="1"/>
  <c r="BH72" i="33"/>
  <c r="BH84" i="33" s="1"/>
  <c r="AZ71" i="33"/>
  <c r="AZ82" i="33" s="1"/>
  <c r="BP69" i="33"/>
  <c r="BP80" i="33" s="1"/>
  <c r="BH68" i="33"/>
  <c r="BH79" i="33" s="1"/>
  <c r="AZ67" i="33"/>
  <c r="AZ78" i="33" s="1"/>
  <c r="BH64" i="33"/>
  <c r="BH75" i="33" s="1"/>
  <c r="DH68" i="33"/>
  <c r="DH79" i="33" s="1"/>
  <c r="CI72" i="33"/>
  <c r="CI84" i="33" s="1"/>
  <c r="CB68" i="33"/>
  <c r="CB79" i="33" s="1"/>
  <c r="CT66" i="33"/>
  <c r="CT77" i="33" s="1"/>
  <c r="CM65" i="33"/>
  <c r="CM76" i="33" s="1"/>
  <c r="CF64" i="33"/>
  <c r="BO72" i="33"/>
  <c r="BO84" i="33" s="1"/>
  <c r="BG71" i="33"/>
  <c r="BG82" i="33" s="1"/>
  <c r="AY70" i="33"/>
  <c r="AY81" i="33" s="1"/>
  <c r="BO68" i="33"/>
  <c r="BO79" i="33" s="1"/>
  <c r="BG67" i="33"/>
  <c r="BG78" i="33" s="1"/>
  <c r="AY66" i="33"/>
  <c r="CF72" i="33"/>
  <c r="CF84" i="33" s="1"/>
  <c r="CI68" i="33"/>
  <c r="CI79" i="33" s="1"/>
  <c r="CS66" i="33"/>
  <c r="CS77" i="33" s="1"/>
  <c r="CL65" i="33"/>
  <c r="CL76" i="33" s="1"/>
  <c r="CE64" i="33"/>
  <c r="DN69" i="33"/>
  <c r="DN80" i="33" s="1"/>
  <c r="DK64" i="33"/>
  <c r="DK75" i="33" s="1"/>
  <c r="DY73" i="33"/>
  <c r="DY85" i="33" s="1"/>
  <c r="DN68" i="33"/>
  <c r="DN79" i="33" s="1"/>
  <c r="CC73" i="33"/>
  <c r="CC85" i="33" s="1"/>
  <c r="DY72" i="33"/>
  <c r="DY84" i="33" s="1"/>
  <c r="DN67" i="33"/>
  <c r="DN78" i="33" s="1"/>
  <c r="CC72" i="33"/>
  <c r="CC84" i="33" s="1"/>
  <c r="DY71" i="33"/>
  <c r="DY82" i="33" s="1"/>
  <c r="DN66" i="33"/>
  <c r="DN77" i="33" s="1"/>
  <c r="CC71" i="33"/>
  <c r="CC82" i="33" s="1"/>
  <c r="DY70" i="33"/>
  <c r="DY81" i="33" s="1"/>
  <c r="DN65" i="33"/>
  <c r="DN76" i="33" s="1"/>
  <c r="DH70" i="33"/>
  <c r="DH81" i="33" s="1"/>
  <c r="DV64" i="33"/>
  <c r="DV75" i="33" s="1"/>
  <c r="CK69" i="33"/>
  <c r="CK80" i="33" s="1"/>
  <c r="DY68" i="33"/>
  <c r="DY79" i="33" s="1"/>
  <c r="CN73" i="33"/>
  <c r="CN85" i="33" s="1"/>
  <c r="DG69" i="33"/>
  <c r="DG80" i="33" s="1"/>
  <c r="CY65" i="33"/>
  <c r="BK72" i="33"/>
  <c r="BK84" i="33" s="1"/>
  <c r="BS70" i="33"/>
  <c r="BS81" i="33" s="1"/>
  <c r="BK69" i="33"/>
  <c r="BK80" i="33" s="1"/>
  <c r="BC68" i="33"/>
  <c r="BC79" i="33" s="1"/>
  <c r="BS66" i="33"/>
  <c r="BK65" i="33"/>
  <c r="BK76" i="33" s="1"/>
  <c r="BC64" i="33"/>
  <c r="CK70" i="33"/>
  <c r="CK81" i="33" s="1"/>
  <c r="CE68" i="33"/>
  <c r="CE79" i="33" s="1"/>
  <c r="CW66" i="33"/>
  <c r="CW77" i="33" s="1"/>
  <c r="CP65" i="33"/>
  <c r="CP76" i="33" s="1"/>
  <c r="CI64" i="33"/>
  <c r="BR72" i="33"/>
  <c r="BR84" i="33" s="1"/>
  <c r="BJ71" i="33"/>
  <c r="BJ82" i="33" s="1"/>
  <c r="BB70" i="33"/>
  <c r="BB81" i="33" s="1"/>
  <c r="BR68" i="33"/>
  <c r="BR79" i="33" s="1"/>
  <c r="BJ67" i="33"/>
  <c r="BJ78" i="33" s="1"/>
  <c r="BB66" i="33"/>
  <c r="DV70" i="33"/>
  <c r="DV81" i="33" s="1"/>
  <c r="CU73" i="33"/>
  <c r="CU85" i="33" s="1"/>
  <c r="CD69" i="33"/>
  <c r="CD80" i="33" s="1"/>
  <c r="CU67" i="33"/>
  <c r="CU78" i="33" s="1"/>
  <c r="CN66" i="33"/>
  <c r="CN77" i="33" s="1"/>
  <c r="CG65" i="33"/>
  <c r="BQ73" i="33"/>
  <c r="BQ85" i="33" s="1"/>
  <c r="BI72" i="33"/>
  <c r="BI84" i="33" s="1"/>
  <c r="BA71" i="33"/>
  <c r="BA82" i="33" s="1"/>
  <c r="BQ69" i="33"/>
  <c r="BQ80" i="33" s="1"/>
  <c r="BI68" i="33"/>
  <c r="BI79" i="33" s="1"/>
  <c r="BA67" i="33"/>
  <c r="BA78" i="33" s="1"/>
  <c r="BQ65" i="33"/>
  <c r="BI64" i="33"/>
  <c r="BI75" i="33" s="1"/>
  <c r="DP68" i="33"/>
  <c r="DP79" i="33" s="1"/>
  <c r="CN72" i="33"/>
  <c r="CN84" i="33" s="1"/>
  <c r="CS68" i="33"/>
  <c r="CS79" i="33" s="1"/>
  <c r="CL67" i="33"/>
  <c r="CL78" i="33" s="1"/>
  <c r="CE66" i="33"/>
  <c r="CW64" i="33"/>
  <c r="BH73" i="33"/>
  <c r="BH85" i="33" s="1"/>
  <c r="AZ72" i="33"/>
  <c r="AZ84" i="33" s="1"/>
  <c r="BP70" i="33"/>
  <c r="BP81" i="33" s="1"/>
  <c r="BH69" i="33"/>
  <c r="BH80" i="33" s="1"/>
  <c r="AZ68" i="33"/>
  <c r="AZ79" i="33" s="1"/>
  <c r="BP66" i="33"/>
  <c r="BH65" i="33"/>
  <c r="BH76" i="33" s="1"/>
  <c r="AZ64" i="33"/>
  <c r="DJ66" i="33"/>
  <c r="DJ77" i="33" s="1"/>
  <c r="CB71" i="33"/>
  <c r="CB82" i="33" s="1"/>
  <c r="CS67" i="33"/>
  <c r="CS78" i="33" s="1"/>
  <c r="CL66" i="33"/>
  <c r="CL77" i="33" s="1"/>
  <c r="CE65" i="33"/>
  <c r="DR73" i="33"/>
  <c r="DR85" i="33" s="1"/>
  <c r="DG68" i="33"/>
  <c r="DG79" i="33" s="1"/>
  <c r="CU72" i="33"/>
  <c r="CU84" i="33" s="1"/>
  <c r="DR72" i="33"/>
  <c r="DR84" i="33" s="1"/>
  <c r="DG67" i="33"/>
  <c r="DG78" i="33" s="1"/>
  <c r="CU71" i="33"/>
  <c r="CU82" i="33" s="1"/>
  <c r="DR71" i="33"/>
  <c r="DR82" i="33" s="1"/>
  <c r="DG66" i="33"/>
  <c r="DG77" i="33" s="1"/>
  <c r="CU70" i="33"/>
  <c r="CU81" i="33" s="1"/>
  <c r="DR70" i="33"/>
  <c r="DR81" i="33" s="1"/>
  <c r="DG65" i="33"/>
  <c r="DG76" i="33" s="1"/>
  <c r="CU69" i="33"/>
  <c r="CU80" i="33" s="1"/>
  <c r="DR69" i="33"/>
  <c r="DR80" i="33" s="1"/>
  <c r="DG64" i="33"/>
  <c r="DG75" i="33" s="1"/>
  <c r="DZ68" i="33"/>
  <c r="DZ79" i="33" s="1"/>
  <c r="CO73" i="33"/>
  <c r="CO85" i="33" s="1"/>
  <c r="DU72" i="33"/>
  <c r="DU84" i="33" s="1"/>
  <c r="DR67" i="33"/>
  <c r="DR78" i="33" s="1"/>
  <c r="CG72" i="33"/>
  <c r="CG84" i="33" s="1"/>
  <c r="CR71" i="33"/>
  <c r="CR82" i="33" s="1"/>
  <c r="CJ64" i="33"/>
  <c r="BS71" i="33"/>
  <c r="BS82" i="33" s="1"/>
  <c r="BK70" i="33"/>
  <c r="BK81" i="33" s="1"/>
  <c r="BC69" i="33"/>
  <c r="BC80" i="33" s="1"/>
  <c r="BS67" i="33"/>
  <c r="BS78" i="33" s="1"/>
  <c r="BK66" i="33"/>
  <c r="BC65" i="33"/>
  <c r="CX73" i="33"/>
  <c r="CX85" i="33" s="1"/>
  <c r="CI69" i="33"/>
  <c r="CI80" i="33" s="1"/>
  <c r="CV67" i="33"/>
  <c r="CV78" i="33" s="1"/>
  <c r="CO66" i="33"/>
  <c r="CO77" i="33" s="1"/>
  <c r="CH65" i="33"/>
  <c r="BR73" i="33"/>
  <c r="BR85" i="33" s="1"/>
  <c r="BJ72" i="33"/>
  <c r="BJ84" i="33" s="1"/>
  <c r="BB71" i="33"/>
  <c r="BB82" i="33" s="1"/>
  <c r="BR69" i="33"/>
  <c r="BR80" i="33" s="1"/>
  <c r="BJ68" i="33"/>
  <c r="BJ79" i="33" s="1"/>
  <c r="BB67" i="33"/>
  <c r="BB78" i="33" s="1"/>
  <c r="BR65" i="33"/>
  <c r="BJ64" i="33"/>
  <c r="BJ75" i="33" s="1"/>
  <c r="DX68" i="33"/>
  <c r="DX79" i="33" s="1"/>
  <c r="CQ72" i="33"/>
  <c r="CQ84" i="33" s="1"/>
  <c r="CT68" i="33"/>
  <c r="CT79" i="33" s="1"/>
  <c r="CM67" i="33"/>
  <c r="CM78" i="33" s="1"/>
  <c r="CF66" i="33"/>
  <c r="CX64" i="33"/>
  <c r="BI73" i="33"/>
  <c r="BI85" i="33" s="1"/>
  <c r="BA72" i="33"/>
  <c r="BA84" i="33" s="1"/>
  <c r="BQ70" i="33"/>
  <c r="BQ81" i="33" s="1"/>
  <c r="BI69" i="33"/>
  <c r="BI80" i="33" s="1"/>
  <c r="BA68" i="33"/>
  <c r="BA79" i="33" s="1"/>
  <c r="BQ66" i="33"/>
  <c r="BI65" i="33"/>
  <c r="BI76" i="33" s="1"/>
  <c r="BA64" i="33"/>
  <c r="DR66" i="33"/>
  <c r="DR77" i="33" s="1"/>
  <c r="CG71" i="33"/>
  <c r="CG82" i="33" s="1"/>
  <c r="CK68" i="33"/>
  <c r="CK79" i="33" s="1"/>
  <c r="CD67" i="33"/>
  <c r="CD78" i="33" s="1"/>
  <c r="CV65" i="33"/>
  <c r="CO64" i="33"/>
  <c r="CO75" i="33" s="1"/>
  <c r="AZ73" i="33"/>
  <c r="AZ85" i="33" s="1"/>
  <c r="BP71" i="33"/>
  <c r="BP82" i="33" s="1"/>
  <c r="BH70" i="33"/>
  <c r="BH81" i="33" s="1"/>
  <c r="AZ69" i="33"/>
  <c r="AZ80" i="33" s="1"/>
  <c r="BP67" i="33"/>
  <c r="BP78" i="33" s="1"/>
  <c r="BH66" i="33"/>
  <c r="AZ65" i="33"/>
  <c r="DL72" i="33"/>
  <c r="DL84" i="33" s="1"/>
  <c r="DL64" i="33"/>
  <c r="DL75" i="33" s="1"/>
  <c r="CR68" i="33"/>
  <c r="CR79" i="33" s="1"/>
  <c r="CK67" i="33"/>
  <c r="CK78" i="33" s="1"/>
  <c r="CD66" i="33"/>
  <c r="CV64" i="33"/>
  <c r="BG73" i="33"/>
  <c r="BG85" i="33" s="1"/>
  <c r="AY72" i="33"/>
  <c r="AY84" i="33" s="1"/>
  <c r="BO70" i="33"/>
  <c r="BO81" i="33" s="1"/>
  <c r="BG69" i="33"/>
  <c r="BG80" i="33" s="1"/>
  <c r="AY68" i="33"/>
  <c r="AY79" i="33" s="1"/>
  <c r="BO66" i="33"/>
  <c r="BG65" i="33"/>
  <c r="BG76" i="33" s="1"/>
  <c r="AY64" i="33"/>
  <c r="CY68" i="33"/>
  <c r="CY79" i="33" s="1"/>
  <c r="CJ67" i="33"/>
  <c r="CJ78" i="33" s="1"/>
  <c r="CC66" i="33"/>
  <c r="CU64" i="33"/>
  <c r="DK72" i="33"/>
  <c r="DK84" i="33" s="1"/>
  <c r="DY65" i="33"/>
  <c r="DY76" i="33" s="1"/>
  <c r="CN69" i="33"/>
  <c r="CN80" i="33" s="1"/>
  <c r="DK68" i="33"/>
  <c r="DK79" i="33" s="1"/>
  <c r="DN71" i="33"/>
  <c r="DN82" i="33" s="1"/>
  <c r="BS73" i="33"/>
  <c r="BS85" i="33" s="1"/>
  <c r="BK67" i="33"/>
  <c r="BK78" i="33" s="1"/>
  <c r="CU68" i="33"/>
  <c r="CU79" i="33" s="1"/>
  <c r="BJ73" i="33"/>
  <c r="BJ85" i="33" s="1"/>
  <c r="BB68" i="33"/>
  <c r="BB79" i="33" s="1"/>
  <c r="DZ66" i="33"/>
  <c r="DZ77" i="33" s="1"/>
  <c r="CW65" i="33"/>
  <c r="BI70" i="33"/>
  <c r="BI81" i="33" s="1"/>
  <c r="BA65" i="33"/>
  <c r="CC68" i="33"/>
  <c r="CC79" i="33" s="1"/>
  <c r="BP72" i="33"/>
  <c r="BP84" i="33" s="1"/>
  <c r="BH67" i="33"/>
  <c r="BH78" i="33" s="1"/>
  <c r="CM73" i="33"/>
  <c r="CM85" i="33" s="1"/>
  <c r="CN64" i="33"/>
  <c r="CN75" i="33" s="1"/>
  <c r="BO71" i="33"/>
  <c r="BO82" i="33" s="1"/>
  <c r="AY69" i="33"/>
  <c r="AY80" i="33" s="1"/>
  <c r="BG66" i="33"/>
  <c r="CH73" i="33"/>
  <c r="CH85" i="33" s="1"/>
  <c r="CB67" i="33"/>
  <c r="CB78" i="33" s="1"/>
  <c r="CM64" i="33"/>
  <c r="CM75" i="33" s="1"/>
  <c r="BN72" i="33"/>
  <c r="BN84" i="33" s="1"/>
  <c r="BF71" i="33"/>
  <c r="BF82" i="33" s="1"/>
  <c r="AX70" i="33"/>
  <c r="AX81" i="33" s="1"/>
  <c r="BN68" i="33"/>
  <c r="BN79" i="33" s="1"/>
  <c r="BF67" i="33"/>
  <c r="BF78" i="33" s="1"/>
  <c r="AX66" i="33"/>
  <c r="BN64" i="33"/>
  <c r="DU71" i="33"/>
  <c r="DU82" i="33" s="1"/>
  <c r="CE73" i="33"/>
  <c r="CE85" i="33" s="1"/>
  <c r="CP68" i="33"/>
  <c r="CP79" i="33" s="1"/>
  <c r="CI67" i="33"/>
  <c r="CI78" i="33" s="1"/>
  <c r="CS65" i="33"/>
  <c r="CS76" i="33" s="1"/>
  <c r="CL64" i="33"/>
  <c r="CL75" i="33" s="1"/>
  <c r="AW73" i="33"/>
  <c r="AW85" i="33" s="1"/>
  <c r="BM71" i="33"/>
  <c r="BM82" i="33" s="1"/>
  <c r="BE70" i="33"/>
  <c r="BE81" i="33" s="1"/>
  <c r="AW69" i="33"/>
  <c r="AW80" i="33" s="1"/>
  <c r="BM67" i="33"/>
  <c r="BM78" i="33" s="1"/>
  <c r="BE66" i="33"/>
  <c r="AW65" i="33"/>
  <c r="DS73" i="33"/>
  <c r="DS85" i="33" s="1"/>
  <c r="DS65" i="33"/>
  <c r="DS76" i="33" s="1"/>
  <c r="CW68" i="33"/>
  <c r="CW79" i="33" s="1"/>
  <c r="CP67" i="33"/>
  <c r="CP78" i="33" s="1"/>
  <c r="CI66" i="33"/>
  <c r="CI77" i="33" s="1"/>
  <c r="CS64" i="33"/>
  <c r="CS75" i="33" s="1"/>
  <c r="BD73" i="33"/>
  <c r="BD85" i="33" s="1"/>
  <c r="AV72" i="33"/>
  <c r="AV84" i="33" s="1"/>
  <c r="BL70" i="33"/>
  <c r="BL81" i="33" s="1"/>
  <c r="BD69" i="33"/>
  <c r="BD80" i="33" s="1"/>
  <c r="AV68" i="33"/>
  <c r="AV79" i="33" s="1"/>
  <c r="BL66" i="33"/>
  <c r="BD65" i="33"/>
  <c r="AV64" i="33"/>
  <c r="DY66" i="33"/>
  <c r="DY77" i="33" s="1"/>
  <c r="CN70" i="33"/>
  <c r="CN81" i="33" s="1"/>
  <c r="DK69" i="33"/>
  <c r="DK80" i="33" s="1"/>
  <c r="DV72" i="33"/>
  <c r="DV84" i="33" s="1"/>
  <c r="DK66" i="33"/>
  <c r="DK77" i="33" s="1"/>
  <c r="BK71" i="33"/>
  <c r="BK82" i="33" s="1"/>
  <c r="BC66" i="33"/>
  <c r="CN67" i="33"/>
  <c r="CN78" i="33" s="1"/>
  <c r="BB72" i="33"/>
  <c r="BB84" i="33" s="1"/>
  <c r="BR66" i="33"/>
  <c r="CJ71" i="33"/>
  <c r="CJ82" i="33" s="1"/>
  <c r="CP64" i="33"/>
  <c r="CP75" i="33" s="1"/>
  <c r="BA69" i="33"/>
  <c r="BA80" i="33" s="1"/>
  <c r="DT72" i="33"/>
  <c r="DT84" i="33" s="1"/>
  <c r="CU66" i="33"/>
  <c r="CU77" i="33" s="1"/>
  <c r="BH71" i="33"/>
  <c r="BH82" i="33" s="1"/>
  <c r="AZ66" i="33"/>
  <c r="CJ68" i="33"/>
  <c r="CJ79" i="33" s="1"/>
  <c r="BO73" i="33"/>
  <c r="BO85" i="33" s="1"/>
  <c r="AY71" i="33"/>
  <c r="AY82" i="33" s="1"/>
  <c r="BG68" i="33"/>
  <c r="BG79" i="33" s="1"/>
  <c r="CY69" i="33"/>
  <c r="CY80" i="33" s="1"/>
  <c r="CK66" i="33"/>
  <c r="CK77" i="33" s="1"/>
  <c r="BN73" i="33"/>
  <c r="BN85" i="33" s="1"/>
  <c r="BF72" i="33"/>
  <c r="BF84" i="33" s="1"/>
  <c r="AX71" i="33"/>
  <c r="AX82" i="33" s="1"/>
  <c r="BN69" i="33"/>
  <c r="BN80" i="33" s="1"/>
  <c r="BF68" i="33"/>
  <c r="BF79" i="33" s="1"/>
  <c r="AX67" i="33"/>
  <c r="AX78" i="33" s="1"/>
  <c r="BN65" i="33"/>
  <c r="BN76" i="33" s="1"/>
  <c r="BF64" i="33"/>
  <c r="DW69" i="33"/>
  <c r="DW80" i="33" s="1"/>
  <c r="CX70" i="33"/>
  <c r="CX81" i="33" s="1"/>
  <c r="CH68" i="33"/>
  <c r="CH79" i="33" s="1"/>
  <c r="CR66" i="33"/>
  <c r="CR77" i="33" s="1"/>
  <c r="CK65" i="33"/>
  <c r="CD64" i="33"/>
  <c r="BM72" i="33"/>
  <c r="BM84" i="33" s="1"/>
  <c r="BE71" i="33"/>
  <c r="BE82" i="33" s="1"/>
  <c r="AW70" i="33"/>
  <c r="AW81" i="33" s="1"/>
  <c r="BM68" i="33"/>
  <c r="BM79" i="33" s="1"/>
  <c r="BE67" i="33"/>
  <c r="BE78" i="33" s="1"/>
  <c r="AW66" i="33"/>
  <c r="BM64" i="33"/>
  <c r="BM75" i="33" s="1"/>
  <c r="DM71" i="33"/>
  <c r="DM82" i="33" s="1"/>
  <c r="CW71" i="33"/>
  <c r="CW82" i="33" s="1"/>
  <c r="CO68" i="33"/>
  <c r="CO79" i="33" s="1"/>
  <c r="CH67" i="33"/>
  <c r="CH78" i="33" s="1"/>
  <c r="CR65" i="33"/>
  <c r="CR76" i="33" s="1"/>
  <c r="CK64" i="33"/>
  <c r="AV73" i="33"/>
  <c r="AV85" i="33" s="1"/>
  <c r="BL71" i="33"/>
  <c r="BL82" i="33" s="1"/>
  <c r="BD70" i="33"/>
  <c r="BD81" i="33" s="1"/>
  <c r="AV69" i="33"/>
  <c r="AV80" i="33" s="1"/>
  <c r="BL67" i="33"/>
  <c r="BL78" i="33" s="1"/>
  <c r="BD66" i="33"/>
  <c r="AV65" i="33"/>
  <c r="CN71" i="33"/>
  <c r="CN82" i="33" s="1"/>
  <c r="DK70" i="33"/>
  <c r="DK81" i="33" s="1"/>
  <c r="CY73" i="33"/>
  <c r="CY85" i="33" s="1"/>
  <c r="DS67" i="33"/>
  <c r="DS78" i="33" s="1"/>
  <c r="CY70" i="33"/>
  <c r="CY81" i="33" s="1"/>
  <c r="BC70" i="33"/>
  <c r="BC81" i="33" s="1"/>
  <c r="CG66" i="33"/>
  <c r="BR70" i="33"/>
  <c r="BR81" i="33" s="1"/>
  <c r="BJ65" i="33"/>
  <c r="BJ76" i="33" s="1"/>
  <c r="CL68" i="33"/>
  <c r="CL79" i="33" s="1"/>
  <c r="BA73" i="33"/>
  <c r="BA85" i="33" s="1"/>
  <c r="BQ67" i="33"/>
  <c r="BQ78" i="33" s="1"/>
  <c r="DT64" i="33"/>
  <c r="DT75" i="33" s="1"/>
  <c r="CN65" i="33"/>
  <c r="CN76" i="33" s="1"/>
  <c r="AZ70" i="33"/>
  <c r="AZ81" i="33" s="1"/>
  <c r="BP64" i="33"/>
  <c r="CC67" i="33"/>
  <c r="CC78" i="33" s="1"/>
  <c r="AY73" i="33"/>
  <c r="AY85" i="33" s="1"/>
  <c r="BG70" i="33"/>
  <c r="BG81" i="33" s="1"/>
  <c r="BO67" i="33"/>
  <c r="BO78" i="33" s="1"/>
  <c r="AY65" i="33"/>
  <c r="CQ68" i="33"/>
  <c r="CQ79" i="33" s="1"/>
  <c r="CT65" i="33"/>
  <c r="CT76" i="33" s="1"/>
  <c r="BF73" i="33"/>
  <c r="BF85" i="33" s="1"/>
  <c r="AX72" i="33"/>
  <c r="AX84" i="33" s="1"/>
  <c r="BN70" i="33"/>
  <c r="BN81" i="33" s="1"/>
  <c r="BF69" i="33"/>
  <c r="BF80" i="33" s="1"/>
  <c r="AX68" i="33"/>
  <c r="AX79" i="33" s="1"/>
  <c r="BN66" i="33"/>
  <c r="BF65" i="33"/>
  <c r="BF76" i="33" s="1"/>
  <c r="AX64" i="33"/>
  <c r="DY67" i="33"/>
  <c r="DY78" i="33" s="1"/>
  <c r="CT69" i="33"/>
  <c r="CT80" i="33" s="1"/>
  <c r="CY67" i="33"/>
  <c r="CY78" i="33" s="1"/>
  <c r="CJ66" i="33"/>
  <c r="CJ77" i="33" s="1"/>
  <c r="CC65" i="33"/>
  <c r="BM73" i="33"/>
  <c r="BM85" i="33" s="1"/>
  <c r="BE72" i="33"/>
  <c r="BE84" i="33" s="1"/>
  <c r="AW71" i="33"/>
  <c r="AW82" i="33" s="1"/>
  <c r="BM69" i="33"/>
  <c r="BM80" i="33" s="1"/>
  <c r="BE68" i="33"/>
  <c r="BE79" i="33" s="1"/>
  <c r="AW67" i="33"/>
  <c r="AW78" i="33" s="1"/>
  <c r="BM65" i="33"/>
  <c r="BM76" i="33" s="1"/>
  <c r="BE64" i="33"/>
  <c r="DO69" i="33"/>
  <c r="DO80" i="33" s="1"/>
  <c r="CS70" i="33"/>
  <c r="CS81" i="33" s="1"/>
  <c r="CG68" i="33"/>
  <c r="CG79" i="33" s="1"/>
  <c r="CY66" i="33"/>
  <c r="CJ65" i="33"/>
  <c r="CC64" i="33"/>
  <c r="BL72" i="33"/>
  <c r="BL84" i="33" s="1"/>
  <c r="BD71" i="33"/>
  <c r="BD82" i="33" s="1"/>
  <c r="AV70" i="33"/>
  <c r="AV81" i="33" s="1"/>
  <c r="BL68" i="33"/>
  <c r="BL79" i="33" s="1"/>
  <c r="BD67" i="33"/>
  <c r="BD78" i="33" s="1"/>
  <c r="AV66" i="33"/>
  <c r="BL64" i="33"/>
  <c r="BL75" i="33" s="1"/>
  <c r="DK71" i="33"/>
  <c r="DK82" i="33" s="1"/>
  <c r="CN68" i="33"/>
  <c r="CN79" i="33" s="1"/>
  <c r="BJ69" i="33"/>
  <c r="BJ80" i="33" s="1"/>
  <c r="BI66" i="33"/>
  <c r="DF70" i="33"/>
  <c r="DF81" i="33" s="1"/>
  <c r="AY67" i="33"/>
  <c r="AY78" i="33" s="1"/>
  <c r="AX73" i="33"/>
  <c r="AX85" i="33" s="1"/>
  <c r="BN67" i="33"/>
  <c r="BN78" i="33" s="1"/>
  <c r="EA65" i="33"/>
  <c r="EA76" i="33" s="1"/>
  <c r="CT64" i="33"/>
  <c r="BE69" i="33"/>
  <c r="BE80" i="33" s="1"/>
  <c r="AW64" i="33"/>
  <c r="CQ66" i="33"/>
  <c r="CQ77" i="33" s="1"/>
  <c r="AV71" i="33"/>
  <c r="AV82" i="33" s="1"/>
  <c r="BL65" i="33"/>
  <c r="BL76" i="33" s="1"/>
  <c r="DY64" i="33"/>
  <c r="DY75" i="33" s="1"/>
  <c r="BS68" i="33"/>
  <c r="BS79" i="33" s="1"/>
  <c r="BB64" i="33"/>
  <c r="CC70" i="33"/>
  <c r="CC81" i="33" s="1"/>
  <c r="CU65" i="33"/>
  <c r="CU76" i="33" s="1"/>
  <c r="BG64" i="33"/>
  <c r="BG75" i="33" s="1"/>
  <c r="BN71" i="33"/>
  <c r="BN82" i="33" s="1"/>
  <c r="BF66" i="33"/>
  <c r="CX68" i="33"/>
  <c r="CX79" i="33" s="1"/>
  <c r="BE73" i="33"/>
  <c r="BE85" i="33" s="1"/>
  <c r="AW68" i="33"/>
  <c r="AW79" i="33" s="1"/>
  <c r="DQ67" i="33"/>
  <c r="DQ78" i="33" s="1"/>
  <c r="CB65" i="33"/>
  <c r="BL69" i="33"/>
  <c r="BL80" i="33" s="1"/>
  <c r="BD64" i="33"/>
  <c r="DN73" i="33"/>
  <c r="DN85" i="33" s="1"/>
  <c r="CV72" i="33"/>
  <c r="CV84" i="33" s="1"/>
  <c r="CE67" i="33"/>
  <c r="CE78" i="33" s="1"/>
  <c r="CG64" i="33"/>
  <c r="BG72" i="33"/>
  <c r="BG84" i="33" s="1"/>
  <c r="CR67" i="33"/>
  <c r="CR78" i="33" s="1"/>
  <c r="BF70" i="33"/>
  <c r="BF81" i="33" s="1"/>
  <c r="AX65" i="33"/>
  <c r="CQ67" i="33"/>
  <c r="CQ78" i="33" s="1"/>
  <c r="AW72" i="33"/>
  <c r="AW84" i="33" s="1"/>
  <c r="BM66" i="33"/>
  <c r="CQ69" i="33"/>
  <c r="CQ80" i="33" s="1"/>
  <c r="BL73" i="33"/>
  <c r="BL85" i="33" s="1"/>
  <c r="BD68" i="33"/>
  <c r="BD79" i="33" s="1"/>
  <c r="CH72" i="33"/>
  <c r="CH84" i="33" s="1"/>
  <c r="CY64" i="33"/>
  <c r="BQ71" i="33"/>
  <c r="BQ82" i="33" s="1"/>
  <c r="BP68" i="33"/>
  <c r="BP79" i="33" s="1"/>
  <c r="BO69" i="33"/>
  <c r="BO80" i="33" s="1"/>
  <c r="CD65" i="33"/>
  <c r="AX69" i="33"/>
  <c r="AX80" i="33" s="1"/>
  <c r="EA73" i="33"/>
  <c r="EA85" i="33" s="1"/>
  <c r="CB66" i="33"/>
  <c r="BM70" i="33"/>
  <c r="BM81" i="33" s="1"/>
  <c r="BE65" i="33"/>
  <c r="BE76" i="33" s="1"/>
  <c r="CX67" i="33"/>
  <c r="CX78" i="33" s="1"/>
  <c r="BD72" i="33"/>
  <c r="BD84" i="33" s="1"/>
  <c r="AV67" i="33"/>
  <c r="AV78" i="33" s="1"/>
  <c r="L209" i="33"/>
  <c r="D267" i="33"/>
  <c r="O261" i="33"/>
  <c r="K257" i="33"/>
  <c r="L257" i="33" s="1"/>
  <c r="K256" i="33"/>
  <c r="L256" i="33" s="1"/>
  <c r="O262" i="33"/>
  <c r="D271" i="33"/>
  <c r="J220" i="33"/>
  <c r="J221" i="33" s="1"/>
  <c r="P199" i="33"/>
  <c r="Q199" i="33" s="1"/>
  <c r="P198" i="33"/>
  <c r="Q198" i="33" s="1"/>
  <c r="Q200" i="33" s="1"/>
  <c r="D202" i="33" s="1"/>
  <c r="BA76" i="33" l="1"/>
  <c r="BA152" i="33"/>
  <c r="AZ76" i="33"/>
  <c r="AZ152" i="33"/>
  <c r="BC76" i="33"/>
  <c r="BC152" i="33"/>
  <c r="AW76" i="33"/>
  <c r="AW152" i="33"/>
  <c r="AV76" i="33"/>
  <c r="AV152" i="33"/>
  <c r="BS76" i="33"/>
  <c r="BS152" i="33"/>
  <c r="AX76" i="33"/>
  <c r="AX152" i="33"/>
  <c r="BD76" i="33"/>
  <c r="BD122" i="33" s="1"/>
  <c r="BD168" i="33" s="1"/>
  <c r="BD152" i="33"/>
  <c r="BR76" i="33"/>
  <c r="BR152" i="33"/>
  <c r="AY76" i="33"/>
  <c r="AY152" i="33"/>
  <c r="BB76" i="33"/>
  <c r="BB152" i="33"/>
  <c r="BQ76" i="33"/>
  <c r="BQ122" i="33" s="1"/>
  <c r="BQ168" i="33" s="1"/>
  <c r="BQ152" i="33"/>
  <c r="L210" i="33"/>
  <c r="L211" i="33" s="1"/>
  <c r="L212" i="33" s="1"/>
  <c r="D270" i="33"/>
  <c r="O258" i="33"/>
  <c r="CB153" i="33"/>
  <c r="CB77" i="33"/>
  <c r="BF127" i="33"/>
  <c r="BF173" i="33" s="1"/>
  <c r="BF138" i="33"/>
  <c r="BL126" i="33"/>
  <c r="BL172" i="33" s="1"/>
  <c r="BL137" i="33"/>
  <c r="BS125" i="33"/>
  <c r="BS171" i="33" s="1"/>
  <c r="BS136" i="33"/>
  <c r="DF127" i="33"/>
  <c r="DF173" i="33" s="1"/>
  <c r="DF138" i="33"/>
  <c r="CC151" i="33"/>
  <c r="CC75" i="33"/>
  <c r="BE129" i="33"/>
  <c r="BE175" i="33" s="1"/>
  <c r="BE140" i="33"/>
  <c r="BN127" i="33"/>
  <c r="BN173" i="33" s="1"/>
  <c r="BN138" i="33"/>
  <c r="CN122" i="33"/>
  <c r="CN168" i="33" s="1"/>
  <c r="CN133" i="33"/>
  <c r="BM121" i="33"/>
  <c r="BM167" i="33" s="1"/>
  <c r="BM132" i="33"/>
  <c r="DW126" i="33"/>
  <c r="DW172" i="33" s="1"/>
  <c r="DW137" i="33"/>
  <c r="BN130" i="33"/>
  <c r="BN176" i="33" s="1"/>
  <c r="BN141" i="33"/>
  <c r="BA126" i="33"/>
  <c r="BA172" i="33" s="1"/>
  <c r="BA137" i="33"/>
  <c r="DY123" i="33"/>
  <c r="DY169" i="33" s="1"/>
  <c r="DY134" i="33"/>
  <c r="BD130" i="33"/>
  <c r="BD176" i="33" s="1"/>
  <c r="BD141" i="33"/>
  <c r="BE153" i="33"/>
  <c r="BE77" i="33"/>
  <c r="AX127" i="33"/>
  <c r="AX173" i="33" s="1"/>
  <c r="AX138" i="33"/>
  <c r="BP129" i="33"/>
  <c r="BP175" i="33" s="1"/>
  <c r="BP140" i="33"/>
  <c r="DK125" i="33"/>
  <c r="DK171" i="33" s="1"/>
  <c r="DK136" i="33"/>
  <c r="AY151" i="33"/>
  <c r="AY75" i="33"/>
  <c r="DL121" i="33"/>
  <c r="DL167" i="33" s="1"/>
  <c r="DL132" i="33"/>
  <c r="BI122" i="33"/>
  <c r="BI168" i="33" s="1"/>
  <c r="BI133" i="33"/>
  <c r="CF153" i="33"/>
  <c r="CF77" i="33"/>
  <c r="BR130" i="33"/>
  <c r="BR176" i="33" s="1"/>
  <c r="BR141" i="33"/>
  <c r="DU129" i="33"/>
  <c r="DU175" i="33" s="1"/>
  <c r="DU140" i="33"/>
  <c r="CU127" i="33"/>
  <c r="CU173" i="33" s="1"/>
  <c r="CU138" i="33"/>
  <c r="CB128" i="33"/>
  <c r="CB174" i="33" s="1"/>
  <c r="CB139" i="33"/>
  <c r="CL124" i="33"/>
  <c r="CL170" i="33" s="1"/>
  <c r="CL135" i="33"/>
  <c r="CU130" i="33"/>
  <c r="CU176" i="33" s="1"/>
  <c r="CU141" i="33"/>
  <c r="CE125" i="33"/>
  <c r="CE171" i="33" s="1"/>
  <c r="CE136" i="33"/>
  <c r="DY125" i="33"/>
  <c r="DY171" i="33" s="1"/>
  <c r="DY136" i="33"/>
  <c r="CC130" i="33"/>
  <c r="CC176" i="33" s="1"/>
  <c r="CC141" i="33"/>
  <c r="BG124" i="33"/>
  <c r="BG170" i="33" s="1"/>
  <c r="BG135" i="33"/>
  <c r="DN127" i="33"/>
  <c r="DN173" i="33" s="1"/>
  <c r="DN138" i="33"/>
  <c r="CH151" i="33"/>
  <c r="CH75" i="33"/>
  <c r="BJ153" i="33"/>
  <c r="BJ160" i="33" s="1"/>
  <c r="BJ161" i="33" s="1"/>
  <c r="BJ162" i="33" s="1"/>
  <c r="BJ77" i="33"/>
  <c r="CF124" i="33"/>
  <c r="CF170" i="33" s="1"/>
  <c r="CF135" i="33"/>
  <c r="DU121" i="33"/>
  <c r="DU167" i="33" s="1"/>
  <c r="DU132" i="33"/>
  <c r="CG126" i="33"/>
  <c r="CG172" i="33" s="1"/>
  <c r="CG137" i="33"/>
  <c r="CY129" i="33"/>
  <c r="CY175" i="33" s="1"/>
  <c r="CY140" i="33"/>
  <c r="CW130" i="33"/>
  <c r="CW176" i="33" s="1"/>
  <c r="CW141" i="33"/>
  <c r="DZ126" i="33"/>
  <c r="DZ172" i="33" s="1"/>
  <c r="DZ137" i="33"/>
  <c r="DZ127" i="33"/>
  <c r="DZ173" i="33" s="1"/>
  <c r="DZ138" i="33"/>
  <c r="DZ128" i="33"/>
  <c r="DZ174" i="33" s="1"/>
  <c r="DZ139" i="33"/>
  <c r="DZ129" i="33"/>
  <c r="DZ175" i="33" s="1"/>
  <c r="DZ140" i="33"/>
  <c r="DO125" i="33"/>
  <c r="DO171" i="33" s="1"/>
  <c r="DO136" i="33"/>
  <c r="CP128" i="33"/>
  <c r="CP174" i="33" s="1"/>
  <c r="CP139" i="33"/>
  <c r="CX129" i="33"/>
  <c r="CX175" i="33" s="1"/>
  <c r="CX140" i="33"/>
  <c r="EA125" i="33"/>
  <c r="EA171" i="33" s="1"/>
  <c r="EA136" i="33"/>
  <c r="DP121" i="33"/>
  <c r="DP167" i="33" s="1"/>
  <c r="DP132" i="33"/>
  <c r="DP122" i="33"/>
  <c r="DP168" i="33" s="1"/>
  <c r="DP133" i="33"/>
  <c r="CE128" i="33"/>
  <c r="CE174" i="33" s="1"/>
  <c r="CE139" i="33"/>
  <c r="CE129" i="33"/>
  <c r="CE175" i="33" s="1"/>
  <c r="CE140" i="33"/>
  <c r="EA129" i="33"/>
  <c r="EA175" i="33" s="1"/>
  <c r="EA140" i="33"/>
  <c r="CB126" i="33"/>
  <c r="CB172" i="33" s="1"/>
  <c r="CB137" i="33"/>
  <c r="DX126" i="33"/>
  <c r="DX172" i="33" s="1"/>
  <c r="DX137" i="33"/>
  <c r="DU122" i="33"/>
  <c r="DU168" i="33" s="1"/>
  <c r="DU133" i="33"/>
  <c r="DM123" i="33"/>
  <c r="DM169" i="33" s="1"/>
  <c r="DM134" i="33"/>
  <c r="CB129" i="33"/>
  <c r="CB175" i="33" s="1"/>
  <c r="CB140" i="33"/>
  <c r="DM124" i="33"/>
  <c r="DM170" i="33" s="1"/>
  <c r="DM135" i="33"/>
  <c r="CB130" i="33"/>
  <c r="CB176" i="33" s="1"/>
  <c r="CB141" i="33"/>
  <c r="DM125" i="33"/>
  <c r="DM171" i="33" s="1"/>
  <c r="DM136" i="33"/>
  <c r="DX130" i="33"/>
  <c r="DX176" i="33" s="1"/>
  <c r="DX141" i="33"/>
  <c r="DJ121" i="33"/>
  <c r="DJ167" i="33" s="1"/>
  <c r="DJ132" i="33"/>
  <c r="DM126" i="33"/>
  <c r="DM172" i="33" s="1"/>
  <c r="DM137" i="33"/>
  <c r="CX126" i="33"/>
  <c r="CX172" i="33" s="1"/>
  <c r="CX137" i="33"/>
  <c r="DM127" i="33"/>
  <c r="DM173" i="33" s="1"/>
  <c r="DM138" i="33"/>
  <c r="D266" i="33"/>
  <c r="CX124" i="33"/>
  <c r="CX170" i="33" s="1"/>
  <c r="CX135" i="33"/>
  <c r="EA130" i="33"/>
  <c r="EA176" i="33" s="1"/>
  <c r="EA141" i="33"/>
  <c r="BP125" i="33"/>
  <c r="BP171" i="33" s="1"/>
  <c r="BP136" i="33"/>
  <c r="BD125" i="33"/>
  <c r="BD171" i="33" s="1"/>
  <c r="BD136" i="33"/>
  <c r="AW129" i="33"/>
  <c r="AW175" i="33" s="1"/>
  <c r="AW140" i="33"/>
  <c r="CR124" i="33"/>
  <c r="CR170" i="33" s="1"/>
  <c r="CR135" i="33"/>
  <c r="CV129" i="33"/>
  <c r="CV175" i="33" s="1"/>
  <c r="CV140" i="33"/>
  <c r="CB152" i="33"/>
  <c r="CB76" i="33"/>
  <c r="CX125" i="33"/>
  <c r="CX171" i="33" s="1"/>
  <c r="CX136" i="33"/>
  <c r="CU122" i="33"/>
  <c r="CU168" i="33" s="1"/>
  <c r="CU133" i="33"/>
  <c r="DY121" i="33"/>
  <c r="DY167" i="33" s="1"/>
  <c r="DY132" i="33"/>
  <c r="AW151" i="33"/>
  <c r="AW75" i="33"/>
  <c r="BN124" i="33"/>
  <c r="BN170" i="33" s="1"/>
  <c r="BN135" i="33"/>
  <c r="BI153" i="33"/>
  <c r="BI160" i="33" s="1"/>
  <c r="BI161" i="33" s="1"/>
  <c r="BI162" i="33" s="1"/>
  <c r="BI77" i="33"/>
  <c r="BL121" i="33"/>
  <c r="BL167" i="33" s="1"/>
  <c r="BL132" i="33"/>
  <c r="AV127" i="33"/>
  <c r="AV173" i="33" s="1"/>
  <c r="AV138" i="33"/>
  <c r="CJ152" i="33"/>
  <c r="CJ76" i="33"/>
  <c r="DO126" i="33"/>
  <c r="DO172" i="33" s="1"/>
  <c r="DO137" i="33"/>
  <c r="BE125" i="33"/>
  <c r="BE171" i="33" s="1"/>
  <c r="BE136" i="33"/>
  <c r="BM130" i="33"/>
  <c r="BM176" i="33" s="1"/>
  <c r="BM141" i="33"/>
  <c r="CT126" i="33"/>
  <c r="CT172" i="33" s="1"/>
  <c r="CT137" i="33"/>
  <c r="BN153" i="33"/>
  <c r="BN77" i="33"/>
  <c r="AX129" i="33"/>
  <c r="AX175" i="33" s="1"/>
  <c r="AX140" i="33"/>
  <c r="AY122" i="33"/>
  <c r="AY168" i="33" s="1"/>
  <c r="AY133" i="33"/>
  <c r="CC124" i="33"/>
  <c r="CC170" i="33" s="1"/>
  <c r="CC135" i="33"/>
  <c r="DT121" i="33"/>
  <c r="DT167" i="33" s="1"/>
  <c r="DT132" i="33"/>
  <c r="BJ122" i="33"/>
  <c r="BJ168" i="33" s="1"/>
  <c r="BJ133" i="33"/>
  <c r="BC127" i="33"/>
  <c r="BC173" i="33" s="1"/>
  <c r="BC138" i="33"/>
  <c r="DK127" i="33"/>
  <c r="DK173" i="33" s="1"/>
  <c r="DK138" i="33"/>
  <c r="BL124" i="33"/>
  <c r="BL170" i="33" s="1"/>
  <c r="BL135" i="33"/>
  <c r="AV130" i="33"/>
  <c r="AV176" i="33" s="1"/>
  <c r="AV141" i="33"/>
  <c r="CO125" i="33"/>
  <c r="CO171" i="33" s="1"/>
  <c r="CO136" i="33"/>
  <c r="AW153" i="33"/>
  <c r="AW77" i="33"/>
  <c r="BE128" i="33"/>
  <c r="BE174" i="33" s="1"/>
  <c r="BE139" i="33"/>
  <c r="CR123" i="33"/>
  <c r="CR169" i="33" s="1"/>
  <c r="CR134" i="33"/>
  <c r="BF151" i="33"/>
  <c r="BF75" i="33"/>
  <c r="BN126" i="33"/>
  <c r="BN172" i="33" s="1"/>
  <c r="BN137" i="33"/>
  <c r="CK123" i="33"/>
  <c r="CK169" i="33" s="1"/>
  <c r="CK134" i="33"/>
  <c r="AY128" i="33"/>
  <c r="AY174" i="33" s="1"/>
  <c r="AY139" i="33"/>
  <c r="BH128" i="33"/>
  <c r="BH174" i="33" s="1"/>
  <c r="BH139" i="33"/>
  <c r="CP121" i="33"/>
  <c r="CP167" i="33" s="1"/>
  <c r="CP132" i="33"/>
  <c r="CN124" i="33"/>
  <c r="CN170" i="33" s="1"/>
  <c r="CN135" i="33"/>
  <c r="DV129" i="33"/>
  <c r="DV175" i="33" s="1"/>
  <c r="DV140" i="33"/>
  <c r="AV151" i="33"/>
  <c r="AV75" i="33"/>
  <c r="BD126" i="33"/>
  <c r="BD172" i="33" s="1"/>
  <c r="BD137" i="33"/>
  <c r="CS121" i="33"/>
  <c r="CS167" i="33" s="1"/>
  <c r="CS132" i="33"/>
  <c r="DS122" i="33"/>
  <c r="DS168" i="33" s="1"/>
  <c r="DS133" i="33"/>
  <c r="BM124" i="33"/>
  <c r="BM170" i="33" s="1"/>
  <c r="BM135" i="33"/>
  <c r="AW130" i="33"/>
  <c r="AW176" i="33" s="1"/>
  <c r="AW141" i="33"/>
  <c r="CP125" i="33"/>
  <c r="CP171" i="33" s="1"/>
  <c r="CP136" i="33"/>
  <c r="AX153" i="33"/>
  <c r="AX77" i="33"/>
  <c r="BF128" i="33"/>
  <c r="BF174" i="33" s="1"/>
  <c r="BF139" i="33"/>
  <c r="CH130" i="33"/>
  <c r="CH176" i="33" s="1"/>
  <c r="CH141" i="33"/>
  <c r="CN121" i="33"/>
  <c r="CN167" i="33" s="1"/>
  <c r="CN132" i="33"/>
  <c r="CC125" i="33"/>
  <c r="CC171" i="33" s="1"/>
  <c r="CC136" i="33"/>
  <c r="DZ123" i="33"/>
  <c r="DZ169" i="33" s="1"/>
  <c r="DZ134" i="33"/>
  <c r="BK124" i="33"/>
  <c r="BK170" i="33" s="1"/>
  <c r="BK135" i="33"/>
  <c r="CN126" i="33"/>
  <c r="CN172" i="33" s="1"/>
  <c r="CN137" i="33"/>
  <c r="CC153" i="33"/>
  <c r="CC77" i="33"/>
  <c r="BG122" i="33"/>
  <c r="BG168" i="33" s="1"/>
  <c r="BG133" i="33"/>
  <c r="BO127" i="33"/>
  <c r="BO173" i="33" s="1"/>
  <c r="BO138" i="33"/>
  <c r="CD153" i="33"/>
  <c r="CD77" i="33"/>
  <c r="DL129" i="33"/>
  <c r="DL175" i="33" s="1"/>
  <c r="DL140" i="33"/>
  <c r="AZ126" i="33"/>
  <c r="AZ172" i="33" s="1"/>
  <c r="AZ137" i="33"/>
  <c r="CO121" i="33"/>
  <c r="CO167" i="33" s="1"/>
  <c r="CO132" i="33"/>
  <c r="CG128" i="33"/>
  <c r="CG174" i="33" s="1"/>
  <c r="CG139" i="33"/>
  <c r="BQ153" i="33"/>
  <c r="BQ77" i="33"/>
  <c r="BA129" i="33"/>
  <c r="BA175" i="33" s="1"/>
  <c r="BA140" i="33"/>
  <c r="CM124" i="33"/>
  <c r="CM170" i="33" s="1"/>
  <c r="CM135" i="33"/>
  <c r="BJ121" i="33"/>
  <c r="BJ167" i="33" s="1"/>
  <c r="BJ132" i="33"/>
  <c r="BR126" i="33"/>
  <c r="BR172" i="33" s="1"/>
  <c r="BR137" i="33"/>
  <c r="CH152" i="33"/>
  <c r="CH76" i="33"/>
  <c r="CX130" i="33"/>
  <c r="CX176" i="33" s="1"/>
  <c r="CX141" i="33"/>
  <c r="BC126" i="33"/>
  <c r="BC172" i="33" s="1"/>
  <c r="BC137" i="33"/>
  <c r="CR128" i="33"/>
  <c r="CR174" i="33" s="1"/>
  <c r="CR139" i="33"/>
  <c r="CO130" i="33"/>
  <c r="CO176" i="33" s="1"/>
  <c r="CO141" i="33"/>
  <c r="CU126" i="33"/>
  <c r="CU172" i="33" s="1"/>
  <c r="CU137" i="33"/>
  <c r="DG123" i="33"/>
  <c r="DG169" i="33" s="1"/>
  <c r="DG134" i="33"/>
  <c r="DR129" i="33"/>
  <c r="DR175" i="33" s="1"/>
  <c r="DR140" i="33"/>
  <c r="CE152" i="33"/>
  <c r="CE76" i="33"/>
  <c r="DJ123" i="33"/>
  <c r="DJ169" i="33" s="1"/>
  <c r="DJ134" i="33"/>
  <c r="AZ125" i="33"/>
  <c r="AZ171" i="33" s="1"/>
  <c r="AZ136" i="33"/>
  <c r="BH130" i="33"/>
  <c r="BH176" i="33" s="1"/>
  <c r="BH141" i="33"/>
  <c r="CS125" i="33"/>
  <c r="CS171" i="33" s="1"/>
  <c r="CS136" i="33"/>
  <c r="BA128" i="33"/>
  <c r="BA174" i="33" s="1"/>
  <c r="BA139" i="33"/>
  <c r="CN123" i="33"/>
  <c r="CN169" i="33" s="1"/>
  <c r="CN134" i="33"/>
  <c r="DV127" i="33"/>
  <c r="DV173" i="33" s="1"/>
  <c r="DV138" i="33"/>
  <c r="BR125" i="33"/>
  <c r="BR171" i="33" s="1"/>
  <c r="BR136" i="33"/>
  <c r="CI151" i="33"/>
  <c r="CI75" i="33"/>
  <c r="CK127" i="33"/>
  <c r="CK173" i="33" s="1"/>
  <c r="CK138" i="33"/>
  <c r="BC125" i="33"/>
  <c r="BC171" i="33" s="1"/>
  <c r="BC136" i="33"/>
  <c r="CY152" i="33"/>
  <c r="CY76" i="33"/>
  <c r="CK126" i="33"/>
  <c r="CK172" i="33" s="1"/>
  <c r="CK137" i="33"/>
  <c r="DY127" i="33"/>
  <c r="DY173" i="33" s="1"/>
  <c r="DY138" i="33"/>
  <c r="CC129" i="33"/>
  <c r="CC175" i="33" s="1"/>
  <c r="CC140" i="33"/>
  <c r="DN125" i="33"/>
  <c r="DN171" i="33" s="1"/>
  <c r="DN136" i="33"/>
  <c r="CE151" i="33"/>
  <c r="CE75" i="33"/>
  <c r="CF129" i="33"/>
  <c r="CF175" i="33" s="1"/>
  <c r="CF140" i="33"/>
  <c r="BO125" i="33"/>
  <c r="BO171" i="33" s="1"/>
  <c r="BO136" i="33"/>
  <c r="CF151" i="33"/>
  <c r="CF75" i="33"/>
  <c r="CI129" i="33"/>
  <c r="CI175" i="33" s="1"/>
  <c r="CI140" i="33"/>
  <c r="AZ124" i="33"/>
  <c r="AZ170" i="33" s="1"/>
  <c r="AZ135" i="33"/>
  <c r="BH129" i="33"/>
  <c r="BH175" i="33" s="1"/>
  <c r="BH140" i="33"/>
  <c r="CT124" i="33"/>
  <c r="CT170" i="33" s="1"/>
  <c r="CT135" i="33"/>
  <c r="BA127" i="33"/>
  <c r="BA173" i="33" s="1"/>
  <c r="BA138" i="33"/>
  <c r="CO122" i="33"/>
  <c r="CO168" i="33" s="1"/>
  <c r="CO133" i="33"/>
  <c r="EB121" i="33"/>
  <c r="EB167" i="33" s="1"/>
  <c r="EB132" i="33"/>
  <c r="BR124" i="33"/>
  <c r="BR170" i="33" s="1"/>
  <c r="BR135" i="33"/>
  <c r="BB130" i="33"/>
  <c r="BB176" i="33" s="1"/>
  <c r="BB141" i="33"/>
  <c r="CM125" i="33"/>
  <c r="CM171" i="33" s="1"/>
  <c r="CM136" i="33"/>
  <c r="BC124" i="33"/>
  <c r="BC170" i="33" s="1"/>
  <c r="BC135" i="33"/>
  <c r="BC130" i="33"/>
  <c r="BC176" i="33" s="1"/>
  <c r="BC141" i="33"/>
  <c r="DG127" i="33"/>
  <c r="DG173" i="33" s="1"/>
  <c r="DG138" i="33"/>
  <c r="DU123" i="33"/>
  <c r="DU169" i="33" s="1"/>
  <c r="DU134" i="33"/>
  <c r="DG130" i="33"/>
  <c r="DG176" i="33" s="1"/>
  <c r="DG141" i="33"/>
  <c r="DR121" i="33"/>
  <c r="DR167" i="33" s="1"/>
  <c r="DR132" i="33"/>
  <c r="DU127" i="33"/>
  <c r="DU173" i="33" s="1"/>
  <c r="DU138" i="33"/>
  <c r="CH123" i="33"/>
  <c r="CH169" i="33" s="1"/>
  <c r="CH134" i="33"/>
  <c r="DE128" i="33"/>
  <c r="DE174" i="33" s="1"/>
  <c r="DE139" i="33"/>
  <c r="CV130" i="33"/>
  <c r="CV176" i="33" s="1"/>
  <c r="CV141" i="33"/>
  <c r="DH126" i="33"/>
  <c r="DH172" i="33" s="1"/>
  <c r="DH137" i="33"/>
  <c r="CS126" i="33"/>
  <c r="CS172" i="33" s="1"/>
  <c r="CS137" i="33"/>
  <c r="DE122" i="33"/>
  <c r="DE168" i="33" s="1"/>
  <c r="DE133" i="33"/>
  <c r="DP127" i="33"/>
  <c r="DP173" i="33" s="1"/>
  <c r="DP138" i="33"/>
  <c r="DV122" i="33"/>
  <c r="DV168" i="33" s="1"/>
  <c r="DV133" i="33"/>
  <c r="DH128" i="33"/>
  <c r="DH174" i="33" s="1"/>
  <c r="DH139" i="33"/>
  <c r="CK128" i="33"/>
  <c r="CK174" i="33" s="1"/>
  <c r="CK139" i="33"/>
  <c r="DV123" i="33"/>
  <c r="DV169" i="33" s="1"/>
  <c r="DV134" i="33"/>
  <c r="DH129" i="33"/>
  <c r="DH175" i="33" s="1"/>
  <c r="DH140" i="33"/>
  <c r="CK129" i="33"/>
  <c r="CK175" i="33" s="1"/>
  <c r="CK140" i="33"/>
  <c r="DV124" i="33"/>
  <c r="DV170" i="33" s="1"/>
  <c r="DV135" i="33"/>
  <c r="DH130" i="33"/>
  <c r="DH176" i="33" s="1"/>
  <c r="DH141" i="33"/>
  <c r="CK130" i="33"/>
  <c r="CK176" i="33" s="1"/>
  <c r="CK141" i="33"/>
  <c r="DV125" i="33"/>
  <c r="DV171" i="33" s="1"/>
  <c r="DV136" i="33"/>
  <c r="CH126" i="33"/>
  <c r="CH172" i="33" s="1"/>
  <c r="CH137" i="33"/>
  <c r="DS121" i="33"/>
  <c r="DS167" i="33" s="1"/>
  <c r="DS132" i="33"/>
  <c r="DV126" i="33"/>
  <c r="DV172" i="33" s="1"/>
  <c r="DV137" i="33"/>
  <c r="CI152" i="33"/>
  <c r="CI76" i="33"/>
  <c r="DK122" i="33"/>
  <c r="DK168" i="33" s="1"/>
  <c r="DK133" i="33"/>
  <c r="CW129" i="33"/>
  <c r="CW175" i="33" s="1"/>
  <c r="CW140" i="33"/>
  <c r="DI125" i="33"/>
  <c r="DI171" i="33" s="1"/>
  <c r="DI136" i="33"/>
  <c r="DT130" i="33"/>
  <c r="DT176" i="33" s="1"/>
  <c r="DT141" i="33"/>
  <c r="DF121" i="33"/>
  <c r="DF167" i="33" s="1"/>
  <c r="DF132" i="33"/>
  <c r="DQ126" i="33"/>
  <c r="DQ172" i="33" s="1"/>
  <c r="DQ137" i="33"/>
  <c r="DW121" i="33"/>
  <c r="DW167" i="33" s="1"/>
  <c r="DW132" i="33"/>
  <c r="DI127" i="33"/>
  <c r="DI173" i="33" s="1"/>
  <c r="DI138" i="33"/>
  <c r="CL127" i="33"/>
  <c r="CL173" i="33" s="1"/>
  <c r="CL138" i="33"/>
  <c r="DW122" i="33"/>
  <c r="DW168" i="33" s="1"/>
  <c r="DW133" i="33"/>
  <c r="DI128" i="33"/>
  <c r="DI174" i="33" s="1"/>
  <c r="DI139" i="33"/>
  <c r="CL128" i="33"/>
  <c r="CL174" i="33" s="1"/>
  <c r="CL139" i="33"/>
  <c r="DW123" i="33"/>
  <c r="DW169" i="33" s="1"/>
  <c r="DW134" i="33"/>
  <c r="DI129" i="33"/>
  <c r="DI175" i="33" s="1"/>
  <c r="DI140" i="33"/>
  <c r="CL129" i="33"/>
  <c r="CL175" i="33" s="1"/>
  <c r="CL140" i="33"/>
  <c r="DW124" i="33"/>
  <c r="DW170" i="33" s="1"/>
  <c r="DW135" i="33"/>
  <c r="DI130" i="33"/>
  <c r="DI176" i="33" s="1"/>
  <c r="DI141" i="33"/>
  <c r="CL130" i="33"/>
  <c r="CL176" i="33" s="1"/>
  <c r="CL141" i="33"/>
  <c r="DW125" i="33"/>
  <c r="DW171" i="33" s="1"/>
  <c r="DW136" i="33"/>
  <c r="BS129" i="33"/>
  <c r="BS175" i="33" s="1"/>
  <c r="BS140" i="33"/>
  <c r="CF125" i="33"/>
  <c r="CF171" i="33" s="1"/>
  <c r="CF136" i="33"/>
  <c r="CQ127" i="33"/>
  <c r="CQ173" i="33" s="1"/>
  <c r="CQ138" i="33"/>
  <c r="EB122" i="33"/>
  <c r="EB168" i="33" s="1"/>
  <c r="EB133" i="33"/>
  <c r="DF128" i="33"/>
  <c r="DF174" i="33" s="1"/>
  <c r="DF139" i="33"/>
  <c r="CY128" i="33"/>
  <c r="CY174" i="33" s="1"/>
  <c r="CY139" i="33"/>
  <c r="DK124" i="33"/>
  <c r="DK170" i="33" s="1"/>
  <c r="DK135" i="33"/>
  <c r="DN129" i="33"/>
  <c r="DN175" i="33" s="1"/>
  <c r="DN140" i="33"/>
  <c r="EB124" i="33"/>
  <c r="EB170" i="33" s="1"/>
  <c r="EB135" i="33"/>
  <c r="DF130" i="33"/>
  <c r="DF176" i="33" s="1"/>
  <c r="DF141" i="33"/>
  <c r="CQ130" i="33"/>
  <c r="CQ176" i="33" s="1"/>
  <c r="CQ141" i="33"/>
  <c r="EB125" i="33"/>
  <c r="EB171" i="33" s="1"/>
  <c r="EB136" i="33"/>
  <c r="CF126" i="33"/>
  <c r="CF172" i="33" s="1"/>
  <c r="CF137" i="33"/>
  <c r="DQ121" i="33"/>
  <c r="DQ167" i="33" s="1"/>
  <c r="DQ132" i="33"/>
  <c r="EB126" i="33"/>
  <c r="EB172" i="33" s="1"/>
  <c r="EB137" i="33"/>
  <c r="CF127" i="33"/>
  <c r="CF173" i="33" s="1"/>
  <c r="CF138" i="33"/>
  <c r="DQ122" i="33"/>
  <c r="DQ168" i="33" s="1"/>
  <c r="DQ133" i="33"/>
  <c r="EB127" i="33"/>
  <c r="EB173" i="33" s="1"/>
  <c r="EB138" i="33"/>
  <c r="CF128" i="33"/>
  <c r="CF174" i="33" s="1"/>
  <c r="CF139" i="33"/>
  <c r="DQ123" i="33"/>
  <c r="DQ169" i="33" s="1"/>
  <c r="DQ134" i="33"/>
  <c r="EB128" i="33"/>
  <c r="EB174" i="33" s="1"/>
  <c r="EB139" i="33"/>
  <c r="O255" i="33"/>
  <c r="O256" i="33"/>
  <c r="BO126" i="33"/>
  <c r="BO172" i="33" s="1"/>
  <c r="BO137" i="33"/>
  <c r="BM153" i="33"/>
  <c r="BM160" i="33" s="1"/>
  <c r="BM161" i="33" s="1"/>
  <c r="BM162" i="33" s="1"/>
  <c r="BM77" i="33"/>
  <c r="BE130" i="33"/>
  <c r="BE176" i="33" s="1"/>
  <c r="BE141" i="33"/>
  <c r="CQ123" i="33"/>
  <c r="CQ169" i="33" s="1"/>
  <c r="CQ134" i="33"/>
  <c r="DK128" i="33"/>
  <c r="DK174" i="33" s="1"/>
  <c r="DK139" i="33"/>
  <c r="CS127" i="33"/>
  <c r="CS173" i="33" s="1"/>
  <c r="CS138" i="33"/>
  <c r="CY124" i="33"/>
  <c r="CY170" i="33" s="1"/>
  <c r="CY135" i="33"/>
  <c r="AY130" i="33"/>
  <c r="AY176" i="33" s="1"/>
  <c r="AY141" i="33"/>
  <c r="CY130" i="33"/>
  <c r="CY176" i="33" s="1"/>
  <c r="CY141" i="33"/>
  <c r="CH124" i="33"/>
  <c r="CH170" i="33" s="1"/>
  <c r="CH135" i="33"/>
  <c r="CK152" i="33"/>
  <c r="CK76" i="33"/>
  <c r="BG125" i="33"/>
  <c r="BG171" i="33" s="1"/>
  <c r="BG136" i="33"/>
  <c r="DK123" i="33"/>
  <c r="DK169" i="33" s="1"/>
  <c r="DK134" i="33"/>
  <c r="CW125" i="33"/>
  <c r="CW171" i="33" s="1"/>
  <c r="CW136" i="33"/>
  <c r="CI124" i="33"/>
  <c r="CI170" i="33" s="1"/>
  <c r="CI135" i="33"/>
  <c r="CB124" i="33"/>
  <c r="CB170" i="33" s="1"/>
  <c r="CB135" i="33"/>
  <c r="CW152" i="33"/>
  <c r="CW76" i="33"/>
  <c r="BG126" i="33"/>
  <c r="BG172" i="33" s="1"/>
  <c r="BG137" i="33"/>
  <c r="BP124" i="33"/>
  <c r="BP170" i="33" s="1"/>
  <c r="BP135" i="33"/>
  <c r="BQ127" i="33"/>
  <c r="BQ173" i="33" s="1"/>
  <c r="BQ138" i="33"/>
  <c r="BJ125" i="33"/>
  <c r="BJ171" i="33" s="1"/>
  <c r="BJ136" i="33"/>
  <c r="BS124" i="33"/>
  <c r="BS170" i="33" s="1"/>
  <c r="BS135" i="33"/>
  <c r="DG124" i="33"/>
  <c r="DG170" i="33" s="1"/>
  <c r="DG135" i="33"/>
  <c r="AZ129" i="33"/>
  <c r="AZ175" i="33" s="1"/>
  <c r="AZ140" i="33"/>
  <c r="BQ126" i="33"/>
  <c r="BQ172" i="33" s="1"/>
  <c r="BQ137" i="33"/>
  <c r="BJ124" i="33"/>
  <c r="BJ170" i="33" s="1"/>
  <c r="BJ135" i="33"/>
  <c r="BS153" i="33"/>
  <c r="BS77" i="33"/>
  <c r="DN122" i="33"/>
  <c r="DN168" i="33" s="1"/>
  <c r="DN133" i="33"/>
  <c r="DN126" i="33"/>
  <c r="DN172" i="33" s="1"/>
  <c r="DN137" i="33"/>
  <c r="BO129" i="33"/>
  <c r="BO175" i="33" s="1"/>
  <c r="BO140" i="33"/>
  <c r="CM123" i="33"/>
  <c r="CM169" i="33" s="1"/>
  <c r="CM134" i="33"/>
  <c r="CH127" i="33"/>
  <c r="CH173" i="33" s="1"/>
  <c r="CH138" i="33"/>
  <c r="BS122" i="33"/>
  <c r="BS168" i="33" s="1"/>
  <c r="BS133" i="33"/>
  <c r="DU124" i="33"/>
  <c r="DU170" i="33" s="1"/>
  <c r="DU135" i="33"/>
  <c r="CR121" i="33"/>
  <c r="CR167" i="33" s="1"/>
  <c r="CR132" i="33"/>
  <c r="DZ124" i="33"/>
  <c r="DZ170" i="33" s="1"/>
  <c r="DZ135" i="33"/>
  <c r="DI126" i="33"/>
  <c r="DI172" i="33" s="1"/>
  <c r="DI137" i="33"/>
  <c r="CD127" i="33"/>
  <c r="CD173" i="33" s="1"/>
  <c r="CD138" i="33"/>
  <c r="CD128" i="33"/>
  <c r="CD174" i="33" s="1"/>
  <c r="CD139" i="33"/>
  <c r="DO124" i="33"/>
  <c r="DO170" i="33" s="1"/>
  <c r="DO135" i="33"/>
  <c r="DZ130" i="33"/>
  <c r="DZ176" i="33" s="1"/>
  <c r="DZ141" i="33"/>
  <c r="EA123" i="33"/>
  <c r="EA169" i="33" s="1"/>
  <c r="EA134" i="33"/>
  <c r="DM130" i="33"/>
  <c r="DM176" i="33" s="1"/>
  <c r="DM141" i="33"/>
  <c r="CE127" i="33"/>
  <c r="CE173" i="33" s="1"/>
  <c r="CE138" i="33"/>
  <c r="DJ122" i="33"/>
  <c r="DJ168" i="33" s="1"/>
  <c r="DJ133" i="33"/>
  <c r="BE122" i="33"/>
  <c r="BE168" i="33" s="1"/>
  <c r="BE133" i="33"/>
  <c r="AX126" i="33"/>
  <c r="AX172" i="33" s="1"/>
  <c r="AX137" i="33"/>
  <c r="BQ128" i="33"/>
  <c r="BQ174" i="33" s="1"/>
  <c r="BQ139" i="33"/>
  <c r="BL130" i="33"/>
  <c r="BL176" i="33" s="1"/>
  <c r="BL141" i="33"/>
  <c r="CQ124" i="33"/>
  <c r="CQ170" i="33" s="1"/>
  <c r="CQ135" i="33"/>
  <c r="BG129" i="33"/>
  <c r="BG175" i="33" s="1"/>
  <c r="BG140" i="33"/>
  <c r="DN130" i="33"/>
  <c r="DN176" i="33" s="1"/>
  <c r="DN141" i="33"/>
  <c r="DQ124" i="33"/>
  <c r="DQ170" i="33" s="1"/>
  <c r="DQ135" i="33"/>
  <c r="BF153" i="33"/>
  <c r="BF77" i="33"/>
  <c r="CC127" i="33"/>
  <c r="CC173" i="33" s="1"/>
  <c r="CC138" i="33"/>
  <c r="BL122" i="33"/>
  <c r="BL168" i="33" s="1"/>
  <c r="BL133" i="33"/>
  <c r="BE126" i="33"/>
  <c r="BE172" i="33" s="1"/>
  <c r="BE137" i="33"/>
  <c r="AX130" i="33"/>
  <c r="AX176" i="33" s="1"/>
  <c r="AX141" i="33"/>
  <c r="BJ126" i="33"/>
  <c r="BJ172" i="33" s="1"/>
  <c r="BJ137" i="33"/>
  <c r="AV153" i="33"/>
  <c r="AV77" i="33"/>
  <c r="BD128" i="33"/>
  <c r="BD174" i="33" s="1"/>
  <c r="BD139" i="33"/>
  <c r="CY153" i="33"/>
  <c r="CY77" i="33"/>
  <c r="BE151" i="33"/>
  <c r="BE75" i="33"/>
  <c r="BM126" i="33"/>
  <c r="BM172" i="33" s="1"/>
  <c r="BM137" i="33"/>
  <c r="CC152" i="33"/>
  <c r="CC76" i="33"/>
  <c r="DY124" i="33"/>
  <c r="DY170" i="33" s="1"/>
  <c r="DY135" i="33"/>
  <c r="AX125" i="33"/>
  <c r="AX171" i="33" s="1"/>
  <c r="AX136" i="33"/>
  <c r="BF130" i="33"/>
  <c r="BF176" i="33" s="1"/>
  <c r="BF141" i="33"/>
  <c r="BO124" i="33"/>
  <c r="BO170" i="33" s="1"/>
  <c r="BO135" i="33"/>
  <c r="BP151" i="33"/>
  <c r="BP75" i="33"/>
  <c r="BQ124" i="33"/>
  <c r="BQ170" i="33" s="1"/>
  <c r="BQ135" i="33"/>
  <c r="BR127" i="33"/>
  <c r="BR173" i="33" s="1"/>
  <c r="BR138" i="33"/>
  <c r="CY127" i="33"/>
  <c r="CY173" i="33" s="1"/>
  <c r="CY138" i="33"/>
  <c r="CN128" i="33"/>
  <c r="CN174" i="33" s="1"/>
  <c r="CN139" i="33"/>
  <c r="AV126" i="33"/>
  <c r="AV172" i="33" s="1"/>
  <c r="AV137" i="33"/>
  <c r="CK151" i="33"/>
  <c r="CK75" i="33"/>
  <c r="CW128" i="33"/>
  <c r="CW174" i="33" s="1"/>
  <c r="CW139" i="33"/>
  <c r="BE124" i="33"/>
  <c r="BE170" i="33" s="1"/>
  <c r="BE135" i="33"/>
  <c r="BM129" i="33"/>
  <c r="BM175" i="33" s="1"/>
  <c r="BM140" i="33"/>
  <c r="CH125" i="33"/>
  <c r="CH171" i="33" s="1"/>
  <c r="CH136" i="33"/>
  <c r="BN122" i="33"/>
  <c r="BN168" i="33" s="1"/>
  <c r="BN133" i="33"/>
  <c r="AX128" i="33"/>
  <c r="AX174" i="33" s="1"/>
  <c r="AX139" i="33"/>
  <c r="CY126" i="33"/>
  <c r="CY172" i="33" s="1"/>
  <c r="CY137" i="33"/>
  <c r="BO130" i="33"/>
  <c r="BO176" i="33" s="1"/>
  <c r="BO141" i="33"/>
  <c r="CU123" i="33"/>
  <c r="CU169" i="33" s="1"/>
  <c r="CU134" i="33"/>
  <c r="CJ128" i="33"/>
  <c r="CJ174" i="33" s="1"/>
  <c r="CJ139" i="33"/>
  <c r="BC153" i="33"/>
  <c r="BC77" i="33"/>
  <c r="DK126" i="33"/>
  <c r="DK172" i="33" s="1"/>
  <c r="DK137" i="33"/>
  <c r="BL127" i="33"/>
  <c r="BL173" i="33" s="1"/>
  <c r="BL138" i="33"/>
  <c r="CI123" i="33"/>
  <c r="CI169" i="33" s="1"/>
  <c r="CI134" i="33"/>
  <c r="DS130" i="33"/>
  <c r="DS176" i="33" s="1"/>
  <c r="DS141" i="33"/>
  <c r="AW126" i="33"/>
  <c r="AW172" i="33" s="1"/>
  <c r="AW137" i="33"/>
  <c r="CL121" i="33"/>
  <c r="CL167" i="33" s="1"/>
  <c r="CL132" i="33"/>
  <c r="CE130" i="33"/>
  <c r="CE176" i="33" s="1"/>
  <c r="CE141" i="33"/>
  <c r="BF124" i="33"/>
  <c r="BF170" i="33" s="1"/>
  <c r="BF135" i="33"/>
  <c r="BN129" i="33"/>
  <c r="BN175" i="33" s="1"/>
  <c r="BN140" i="33"/>
  <c r="BG153" i="33"/>
  <c r="BG160" i="33" s="1"/>
  <c r="BG161" i="33" s="1"/>
  <c r="BG162" i="33" s="1"/>
  <c r="BG77" i="33"/>
  <c r="CM130" i="33"/>
  <c r="CM176" i="33" s="1"/>
  <c r="CM141" i="33"/>
  <c r="BA122" i="33"/>
  <c r="BA168" i="33" s="1"/>
  <c r="BA133" i="33"/>
  <c r="BB125" i="33"/>
  <c r="BB171" i="33" s="1"/>
  <c r="BB136" i="33"/>
  <c r="BS130" i="33"/>
  <c r="BS176" i="33" s="1"/>
  <c r="BS141" i="33"/>
  <c r="DY122" i="33"/>
  <c r="DY168" i="33" s="1"/>
  <c r="DY133" i="33"/>
  <c r="CJ124" i="33"/>
  <c r="CJ170" i="33" s="1"/>
  <c r="CJ135" i="33"/>
  <c r="BO153" i="33"/>
  <c r="BO77" i="33"/>
  <c r="AY129" i="33"/>
  <c r="AY175" i="33" s="1"/>
  <c r="AY140" i="33"/>
  <c r="CK124" i="33"/>
  <c r="CK170" i="33" s="1"/>
  <c r="CK135" i="33"/>
  <c r="AZ122" i="33"/>
  <c r="AZ168" i="33" s="1"/>
  <c r="AZ133" i="33"/>
  <c r="BH127" i="33"/>
  <c r="BH173" i="33" s="1"/>
  <c r="BH138" i="33"/>
  <c r="CV152" i="33"/>
  <c r="CV76" i="33"/>
  <c r="DR123" i="33"/>
  <c r="DR169" i="33" s="1"/>
  <c r="DR134" i="33"/>
  <c r="BA125" i="33"/>
  <c r="BA171" i="33" s="1"/>
  <c r="BA136" i="33"/>
  <c r="BI130" i="33"/>
  <c r="BI176" i="33" s="1"/>
  <c r="BI141" i="33"/>
  <c r="CT125" i="33"/>
  <c r="CT171" i="33" s="1"/>
  <c r="CT136" i="33"/>
  <c r="BR122" i="33"/>
  <c r="BR168" i="33" s="1"/>
  <c r="BR133" i="33"/>
  <c r="BB128" i="33"/>
  <c r="BB174" i="33" s="1"/>
  <c r="BB139" i="33"/>
  <c r="CO123" i="33"/>
  <c r="CO169" i="33" s="1"/>
  <c r="CO134" i="33"/>
  <c r="BC122" i="33"/>
  <c r="BC168" i="33" s="1"/>
  <c r="BC133" i="33"/>
  <c r="BK127" i="33"/>
  <c r="BK173" i="33" s="1"/>
  <c r="BK138" i="33"/>
  <c r="CG129" i="33"/>
  <c r="CG175" i="33" s="1"/>
  <c r="CG140" i="33"/>
  <c r="DZ125" i="33"/>
  <c r="DZ171" i="33" s="1"/>
  <c r="DZ136" i="33"/>
  <c r="DG122" i="33"/>
  <c r="DG168" i="33" s="1"/>
  <c r="DG133" i="33"/>
  <c r="DR128" i="33"/>
  <c r="DR174" i="33" s="1"/>
  <c r="DR139" i="33"/>
  <c r="CU129" i="33"/>
  <c r="CU175" i="33" s="1"/>
  <c r="CU140" i="33"/>
  <c r="CL123" i="33"/>
  <c r="CL169" i="33" s="1"/>
  <c r="CL134" i="33"/>
  <c r="AZ151" i="33"/>
  <c r="AZ75" i="33"/>
  <c r="BH126" i="33"/>
  <c r="BH172" i="33" s="1"/>
  <c r="BH137" i="33"/>
  <c r="CW151" i="33"/>
  <c r="CW75" i="33"/>
  <c r="CN129" i="33"/>
  <c r="CN175" i="33" s="1"/>
  <c r="CN140" i="33"/>
  <c r="BA124" i="33"/>
  <c r="BA170" i="33" s="1"/>
  <c r="BA135" i="33"/>
  <c r="BI129" i="33"/>
  <c r="BI175" i="33" s="1"/>
  <c r="BI140" i="33"/>
  <c r="CU124" i="33"/>
  <c r="CU170" i="33" s="1"/>
  <c r="CU135" i="33"/>
  <c r="BB127" i="33"/>
  <c r="BB173" i="33" s="1"/>
  <c r="BB138" i="33"/>
  <c r="CP122" i="33"/>
  <c r="CP168" i="33" s="1"/>
  <c r="CP133" i="33"/>
  <c r="BC151" i="33"/>
  <c r="BC160" i="33" s="1"/>
  <c r="BC161" i="33" s="1"/>
  <c r="BC162" i="33" s="1"/>
  <c r="BC75" i="33"/>
  <c r="BK126" i="33"/>
  <c r="BK172" i="33" s="1"/>
  <c r="BK137" i="33"/>
  <c r="DG126" i="33"/>
  <c r="DG172" i="33" s="1"/>
  <c r="DG137" i="33"/>
  <c r="DV121" i="33"/>
  <c r="DV167" i="33" s="1"/>
  <c r="DV132" i="33"/>
  <c r="CC128" i="33"/>
  <c r="CC174" i="33" s="1"/>
  <c r="CC139" i="33"/>
  <c r="DN124" i="33"/>
  <c r="DN170" i="33" s="1"/>
  <c r="DN135" i="33"/>
  <c r="DY130" i="33"/>
  <c r="DY176" i="33" s="1"/>
  <c r="DY141" i="33"/>
  <c r="CL122" i="33"/>
  <c r="CL168" i="33" s="1"/>
  <c r="CL133" i="33"/>
  <c r="AY127" i="33"/>
  <c r="AY173" i="33" s="1"/>
  <c r="AY138" i="33"/>
  <c r="CM122" i="33"/>
  <c r="CM168" i="33" s="1"/>
  <c r="CM133" i="33"/>
  <c r="DH125" i="33"/>
  <c r="DH171" i="33" s="1"/>
  <c r="DH136" i="33"/>
  <c r="BH125" i="33"/>
  <c r="BH171" i="33" s="1"/>
  <c r="BH136" i="33"/>
  <c r="BP130" i="33"/>
  <c r="BP176" i="33" s="1"/>
  <c r="BP141" i="33"/>
  <c r="CC126" i="33"/>
  <c r="CC172" i="33" s="1"/>
  <c r="CC137" i="33"/>
  <c r="BA153" i="33"/>
  <c r="BA77" i="33"/>
  <c r="BI128" i="33"/>
  <c r="BI174" i="33" s="1"/>
  <c r="BI139" i="33"/>
  <c r="CV123" i="33"/>
  <c r="CV169" i="33" s="1"/>
  <c r="CV134" i="33"/>
  <c r="EB129" i="33"/>
  <c r="EB175" i="33" s="1"/>
  <c r="EB140" i="33"/>
  <c r="BB126" i="33"/>
  <c r="BB172" i="33" s="1"/>
  <c r="BB137" i="33"/>
  <c r="CQ121" i="33"/>
  <c r="CQ167" i="33" s="1"/>
  <c r="CQ132" i="33"/>
  <c r="CO128" i="33"/>
  <c r="CO174" i="33" s="1"/>
  <c r="CO139" i="33"/>
  <c r="BK125" i="33"/>
  <c r="BK171" i="33" s="1"/>
  <c r="BK136" i="33"/>
  <c r="CG124" i="33"/>
  <c r="CG170" i="33" s="1"/>
  <c r="CG135" i="33"/>
  <c r="CR127" i="33"/>
  <c r="CR173" i="33" s="1"/>
  <c r="CR138" i="33"/>
  <c r="DG129" i="33"/>
  <c r="DG175" i="33" s="1"/>
  <c r="DG140" i="33"/>
  <c r="CJ130" i="33"/>
  <c r="CJ176" i="33" s="1"/>
  <c r="CJ141" i="33"/>
  <c r="DU126" i="33"/>
  <c r="DU172" i="33" s="1"/>
  <c r="DU137" i="33"/>
  <c r="BC129" i="33"/>
  <c r="BC175" i="33" s="1"/>
  <c r="BC140" i="33"/>
  <c r="CO124" i="33"/>
  <c r="CO170" i="33" s="1"/>
  <c r="CO135" i="33"/>
  <c r="CR126" i="33"/>
  <c r="CR172" i="33" s="1"/>
  <c r="CR137" i="33"/>
  <c r="DL122" i="33"/>
  <c r="DL168" i="33" s="1"/>
  <c r="DL133" i="33"/>
  <c r="DO127" i="33"/>
  <c r="DO173" i="33" s="1"/>
  <c r="DO138" i="33"/>
  <c r="CI128" i="33"/>
  <c r="CI174" i="33" s="1"/>
  <c r="CI139" i="33"/>
  <c r="DT123" i="33"/>
  <c r="DT169" i="33" s="1"/>
  <c r="DT134" i="33"/>
  <c r="DW128" i="33"/>
  <c r="DW174" i="33" s="1"/>
  <c r="DW139" i="33"/>
  <c r="DL124" i="33"/>
  <c r="DL170" i="33" s="1"/>
  <c r="DL135" i="33"/>
  <c r="DO129" i="33"/>
  <c r="DO175" i="33" s="1"/>
  <c r="DO140" i="33"/>
  <c r="CR129" i="33"/>
  <c r="CR175" i="33" s="1"/>
  <c r="CR140" i="33"/>
  <c r="DL125" i="33"/>
  <c r="DL171" i="33" s="1"/>
  <c r="DL136" i="33"/>
  <c r="DO130" i="33"/>
  <c r="DO176" i="33" s="1"/>
  <c r="DO141" i="33"/>
  <c r="CR130" i="33"/>
  <c r="CR176" i="33" s="1"/>
  <c r="CR141" i="33"/>
  <c r="DL126" i="33"/>
  <c r="DL172" i="33" s="1"/>
  <c r="DL137" i="33"/>
  <c r="CO126" i="33"/>
  <c r="CO172" i="33" s="1"/>
  <c r="CO137" i="33"/>
  <c r="DZ121" i="33"/>
  <c r="DZ167" i="33" s="1"/>
  <c r="DZ132" i="33"/>
  <c r="DL127" i="33"/>
  <c r="DL173" i="33" s="1"/>
  <c r="DL138" i="33"/>
  <c r="CO127" i="33"/>
  <c r="CO173" i="33" s="1"/>
  <c r="CO138" i="33"/>
  <c r="DZ122" i="33"/>
  <c r="DZ168" i="33" s="1"/>
  <c r="DZ133" i="33"/>
  <c r="DL128" i="33"/>
  <c r="DL174" i="33" s="1"/>
  <c r="DL139" i="33"/>
  <c r="CP123" i="33"/>
  <c r="CP169" i="33" s="1"/>
  <c r="CP134" i="33"/>
  <c r="DK130" i="33"/>
  <c r="DK176" i="33" s="1"/>
  <c r="DK141" i="33"/>
  <c r="DE121" i="33"/>
  <c r="DE167" i="33" s="1"/>
  <c r="DE132" i="33"/>
  <c r="DP126" i="33"/>
  <c r="DP172" i="33" s="1"/>
  <c r="DP137" i="33"/>
  <c r="CB127" i="33"/>
  <c r="CB173" i="33" s="1"/>
  <c r="CB138" i="33"/>
  <c r="DM122" i="33"/>
  <c r="DM168" i="33" s="1"/>
  <c r="DM133" i="33"/>
  <c r="DX127" i="33"/>
  <c r="DX173" i="33" s="1"/>
  <c r="DX138" i="33"/>
  <c r="DE123" i="33"/>
  <c r="DE169" i="33" s="1"/>
  <c r="DE134" i="33"/>
  <c r="DP128" i="33"/>
  <c r="DP174" i="33" s="1"/>
  <c r="DP139" i="33"/>
  <c r="CS128" i="33"/>
  <c r="CS174" i="33" s="1"/>
  <c r="CS139" i="33"/>
  <c r="DE124" i="33"/>
  <c r="DE170" i="33" s="1"/>
  <c r="DE135" i="33"/>
  <c r="DP129" i="33"/>
  <c r="DP175" i="33" s="1"/>
  <c r="DP140" i="33"/>
  <c r="CS129" i="33"/>
  <c r="CS175" i="33" s="1"/>
  <c r="CS140" i="33"/>
  <c r="DE125" i="33"/>
  <c r="DE171" i="33" s="1"/>
  <c r="DE136" i="33"/>
  <c r="DP130" i="33"/>
  <c r="DP176" i="33" s="1"/>
  <c r="DP141" i="33"/>
  <c r="CS130" i="33"/>
  <c r="CS176" i="33" s="1"/>
  <c r="CS141" i="33"/>
  <c r="DE126" i="33"/>
  <c r="DE172" i="33" s="1"/>
  <c r="DE137" i="33"/>
  <c r="CP126" i="33"/>
  <c r="CP172" i="33" s="1"/>
  <c r="CP137" i="33"/>
  <c r="EA121" i="33"/>
  <c r="EA167" i="33" s="1"/>
  <c r="EA132" i="33"/>
  <c r="DE127" i="33"/>
  <c r="DE173" i="33" s="1"/>
  <c r="DE138" i="33"/>
  <c r="CB151" i="33"/>
  <c r="CB75" i="33"/>
  <c r="CP127" i="33"/>
  <c r="CP173" i="33" s="1"/>
  <c r="CP138" i="33"/>
  <c r="CX128" i="33"/>
  <c r="CX174" i="33" s="1"/>
  <c r="CX139" i="33"/>
  <c r="DJ124" i="33"/>
  <c r="DJ170" i="33" s="1"/>
  <c r="DJ135" i="33"/>
  <c r="DM129" i="33"/>
  <c r="DM175" i="33" s="1"/>
  <c r="DM140" i="33"/>
  <c r="CG130" i="33"/>
  <c r="CG176" i="33" s="1"/>
  <c r="CG141" i="33"/>
  <c r="DR125" i="33"/>
  <c r="DR171" i="33" s="1"/>
  <c r="DR136" i="33"/>
  <c r="DU130" i="33"/>
  <c r="DU176" i="33" s="1"/>
  <c r="DU141" i="33"/>
  <c r="DJ126" i="33"/>
  <c r="DJ172" i="33" s="1"/>
  <c r="DJ137" i="33"/>
  <c r="CM126" i="33"/>
  <c r="CM172" i="33" s="1"/>
  <c r="CM137" i="33"/>
  <c r="DX121" i="33"/>
  <c r="DX167" i="33" s="1"/>
  <c r="DX132" i="33"/>
  <c r="DJ127" i="33"/>
  <c r="DJ173" i="33" s="1"/>
  <c r="DJ138" i="33"/>
  <c r="CM127" i="33"/>
  <c r="CM173" i="33" s="1"/>
  <c r="CM138" i="33"/>
  <c r="DX122" i="33"/>
  <c r="DX168" i="33" s="1"/>
  <c r="DX133" i="33"/>
  <c r="DJ128" i="33"/>
  <c r="DJ174" i="33" s="1"/>
  <c r="DJ139" i="33"/>
  <c r="CM128" i="33"/>
  <c r="CM174" i="33" s="1"/>
  <c r="CM139" i="33"/>
  <c r="DX123" i="33"/>
  <c r="DX169" i="33" s="1"/>
  <c r="DX134" i="33"/>
  <c r="DJ129" i="33"/>
  <c r="DJ175" i="33" s="1"/>
  <c r="DJ140" i="33"/>
  <c r="CM129" i="33"/>
  <c r="CM175" i="33" s="1"/>
  <c r="CM140" i="33"/>
  <c r="DX124" i="33"/>
  <c r="DX170" i="33" s="1"/>
  <c r="DX135" i="33"/>
  <c r="DJ130" i="33"/>
  <c r="DJ176" i="33" s="1"/>
  <c r="DJ141" i="33"/>
  <c r="O259" i="33"/>
  <c r="AP204" i="33"/>
  <c r="AQ204" i="33" s="1"/>
  <c r="AP200" i="33"/>
  <c r="AQ200" i="33" s="1"/>
  <c r="AP202" i="33"/>
  <c r="AQ202" i="33" s="1"/>
  <c r="AP203" i="33"/>
  <c r="AQ203" i="33" s="1"/>
  <c r="AP201" i="33"/>
  <c r="AQ201" i="33" s="1"/>
  <c r="BD129" i="33"/>
  <c r="BD175" i="33" s="1"/>
  <c r="BD140" i="33"/>
  <c r="CH129" i="33"/>
  <c r="CH175" i="33" s="1"/>
  <c r="CH140" i="33"/>
  <c r="CE124" i="33"/>
  <c r="CE170" i="33" s="1"/>
  <c r="CE135" i="33"/>
  <c r="BG121" i="33"/>
  <c r="BG167" i="33" s="1"/>
  <c r="BG132" i="33"/>
  <c r="EA122" i="33"/>
  <c r="EA168" i="33" s="1"/>
  <c r="EA133" i="33"/>
  <c r="BL125" i="33"/>
  <c r="BL171" i="33" s="1"/>
  <c r="BL136" i="33"/>
  <c r="AW124" i="33"/>
  <c r="AW170" i="33" s="1"/>
  <c r="AW135" i="33"/>
  <c r="BF122" i="33"/>
  <c r="BF168" i="33" s="1"/>
  <c r="BF133" i="33"/>
  <c r="CQ125" i="33"/>
  <c r="CQ171" i="33" s="1"/>
  <c r="CQ136" i="33"/>
  <c r="CL125" i="33"/>
  <c r="CL171" i="33" s="1"/>
  <c r="CL136" i="33"/>
  <c r="BD153" i="33"/>
  <c r="BD77" i="33"/>
  <c r="BL128" i="33"/>
  <c r="BL174" i="33" s="1"/>
  <c r="BL139" i="33"/>
  <c r="AW127" i="33"/>
  <c r="AW173" i="33" s="1"/>
  <c r="AW138" i="33"/>
  <c r="BF125" i="33"/>
  <c r="BF171" i="33" s="1"/>
  <c r="BF136" i="33"/>
  <c r="AZ153" i="33"/>
  <c r="AZ77" i="33"/>
  <c r="BB129" i="33"/>
  <c r="BB175" i="33" s="1"/>
  <c r="BB140" i="33"/>
  <c r="AV125" i="33"/>
  <c r="AV171" i="33" s="1"/>
  <c r="AV136" i="33"/>
  <c r="BM128" i="33"/>
  <c r="BM174" i="33" s="1"/>
  <c r="BM139" i="33"/>
  <c r="BN151" i="33"/>
  <c r="BN75" i="33"/>
  <c r="BO128" i="33"/>
  <c r="BO174" i="33" s="1"/>
  <c r="BO139" i="33"/>
  <c r="CU125" i="33"/>
  <c r="CU171" i="33" s="1"/>
  <c r="CU136" i="33"/>
  <c r="CU151" i="33"/>
  <c r="CU75" i="33"/>
  <c r="CV151" i="33"/>
  <c r="CV75" i="33"/>
  <c r="AZ130" i="33"/>
  <c r="AZ176" i="33" s="1"/>
  <c r="AZ141" i="33"/>
  <c r="CK125" i="33"/>
  <c r="CK171" i="33" s="1"/>
  <c r="CK136" i="33"/>
  <c r="DX125" i="33"/>
  <c r="DX171" i="33" s="1"/>
  <c r="DX136" i="33"/>
  <c r="CI126" i="33"/>
  <c r="CI172" i="33" s="1"/>
  <c r="CI137" i="33"/>
  <c r="CJ151" i="33"/>
  <c r="CJ75" i="33"/>
  <c r="DR126" i="33"/>
  <c r="DR172" i="33" s="1"/>
  <c r="DR137" i="33"/>
  <c r="DR130" i="33"/>
  <c r="DR176" i="33" s="1"/>
  <c r="DR141" i="33"/>
  <c r="BP153" i="33"/>
  <c r="BP77" i="33"/>
  <c r="BI121" i="33"/>
  <c r="BI167" i="33" s="1"/>
  <c r="BI132" i="33"/>
  <c r="CG152" i="33"/>
  <c r="CG76" i="33"/>
  <c r="BR129" i="33"/>
  <c r="BR175" i="33" s="1"/>
  <c r="BR140" i="33"/>
  <c r="BK129" i="33"/>
  <c r="BK175" i="33" s="1"/>
  <c r="BK140" i="33"/>
  <c r="DY128" i="33"/>
  <c r="DY174" i="33" s="1"/>
  <c r="DY139" i="33"/>
  <c r="CI125" i="33"/>
  <c r="CI171" i="33" s="1"/>
  <c r="CI136" i="33"/>
  <c r="CB125" i="33"/>
  <c r="CB171" i="33" s="1"/>
  <c r="CB136" i="33"/>
  <c r="AZ128" i="33"/>
  <c r="AZ174" i="33" s="1"/>
  <c r="AZ139" i="33"/>
  <c r="BQ125" i="33"/>
  <c r="BQ171" i="33" s="1"/>
  <c r="BQ136" i="33"/>
  <c r="BR128" i="33"/>
  <c r="BR174" i="33" s="1"/>
  <c r="BR139" i="33"/>
  <c r="BC128" i="33"/>
  <c r="BC174" i="33" s="1"/>
  <c r="BC139" i="33"/>
  <c r="DO128" i="33"/>
  <c r="DO174" i="33" s="1"/>
  <c r="DO139" i="33"/>
  <c r="DR122" i="33"/>
  <c r="DR168" i="33" s="1"/>
  <c r="DR133" i="33"/>
  <c r="CO129" i="33"/>
  <c r="CO175" i="33" s="1"/>
  <c r="CO140" i="33"/>
  <c r="DL130" i="33"/>
  <c r="DL176" i="33" s="1"/>
  <c r="DL141" i="33"/>
  <c r="DO121" i="33"/>
  <c r="DO167" i="33" s="1"/>
  <c r="DO132" i="33"/>
  <c r="DO122" i="33"/>
  <c r="DO168" i="33" s="1"/>
  <c r="DO133" i="33"/>
  <c r="DO123" i="33"/>
  <c r="DO169" i="33" s="1"/>
  <c r="DO134" i="33"/>
  <c r="CD129" i="33"/>
  <c r="CD175" i="33" s="1"/>
  <c r="CD140" i="33"/>
  <c r="CD130" i="33"/>
  <c r="CD176" i="33" s="1"/>
  <c r="CD141" i="33"/>
  <c r="CL126" i="33"/>
  <c r="CL172" i="33" s="1"/>
  <c r="CL137" i="33"/>
  <c r="DE129" i="33"/>
  <c r="DE175" i="33" s="1"/>
  <c r="DE140" i="33"/>
  <c r="DJ125" i="33"/>
  <c r="DJ171" i="33" s="1"/>
  <c r="DJ136" i="33"/>
  <c r="CE126" i="33"/>
  <c r="CE172" i="33" s="1"/>
  <c r="CE137" i="33"/>
  <c r="EA126" i="33"/>
  <c r="EA172" i="33" s="1"/>
  <c r="EA137" i="33"/>
  <c r="EA127" i="33"/>
  <c r="EA173" i="33" s="1"/>
  <c r="EA138" i="33"/>
  <c r="DP123" i="33"/>
  <c r="DP169" i="33" s="1"/>
  <c r="DP134" i="33"/>
  <c r="EA128" i="33"/>
  <c r="EA174" i="33" s="1"/>
  <c r="EA139" i="33"/>
  <c r="DP124" i="33"/>
  <c r="DP170" i="33" s="1"/>
  <c r="DP135" i="33"/>
  <c r="CX153" i="33"/>
  <c r="CX77" i="33"/>
  <c r="DM121" i="33"/>
  <c r="DM167" i="33" s="1"/>
  <c r="DM132" i="33"/>
  <c r="CJ127" i="33"/>
  <c r="CJ173" i="33" s="1"/>
  <c r="CJ138" i="33"/>
  <c r="DG128" i="33"/>
  <c r="DG174" i="33" s="1"/>
  <c r="DG139" i="33"/>
  <c r="DX128" i="33"/>
  <c r="DX174" i="33" s="1"/>
  <c r="DX139" i="33"/>
  <c r="DX129" i="33"/>
  <c r="DX175" i="33" s="1"/>
  <c r="DX140" i="33"/>
  <c r="AV124" i="33"/>
  <c r="AV170" i="33" s="1"/>
  <c r="AV135" i="33"/>
  <c r="BM127" i="33"/>
  <c r="BM173" i="33" s="1"/>
  <c r="BM138" i="33"/>
  <c r="CD152" i="33"/>
  <c r="CD76" i="33"/>
  <c r="CY151" i="33"/>
  <c r="CY75" i="33"/>
  <c r="CQ126" i="33"/>
  <c r="CQ172" i="33" s="1"/>
  <c r="CQ137" i="33"/>
  <c r="AX122" i="33"/>
  <c r="AX168" i="33" s="1"/>
  <c r="AX133" i="33"/>
  <c r="CG151" i="33"/>
  <c r="CG75" i="33"/>
  <c r="BD151" i="33"/>
  <c r="BD75" i="33"/>
  <c r="AW125" i="33"/>
  <c r="AW171" i="33" s="1"/>
  <c r="AW136" i="33"/>
  <c r="BN128" i="33"/>
  <c r="BN174" i="33" s="1"/>
  <c r="BN139" i="33"/>
  <c r="BB151" i="33"/>
  <c r="BB75" i="33"/>
  <c r="AV128" i="33"/>
  <c r="AV174" i="33" s="1"/>
  <c r="AV139" i="33"/>
  <c r="CT151" i="33"/>
  <c r="CT75" i="33"/>
  <c r="AY124" i="33"/>
  <c r="AY170" i="33" s="1"/>
  <c r="AY135" i="33"/>
  <c r="CN125" i="33"/>
  <c r="CN171" i="33" s="1"/>
  <c r="CN136" i="33"/>
  <c r="BD124" i="33"/>
  <c r="BD170" i="33" s="1"/>
  <c r="BD135" i="33"/>
  <c r="BL129" i="33"/>
  <c r="BL175" i="33" s="1"/>
  <c r="BL140" i="33"/>
  <c r="CG125" i="33"/>
  <c r="CG171" i="33" s="1"/>
  <c r="CG136" i="33"/>
  <c r="BM122" i="33"/>
  <c r="BM168" i="33" s="1"/>
  <c r="BM133" i="33"/>
  <c r="AW128" i="33"/>
  <c r="AW174" i="33" s="1"/>
  <c r="AW139" i="33"/>
  <c r="CJ123" i="33"/>
  <c r="CJ169" i="33" s="1"/>
  <c r="CJ134" i="33"/>
  <c r="AX151" i="33"/>
  <c r="AX75" i="33"/>
  <c r="BF126" i="33"/>
  <c r="BF172" i="33" s="1"/>
  <c r="BF137" i="33"/>
  <c r="CT122" i="33"/>
  <c r="CT168" i="33" s="1"/>
  <c r="CT133" i="33"/>
  <c r="BG127" i="33"/>
  <c r="BG173" i="33" s="1"/>
  <c r="BG138" i="33"/>
  <c r="AZ127" i="33"/>
  <c r="AZ173" i="33" s="1"/>
  <c r="AZ138" i="33"/>
  <c r="BA130" i="33"/>
  <c r="BA176" i="33" s="1"/>
  <c r="BA141" i="33"/>
  <c r="CG153" i="33"/>
  <c r="CG77" i="33"/>
  <c r="DS124" i="33"/>
  <c r="DS170" i="33" s="1"/>
  <c r="DS135" i="33"/>
  <c r="AV122" i="33"/>
  <c r="AV168" i="33" s="1"/>
  <c r="AV133" i="33"/>
  <c r="BD127" i="33"/>
  <c r="BD173" i="33" s="1"/>
  <c r="BD138" i="33"/>
  <c r="CR122" i="33"/>
  <c r="CR168" i="33" s="1"/>
  <c r="CR133" i="33"/>
  <c r="DM128" i="33"/>
  <c r="DM174" i="33" s="1"/>
  <c r="DM139" i="33"/>
  <c r="BM125" i="33"/>
  <c r="BM171" i="33" s="1"/>
  <c r="BM136" i="33"/>
  <c r="CD151" i="33"/>
  <c r="CD75" i="33"/>
  <c r="CX127" i="33"/>
  <c r="CX173" i="33" s="1"/>
  <c r="CX138" i="33"/>
  <c r="AX124" i="33"/>
  <c r="AX170" i="33" s="1"/>
  <c r="AX135" i="33"/>
  <c r="BF129" i="33"/>
  <c r="BF175" i="33" s="1"/>
  <c r="BF140" i="33"/>
  <c r="CJ125" i="33"/>
  <c r="CJ171" i="33" s="1"/>
  <c r="CJ136" i="33"/>
  <c r="DT129" i="33"/>
  <c r="DT175" i="33" s="1"/>
  <c r="DT140" i="33"/>
  <c r="BR153" i="33"/>
  <c r="BR77" i="33"/>
  <c r="BK128" i="33"/>
  <c r="BK174" i="33" s="1"/>
  <c r="BK139" i="33"/>
  <c r="CN127" i="33"/>
  <c r="CN173" i="33" s="1"/>
  <c r="CN138" i="33"/>
  <c r="BL153" i="33"/>
  <c r="BL160" i="33" s="1"/>
  <c r="BL161" i="33" s="1"/>
  <c r="BL162" i="33" s="1"/>
  <c r="BL77" i="33"/>
  <c r="AV129" i="33"/>
  <c r="AV175" i="33" s="1"/>
  <c r="AV140" i="33"/>
  <c r="CP124" i="33"/>
  <c r="CP170" i="33" s="1"/>
  <c r="CP135" i="33"/>
  <c r="AW122" i="33"/>
  <c r="AW168" i="33" s="1"/>
  <c r="AW133" i="33"/>
  <c r="BE127" i="33"/>
  <c r="BE173" i="33" s="1"/>
  <c r="BE138" i="33"/>
  <c r="CS122" i="33"/>
  <c r="CS168" i="33" s="1"/>
  <c r="CS133" i="33"/>
  <c r="DU128" i="33"/>
  <c r="DU174" i="33" s="1"/>
  <c r="DU139" i="33"/>
  <c r="BN125" i="33"/>
  <c r="BN171" i="33" s="1"/>
  <c r="BN136" i="33"/>
  <c r="CM121" i="33"/>
  <c r="CM167" i="33" s="1"/>
  <c r="CM132" i="33"/>
  <c r="AY126" i="33"/>
  <c r="AY172" i="33" s="1"/>
  <c r="AY137" i="33"/>
  <c r="BH124" i="33"/>
  <c r="BH170" i="33" s="1"/>
  <c r="BH135" i="33"/>
  <c r="BI127" i="33"/>
  <c r="BI173" i="33" s="1"/>
  <c r="BI138" i="33"/>
  <c r="BJ130" i="33"/>
  <c r="BJ176" i="33" s="1"/>
  <c r="BJ141" i="33"/>
  <c r="DN128" i="33"/>
  <c r="DN174" i="33" s="1"/>
  <c r="DN139" i="33"/>
  <c r="DK129" i="33"/>
  <c r="DK175" i="33" s="1"/>
  <c r="DK140" i="33"/>
  <c r="CY125" i="33"/>
  <c r="CY171" i="33" s="1"/>
  <c r="CY136" i="33"/>
  <c r="AY125" i="33"/>
  <c r="AY171" i="33" s="1"/>
  <c r="AY136" i="33"/>
  <c r="BG130" i="33"/>
  <c r="BG176" i="33" s="1"/>
  <c r="BG141" i="33"/>
  <c r="CR125" i="33"/>
  <c r="CR171" i="33" s="1"/>
  <c r="CR136" i="33"/>
  <c r="BH153" i="33"/>
  <c r="BH160" i="33" s="1"/>
  <c r="BH161" i="33" s="1"/>
  <c r="BH162" i="33" s="1"/>
  <c r="BH77" i="33"/>
  <c r="BP128" i="33"/>
  <c r="BP174" i="33" s="1"/>
  <c r="BP139" i="33"/>
  <c r="CD124" i="33"/>
  <c r="CD170" i="33" s="1"/>
  <c r="CD135" i="33"/>
  <c r="BA151" i="33"/>
  <c r="BA75" i="33"/>
  <c r="BI126" i="33"/>
  <c r="BI172" i="33" s="1"/>
  <c r="BI137" i="33"/>
  <c r="CX151" i="33"/>
  <c r="CX75" i="33"/>
  <c r="CQ129" i="33"/>
  <c r="CQ175" i="33" s="1"/>
  <c r="CQ140" i="33"/>
  <c r="BB124" i="33"/>
  <c r="BB170" i="33" s="1"/>
  <c r="BB135" i="33"/>
  <c r="BJ129" i="33"/>
  <c r="BJ175" i="33" s="1"/>
  <c r="BJ140" i="33"/>
  <c r="CV124" i="33"/>
  <c r="CV170" i="33" s="1"/>
  <c r="CV135" i="33"/>
  <c r="BK153" i="33"/>
  <c r="BK160" i="33" s="1"/>
  <c r="BK161" i="33" s="1"/>
  <c r="BK162" i="33" s="1"/>
  <c r="BK77" i="33"/>
  <c r="BS128" i="33"/>
  <c r="BS174" i="33" s="1"/>
  <c r="BS139" i="33"/>
  <c r="DR124" i="33"/>
  <c r="DR170" i="33" s="1"/>
  <c r="DR135" i="33"/>
  <c r="DG121" i="33"/>
  <c r="DG167" i="33" s="1"/>
  <c r="DG132" i="33"/>
  <c r="DR127" i="33"/>
  <c r="DR173" i="33" s="1"/>
  <c r="DR138" i="33"/>
  <c r="CU128" i="33"/>
  <c r="CU174" i="33" s="1"/>
  <c r="CU139" i="33"/>
  <c r="DG125" i="33"/>
  <c r="DG171" i="33" s="1"/>
  <c r="DG136" i="33"/>
  <c r="CS124" i="33"/>
  <c r="CS170" i="33" s="1"/>
  <c r="CS135" i="33"/>
  <c r="BH122" i="33"/>
  <c r="BH168" i="33" s="1"/>
  <c r="BH133" i="33"/>
  <c r="BP127" i="33"/>
  <c r="BP173" i="33" s="1"/>
  <c r="BP138" i="33"/>
  <c r="CE153" i="33"/>
  <c r="CE77" i="33"/>
  <c r="DP125" i="33"/>
  <c r="DP171" i="33" s="1"/>
  <c r="DP136" i="33"/>
  <c r="BI125" i="33"/>
  <c r="BI171" i="33" s="1"/>
  <c r="BI136" i="33"/>
  <c r="BQ130" i="33"/>
  <c r="BQ176" i="33" s="1"/>
  <c r="BQ141" i="33"/>
  <c r="CD126" i="33"/>
  <c r="CD172" i="33" s="1"/>
  <c r="CD137" i="33"/>
  <c r="BB153" i="33"/>
  <c r="BB77" i="33"/>
  <c r="BJ128" i="33"/>
  <c r="BJ174" i="33" s="1"/>
  <c r="BJ139" i="33"/>
  <c r="CW123" i="33"/>
  <c r="CW169" i="33" s="1"/>
  <c r="CW134" i="33"/>
  <c r="BK122" i="33"/>
  <c r="BK168" i="33" s="1"/>
  <c r="BK133" i="33"/>
  <c r="BS127" i="33"/>
  <c r="BS173" i="33" s="1"/>
  <c r="BS138" i="33"/>
  <c r="CN130" i="33"/>
  <c r="CN176" i="33" s="1"/>
  <c r="CN141" i="33"/>
  <c r="DH127" i="33"/>
  <c r="DH173" i="33" s="1"/>
  <c r="DH138" i="33"/>
  <c r="DN123" i="33"/>
  <c r="DN169" i="33" s="1"/>
  <c r="DN134" i="33"/>
  <c r="DY129" i="33"/>
  <c r="DY175" i="33" s="1"/>
  <c r="DY140" i="33"/>
  <c r="DK121" i="33"/>
  <c r="DK167" i="33" s="1"/>
  <c r="DK132" i="33"/>
  <c r="CS123" i="33"/>
  <c r="CS169" i="33" s="1"/>
  <c r="CS134" i="33"/>
  <c r="AY153" i="33"/>
  <c r="AY77" i="33"/>
  <c r="BG128" i="33"/>
  <c r="BG174" i="33" s="1"/>
  <c r="BG139" i="33"/>
  <c r="CT123" i="33"/>
  <c r="CT169" i="33" s="1"/>
  <c r="CT134" i="33"/>
  <c r="BH121" i="33"/>
  <c r="BH167" i="33" s="1"/>
  <c r="BH132" i="33"/>
  <c r="BP126" i="33"/>
  <c r="BP172" i="33" s="1"/>
  <c r="BP137" i="33"/>
  <c r="CF152" i="33"/>
  <c r="CF76" i="33"/>
  <c r="CP130" i="33"/>
  <c r="CP176" i="33" s="1"/>
  <c r="CP141" i="33"/>
  <c r="BI124" i="33"/>
  <c r="BI170" i="33" s="1"/>
  <c r="BI135" i="33"/>
  <c r="BQ129" i="33"/>
  <c r="BQ175" i="33" s="1"/>
  <c r="BQ140" i="33"/>
  <c r="CD125" i="33"/>
  <c r="CD171" i="33" s="1"/>
  <c r="CD136" i="33"/>
  <c r="BB122" i="33"/>
  <c r="BB168" i="33" s="1"/>
  <c r="BB133" i="33"/>
  <c r="BJ127" i="33"/>
  <c r="BJ173" i="33" s="1"/>
  <c r="BJ138" i="33"/>
  <c r="CX152" i="33"/>
  <c r="CX76" i="33"/>
  <c r="BK121" i="33"/>
  <c r="BK167" i="33" s="1"/>
  <c r="BK132" i="33"/>
  <c r="BS126" i="33"/>
  <c r="BS172" i="33" s="1"/>
  <c r="BS137" i="33"/>
  <c r="CJ126" i="33"/>
  <c r="CJ172" i="33" s="1"/>
  <c r="CJ137" i="33"/>
  <c r="DL123" i="33"/>
  <c r="DL169" i="33" s="1"/>
  <c r="DL134" i="33"/>
  <c r="CJ129" i="33"/>
  <c r="CJ175" i="33" s="1"/>
  <c r="CJ140" i="33"/>
  <c r="DU125" i="33"/>
  <c r="DU171" i="33" s="1"/>
  <c r="DU136" i="33"/>
  <c r="CG127" i="33"/>
  <c r="CG173" i="33" s="1"/>
  <c r="CG138" i="33"/>
  <c r="BK130" i="33"/>
  <c r="BK176" i="33" s="1"/>
  <c r="BK141" i="33"/>
  <c r="CV125" i="33"/>
  <c r="CV171" i="33" s="1"/>
  <c r="CV136" i="33"/>
  <c r="CH128" i="33"/>
  <c r="CH174" i="33" s="1"/>
  <c r="CH139" i="33"/>
  <c r="DS123" i="33"/>
  <c r="DS169" i="33" s="1"/>
  <c r="DS134" i="33"/>
  <c r="DV128" i="33"/>
  <c r="DV174" i="33" s="1"/>
  <c r="DV139" i="33"/>
  <c r="CP129" i="33"/>
  <c r="CP175" i="33" s="1"/>
  <c r="CP140" i="33"/>
  <c r="EA124" i="33"/>
  <c r="EA170" i="33" s="1"/>
  <c r="EA135" i="33"/>
  <c r="DE130" i="33"/>
  <c r="DE176" i="33" s="1"/>
  <c r="DE141" i="33"/>
  <c r="DS125" i="33"/>
  <c r="DS171" i="33" s="1"/>
  <c r="DS136" i="33"/>
  <c r="DV130" i="33"/>
  <c r="DV176" i="33" s="1"/>
  <c r="DV141" i="33"/>
  <c r="DH121" i="33"/>
  <c r="DH167" i="33" s="1"/>
  <c r="DH132" i="33"/>
  <c r="DS126" i="33"/>
  <c r="DS172" i="33" s="1"/>
  <c r="DS137" i="33"/>
  <c r="CV126" i="33"/>
  <c r="CV172" i="33" s="1"/>
  <c r="CV137" i="33"/>
  <c r="DH122" i="33"/>
  <c r="DH168" i="33" s="1"/>
  <c r="DH133" i="33"/>
  <c r="DS127" i="33"/>
  <c r="DS173" i="33" s="1"/>
  <c r="DS138" i="33"/>
  <c r="CV127" i="33"/>
  <c r="CV173" i="33" s="1"/>
  <c r="CV138" i="33"/>
  <c r="DH123" i="33"/>
  <c r="DH169" i="33" s="1"/>
  <c r="DH134" i="33"/>
  <c r="DS128" i="33"/>
  <c r="DS174" i="33" s="1"/>
  <c r="DS139" i="33"/>
  <c r="CV128" i="33"/>
  <c r="CV174" i="33" s="1"/>
  <c r="CV139" i="33"/>
  <c r="DH124" i="33"/>
  <c r="DH170" i="33" s="1"/>
  <c r="DH135" i="33"/>
  <c r="DS129" i="33"/>
  <c r="DS175" i="33" s="1"/>
  <c r="DS140" i="33"/>
  <c r="CW124" i="33"/>
  <c r="CW170" i="33" s="1"/>
  <c r="CW135" i="33"/>
  <c r="CI127" i="33"/>
  <c r="CI173" i="33" s="1"/>
  <c r="CI138" i="33"/>
  <c r="DT122" i="33"/>
  <c r="DT168" i="33" s="1"/>
  <c r="DT133" i="33"/>
  <c r="DW127" i="33"/>
  <c r="DW173" i="33" s="1"/>
  <c r="DW138" i="33"/>
  <c r="CQ128" i="33"/>
  <c r="CQ174" i="33" s="1"/>
  <c r="CQ139" i="33"/>
  <c r="EB123" i="33"/>
  <c r="EB169" i="33" s="1"/>
  <c r="EB134" i="33"/>
  <c r="DF129" i="33"/>
  <c r="DF175" i="33" s="1"/>
  <c r="DF140" i="33"/>
  <c r="DT124" i="33"/>
  <c r="DT170" i="33" s="1"/>
  <c r="DT135" i="33"/>
  <c r="DW129" i="33"/>
  <c r="DW175" i="33" s="1"/>
  <c r="DW140" i="33"/>
  <c r="CI130" i="33"/>
  <c r="CI176" i="33" s="1"/>
  <c r="CI141" i="33"/>
  <c r="DT125" i="33"/>
  <c r="DT171" i="33" s="1"/>
  <c r="DT136" i="33"/>
  <c r="DW130" i="33"/>
  <c r="DW176" i="33" s="1"/>
  <c r="DW141" i="33"/>
  <c r="DI121" i="33"/>
  <c r="DI167" i="33" s="1"/>
  <c r="DI132" i="33"/>
  <c r="DT126" i="33"/>
  <c r="DT172" i="33" s="1"/>
  <c r="DT137" i="33"/>
  <c r="CW126" i="33"/>
  <c r="CW172" i="33" s="1"/>
  <c r="CW137" i="33"/>
  <c r="DI122" i="33"/>
  <c r="DI168" i="33" s="1"/>
  <c r="DI133" i="33"/>
  <c r="DT127" i="33"/>
  <c r="DT173" i="33" s="1"/>
  <c r="DT138" i="33"/>
  <c r="CW127" i="33"/>
  <c r="CW173" i="33" s="1"/>
  <c r="CW138" i="33"/>
  <c r="DI123" i="33"/>
  <c r="DI169" i="33" s="1"/>
  <c r="DI134" i="33"/>
  <c r="DT128" i="33"/>
  <c r="DT174" i="33" s="1"/>
  <c r="DT139" i="33"/>
  <c r="CQ122" i="33"/>
  <c r="CQ168" i="33" s="1"/>
  <c r="CQ133" i="33"/>
  <c r="DI124" i="33"/>
  <c r="DI170" i="33" s="1"/>
  <c r="DI135" i="33"/>
  <c r="CF130" i="33"/>
  <c r="CF176" i="33" s="1"/>
  <c r="CF141" i="33"/>
  <c r="DQ125" i="33"/>
  <c r="DQ171" i="33" s="1"/>
  <c r="DQ136" i="33"/>
  <c r="EB130" i="33"/>
  <c r="EB176" i="33" s="1"/>
  <c r="EB141" i="33"/>
  <c r="DN121" i="33"/>
  <c r="DN167" i="33" s="1"/>
  <c r="DN132" i="33"/>
  <c r="DY126" i="33"/>
  <c r="DY172" i="33" s="1"/>
  <c r="DY137" i="33"/>
  <c r="DF122" i="33"/>
  <c r="DF168" i="33" s="1"/>
  <c r="DF133" i="33"/>
  <c r="DQ127" i="33"/>
  <c r="DQ173" i="33" s="1"/>
  <c r="DQ138" i="33"/>
  <c r="CT127" i="33"/>
  <c r="CT173" i="33" s="1"/>
  <c r="CT138" i="33"/>
  <c r="DF123" i="33"/>
  <c r="DF169" i="33" s="1"/>
  <c r="DF134" i="33"/>
  <c r="DQ128" i="33"/>
  <c r="DQ174" i="33" s="1"/>
  <c r="DQ139" i="33"/>
  <c r="CT128" i="33"/>
  <c r="CT174" i="33" s="1"/>
  <c r="CT139" i="33"/>
  <c r="DF124" i="33"/>
  <c r="DF170" i="33" s="1"/>
  <c r="DF135" i="33"/>
  <c r="DQ129" i="33"/>
  <c r="DQ175" i="33" s="1"/>
  <c r="DQ140" i="33"/>
  <c r="CT129" i="33"/>
  <c r="CT175" i="33" s="1"/>
  <c r="CT140" i="33"/>
  <c r="DF125" i="33"/>
  <c r="DF171" i="33" s="1"/>
  <c r="DF136" i="33"/>
  <c r="DQ130" i="33"/>
  <c r="DQ176" i="33" s="1"/>
  <c r="DQ141" i="33"/>
  <c r="CT130" i="33"/>
  <c r="CT176" i="33" s="1"/>
  <c r="CT141" i="33"/>
  <c r="DF126" i="33"/>
  <c r="DF172" i="33" s="1"/>
  <c r="DF137" i="33"/>
  <c r="D263" i="33"/>
  <c r="O260" i="33"/>
  <c r="J201" i="33"/>
  <c r="D201" i="33" s="1"/>
  <c r="V198" i="33"/>
  <c r="W198" i="33" s="1"/>
  <c r="V199" i="33"/>
  <c r="W199" i="33" s="1"/>
  <c r="BD133" i="33" l="1"/>
  <c r="BQ133" i="33"/>
  <c r="BE160" i="33"/>
  <c r="BE161" i="33" s="1"/>
  <c r="BE162" i="33" s="1"/>
  <c r="AX160" i="33"/>
  <c r="AX161" i="33" s="1"/>
  <c r="AX162" i="33" s="1"/>
  <c r="T208" i="33"/>
  <c r="X207" i="33" s="1"/>
  <c r="D207" i="33"/>
  <c r="BD160" i="33"/>
  <c r="BD161" i="33" s="1"/>
  <c r="BD162" i="33" s="1"/>
  <c r="D265" i="33"/>
  <c r="D289" i="33" s="1"/>
  <c r="BA160" i="33"/>
  <c r="BA161" i="33" s="1"/>
  <c r="BA162" i="33" s="1"/>
  <c r="CM178" i="33"/>
  <c r="DG178" i="33"/>
  <c r="AW160" i="33"/>
  <c r="AW161" i="33" s="1"/>
  <c r="AW162" i="33" s="1"/>
  <c r="DZ178" i="33"/>
  <c r="AZ160" i="33"/>
  <c r="AZ161" i="33" s="1"/>
  <c r="AZ162" i="33" s="1"/>
  <c r="O257" i="33"/>
  <c r="DI178" i="33"/>
  <c r="DM178" i="33"/>
  <c r="CQ178" i="33"/>
  <c r="DS144" i="33"/>
  <c r="DS142" i="33"/>
  <c r="DS145" i="33"/>
  <c r="DS143" i="33"/>
  <c r="CE122" i="33"/>
  <c r="CE168" i="33" s="1"/>
  <c r="CE133" i="33"/>
  <c r="CH122" i="33"/>
  <c r="CH168" i="33" s="1"/>
  <c r="CH133" i="33"/>
  <c r="CN143" i="33"/>
  <c r="CN144" i="33"/>
  <c r="CN145" i="33"/>
  <c r="CN142" i="33"/>
  <c r="DJ144" i="33"/>
  <c r="DJ143" i="33"/>
  <c r="DJ142" i="33"/>
  <c r="DJ145" i="33"/>
  <c r="BJ123" i="33"/>
  <c r="BJ169" i="33" s="1"/>
  <c r="BJ134" i="33"/>
  <c r="BJ142" i="33" s="1"/>
  <c r="CF123" i="33"/>
  <c r="CF169" i="33" s="1"/>
  <c r="CF134" i="33"/>
  <c r="CC121" i="33"/>
  <c r="CC167" i="33" s="1"/>
  <c r="CC132" i="33"/>
  <c r="DH143" i="33"/>
  <c r="DH144" i="33"/>
  <c r="DH142" i="33"/>
  <c r="DH145" i="33"/>
  <c r="DK144" i="33"/>
  <c r="DK143" i="33"/>
  <c r="DK145" i="33"/>
  <c r="DK142" i="33"/>
  <c r="BK123" i="33"/>
  <c r="BK169" i="33" s="1"/>
  <c r="BK134" i="33"/>
  <c r="BK144" i="33" s="1"/>
  <c r="BR123" i="33"/>
  <c r="BR169" i="33" s="1"/>
  <c r="BR134" i="33"/>
  <c r="CY121" i="33"/>
  <c r="CY167" i="33" s="1"/>
  <c r="CY132" i="33"/>
  <c r="CX123" i="33"/>
  <c r="CX169" i="33" s="1"/>
  <c r="CX134" i="33"/>
  <c r="CG122" i="33"/>
  <c r="CG168" i="33" s="1"/>
  <c r="CG133" i="33"/>
  <c r="CV121" i="33"/>
  <c r="CV167" i="33" s="1"/>
  <c r="CV132" i="33"/>
  <c r="BN121" i="33"/>
  <c r="BN167" i="33" s="1"/>
  <c r="BN132" i="33"/>
  <c r="BD123" i="33"/>
  <c r="BD169" i="33" s="1"/>
  <c r="BD134" i="33"/>
  <c r="DX142" i="33"/>
  <c r="DX145" i="33"/>
  <c r="DX144" i="33"/>
  <c r="DX143" i="33"/>
  <c r="EA142" i="33"/>
  <c r="EA143" i="33"/>
  <c r="EA145" i="33"/>
  <c r="EA144" i="33"/>
  <c r="BA123" i="33"/>
  <c r="BA169" i="33" s="1"/>
  <c r="BA134" i="33"/>
  <c r="DV143" i="33"/>
  <c r="DV142" i="33"/>
  <c r="DV145" i="33"/>
  <c r="DV144" i="33"/>
  <c r="CC122" i="33"/>
  <c r="CC168" i="33" s="1"/>
  <c r="CC133" i="33"/>
  <c r="BM123" i="33"/>
  <c r="BM169" i="33" s="1"/>
  <c r="BM134" i="33"/>
  <c r="BM143" i="33" s="1"/>
  <c r="DS178" i="33"/>
  <c r="DR178" i="33"/>
  <c r="CS178" i="33"/>
  <c r="AV160" i="33"/>
  <c r="AV161" i="33" s="1"/>
  <c r="AV162" i="33" s="1"/>
  <c r="BF160" i="33"/>
  <c r="BF161" i="33" s="1"/>
  <c r="BF162" i="33" s="1"/>
  <c r="DT178" i="33"/>
  <c r="DP178" i="33"/>
  <c r="DL178" i="33"/>
  <c r="DN178" i="33"/>
  <c r="DH178" i="33"/>
  <c r="DK178" i="33"/>
  <c r="DO178" i="33"/>
  <c r="BN160" i="33"/>
  <c r="BN161" i="33" s="1"/>
  <c r="BN162" i="33" s="1"/>
  <c r="DX178" i="33"/>
  <c r="EA178" i="33"/>
  <c r="DE178" i="33"/>
  <c r="DV178" i="33"/>
  <c r="DQ143" i="33"/>
  <c r="DQ144" i="33"/>
  <c r="DQ145" i="33"/>
  <c r="DQ142" i="33"/>
  <c r="DW144" i="33"/>
  <c r="DW145" i="33"/>
  <c r="DW143" i="33"/>
  <c r="DW142" i="33"/>
  <c r="DF144" i="33"/>
  <c r="DF145" i="33"/>
  <c r="DF143" i="33"/>
  <c r="DF142" i="33"/>
  <c r="EB143" i="33"/>
  <c r="EB145" i="33"/>
  <c r="EB144" i="33"/>
  <c r="EB142" i="33"/>
  <c r="CF121" i="33"/>
  <c r="CF167" i="33" s="1"/>
  <c r="CF132" i="33"/>
  <c r="CY122" i="33"/>
  <c r="CY168" i="33" s="1"/>
  <c r="CY133" i="33"/>
  <c r="BQ123" i="33"/>
  <c r="BQ169" i="33" s="1"/>
  <c r="BQ134" i="33"/>
  <c r="CO144" i="33"/>
  <c r="CO145" i="33"/>
  <c r="CO142" i="33"/>
  <c r="CO143" i="33"/>
  <c r="CC123" i="33"/>
  <c r="CC169" i="33" s="1"/>
  <c r="CC134" i="33"/>
  <c r="AX123" i="33"/>
  <c r="AX169" i="33" s="1"/>
  <c r="AX134" i="33"/>
  <c r="CP144" i="33"/>
  <c r="CP142" i="33"/>
  <c r="CP143" i="33"/>
  <c r="CP145" i="33"/>
  <c r="AW123" i="33"/>
  <c r="AW169" i="33" s="1"/>
  <c r="AW134" i="33"/>
  <c r="CJ122" i="33"/>
  <c r="CJ168" i="33" s="1"/>
  <c r="CJ133" i="33"/>
  <c r="DY143" i="33"/>
  <c r="DY145" i="33"/>
  <c r="DY142" i="33"/>
  <c r="DY144" i="33"/>
  <c r="CH121" i="33"/>
  <c r="CH167" i="33" s="1"/>
  <c r="CH132" i="33"/>
  <c r="AY121" i="33"/>
  <c r="AY167" i="33" s="1"/>
  <c r="AY132" i="33"/>
  <c r="BE123" i="33"/>
  <c r="BE169" i="33" s="1"/>
  <c r="BE134" i="33"/>
  <c r="CB123" i="33"/>
  <c r="CB169" i="33" s="1"/>
  <c r="CB134" i="33"/>
  <c r="BB160" i="33"/>
  <c r="BB161" i="33" s="1"/>
  <c r="BB162" i="33" s="1"/>
  <c r="CL178" i="33"/>
  <c r="CR178" i="33"/>
  <c r="CI122" i="33"/>
  <c r="CI168" i="33" s="1"/>
  <c r="CI133" i="33"/>
  <c r="DR142" i="33"/>
  <c r="DR143" i="33"/>
  <c r="DR144" i="33"/>
  <c r="DR145" i="33"/>
  <c r="CE121" i="33"/>
  <c r="CE167" i="33" s="1"/>
  <c r="CE132" i="33"/>
  <c r="CI121" i="33"/>
  <c r="CI167" i="33" s="1"/>
  <c r="CI132" i="33"/>
  <c r="CD123" i="33"/>
  <c r="CD169" i="33" s="1"/>
  <c r="CD134" i="33"/>
  <c r="CS143" i="33"/>
  <c r="CS144" i="33"/>
  <c r="CS142" i="33"/>
  <c r="CS145" i="33"/>
  <c r="AV121" i="33"/>
  <c r="AV167" i="33" s="1"/>
  <c r="AV132" i="33"/>
  <c r="BF121" i="33"/>
  <c r="BF167" i="33" s="1"/>
  <c r="BF132" i="33"/>
  <c r="DT144" i="33"/>
  <c r="DT143" i="33"/>
  <c r="DT145" i="33"/>
  <c r="DT142" i="33"/>
  <c r="BN123" i="33"/>
  <c r="BN169" i="33" s="1"/>
  <c r="BN134" i="33"/>
  <c r="BI123" i="33"/>
  <c r="BI169" i="33" s="1"/>
  <c r="BI134" i="33"/>
  <c r="BI143" i="33" s="1"/>
  <c r="AW121" i="33"/>
  <c r="AW167" i="33" s="1"/>
  <c r="AW132" i="33"/>
  <c r="CB122" i="33"/>
  <c r="CB168" i="33" s="1"/>
  <c r="CB133" i="33"/>
  <c r="DP144" i="33"/>
  <c r="DP142" i="33"/>
  <c r="DP145" i="33"/>
  <c r="DP143" i="33"/>
  <c r="DU145" i="33"/>
  <c r="DU143" i="33"/>
  <c r="DU142" i="33"/>
  <c r="DU144" i="33"/>
  <c r="DL143" i="33"/>
  <c r="DL142" i="33"/>
  <c r="DL144" i="33"/>
  <c r="DL145" i="33"/>
  <c r="W200" i="33"/>
  <c r="D203" i="33" s="1"/>
  <c r="DN143" i="33"/>
  <c r="DN142" i="33"/>
  <c r="DN144" i="33"/>
  <c r="DN145" i="33"/>
  <c r="CX122" i="33"/>
  <c r="CX168" i="33" s="1"/>
  <c r="CX133" i="33"/>
  <c r="AY123" i="33"/>
  <c r="AY169" i="33" s="1"/>
  <c r="AY134" i="33"/>
  <c r="CE123" i="33"/>
  <c r="CE169" i="33" s="1"/>
  <c r="CE134" i="33"/>
  <c r="BH123" i="33"/>
  <c r="BH169" i="33" s="1"/>
  <c r="BH134" i="33"/>
  <c r="BH143" i="33" s="1"/>
  <c r="CG123" i="33"/>
  <c r="CG169" i="33" s="1"/>
  <c r="CG134" i="33"/>
  <c r="AX121" i="33"/>
  <c r="AX167" i="33" s="1"/>
  <c r="AX132" i="33"/>
  <c r="BD121" i="33"/>
  <c r="BD167" i="33" s="1"/>
  <c r="BD132" i="33"/>
  <c r="DO143" i="33"/>
  <c r="DO142" i="33"/>
  <c r="DO145" i="33"/>
  <c r="DO144" i="33"/>
  <c r="BP123" i="33"/>
  <c r="BP169" i="33" s="1"/>
  <c r="BP134" i="33"/>
  <c r="AZ123" i="33"/>
  <c r="AZ169" i="33" s="1"/>
  <c r="AZ134" i="33"/>
  <c r="CB121" i="33"/>
  <c r="CB167" i="33" s="1"/>
  <c r="CB132" i="33"/>
  <c r="DE143" i="33"/>
  <c r="DE145" i="33"/>
  <c r="DE142" i="33"/>
  <c r="DE144" i="33"/>
  <c r="BO123" i="33"/>
  <c r="BO169" i="33" s="1"/>
  <c r="BO134" i="33"/>
  <c r="BC123" i="33"/>
  <c r="BC169" i="33" s="1"/>
  <c r="BC134" i="33"/>
  <c r="BE121" i="33"/>
  <c r="BE167" i="33" s="1"/>
  <c r="BE132" i="33"/>
  <c r="CN178" i="33"/>
  <c r="DJ178" i="33"/>
  <c r="DU178" i="33"/>
  <c r="DI143" i="33"/>
  <c r="DI145" i="33"/>
  <c r="DI144" i="33"/>
  <c r="DI142" i="33"/>
  <c r="CF122" i="33"/>
  <c r="CF168" i="33" s="1"/>
  <c r="CF133" i="33"/>
  <c r="BB123" i="33"/>
  <c r="BB169" i="33" s="1"/>
  <c r="BB134" i="33"/>
  <c r="DG144" i="33"/>
  <c r="DG145" i="33"/>
  <c r="DG143" i="33"/>
  <c r="DG142" i="33"/>
  <c r="CX121" i="33"/>
  <c r="CX167" i="33" s="1"/>
  <c r="CX132" i="33"/>
  <c r="BA121" i="33"/>
  <c r="BA167" i="33" s="1"/>
  <c r="BA132" i="33"/>
  <c r="CM144" i="33"/>
  <c r="CM143" i="33"/>
  <c r="CM142" i="33"/>
  <c r="CM145" i="33"/>
  <c r="BL123" i="33"/>
  <c r="BL169" i="33" s="1"/>
  <c r="BL134" i="33"/>
  <c r="BL142" i="33" s="1"/>
  <c r="CD121" i="33"/>
  <c r="CD167" i="33" s="1"/>
  <c r="CD132" i="33"/>
  <c r="CT121" i="33"/>
  <c r="CT167" i="33" s="1"/>
  <c r="CT132" i="33"/>
  <c r="BB121" i="33"/>
  <c r="BB167" i="33" s="1"/>
  <c r="BB132" i="33"/>
  <c r="CG121" i="33"/>
  <c r="CG167" i="33" s="1"/>
  <c r="CG132" i="33"/>
  <c r="CD122" i="33"/>
  <c r="CD168" i="33" s="1"/>
  <c r="CD133" i="33"/>
  <c r="DM145" i="33"/>
  <c r="DM144" i="33"/>
  <c r="DM143" i="33"/>
  <c r="DM142" i="33"/>
  <c r="CJ121" i="33"/>
  <c r="CJ167" i="33" s="1"/>
  <c r="CJ132" i="33"/>
  <c r="CU121" i="33"/>
  <c r="CU167" i="33" s="1"/>
  <c r="CU132" i="33"/>
  <c r="DZ144" i="33"/>
  <c r="DZ145" i="33"/>
  <c r="DZ142" i="33"/>
  <c r="DZ143" i="33"/>
  <c r="CQ145" i="33"/>
  <c r="CQ144" i="33"/>
  <c r="CQ143" i="33"/>
  <c r="CQ142" i="33"/>
  <c r="BC121" i="33"/>
  <c r="BC167" i="33" s="1"/>
  <c r="BC132" i="33"/>
  <c r="CW121" i="33"/>
  <c r="CW167" i="33" s="1"/>
  <c r="CW132" i="33"/>
  <c r="AZ121" i="33"/>
  <c r="AZ167" i="33" s="1"/>
  <c r="AZ132" i="33"/>
  <c r="CV122" i="33"/>
  <c r="CV168" i="33" s="1"/>
  <c r="CV133" i="33"/>
  <c r="BG123" i="33"/>
  <c r="BG169" i="33" s="1"/>
  <c r="BG134" i="33"/>
  <c r="BG142" i="33" s="1"/>
  <c r="CL143" i="33"/>
  <c r="CL142" i="33"/>
  <c r="CL144" i="33"/>
  <c r="CL145" i="33"/>
  <c r="CK121" i="33"/>
  <c r="CK167" i="33" s="1"/>
  <c r="CK132" i="33"/>
  <c r="BP121" i="33"/>
  <c r="BP167" i="33" s="1"/>
  <c r="BP132" i="33"/>
  <c r="CY123" i="33"/>
  <c r="CY169" i="33" s="1"/>
  <c r="CY134" i="33"/>
  <c r="AV123" i="33"/>
  <c r="AV169" i="33" s="1"/>
  <c r="AV134" i="33"/>
  <c r="BF123" i="33"/>
  <c r="BF169" i="33" s="1"/>
  <c r="BF134" i="33"/>
  <c r="CR145" i="33"/>
  <c r="CR144" i="33"/>
  <c r="CR143" i="33"/>
  <c r="CR142" i="33"/>
  <c r="BS123" i="33"/>
  <c r="BS169" i="33" s="1"/>
  <c r="BS134" i="33"/>
  <c r="CW122" i="33"/>
  <c r="CW168" i="33" s="1"/>
  <c r="CW133" i="33"/>
  <c r="CK122" i="33"/>
  <c r="CK168" i="33" s="1"/>
  <c r="CK133" i="33"/>
  <c r="DQ178" i="33"/>
  <c r="DW178" i="33"/>
  <c r="DF178" i="33"/>
  <c r="EB178" i="33"/>
  <c r="CO178" i="33"/>
  <c r="CP178" i="33"/>
  <c r="DY178" i="33"/>
  <c r="AY160" i="33"/>
  <c r="AY161" i="33" s="1"/>
  <c r="AY162" i="33" s="1"/>
  <c r="X27" i="24"/>
  <c r="W27" i="24"/>
  <c r="V27" i="24"/>
  <c r="U27" i="24"/>
  <c r="T27" i="24"/>
  <c r="J27" i="24"/>
  <c r="I27" i="24"/>
  <c r="H27" i="24"/>
  <c r="G27" i="24"/>
  <c r="B27" i="24"/>
  <c r="Y27" i="24"/>
  <c r="BR64" i="33"/>
  <c r="BS64" i="33"/>
  <c r="BQ64" i="33"/>
  <c r="BO64" i="33"/>
  <c r="BP65" i="33"/>
  <c r="BO65" i="33"/>
  <c r="BP76" i="33" l="1"/>
  <c r="BP152" i="33"/>
  <c r="BP160" i="33" s="1"/>
  <c r="BP161" i="33" s="1"/>
  <c r="BP162" i="33" s="1"/>
  <c r="BO76" i="33"/>
  <c r="BO152" i="33"/>
  <c r="BJ143" i="33"/>
  <c r="BM178" i="33"/>
  <c r="X209" i="33"/>
  <c r="Z209" i="33" s="1"/>
  <c r="X208" i="33"/>
  <c r="BI142" i="33"/>
  <c r="BM145" i="33"/>
  <c r="BM142" i="33"/>
  <c r="BM144" i="33"/>
  <c r="BI144" i="33"/>
  <c r="BN145" i="33"/>
  <c r="BE178" i="33"/>
  <c r="BG178" i="33"/>
  <c r="AW178" i="33"/>
  <c r="CH178" i="33"/>
  <c r="BD178" i="33"/>
  <c r="BH178" i="33"/>
  <c r="CI178" i="33"/>
  <c r="BK178" i="33"/>
  <c r="BJ178" i="33"/>
  <c r="CU178" i="33"/>
  <c r="CT178" i="33"/>
  <c r="BL178" i="33"/>
  <c r="BI178" i="33"/>
  <c r="CB178" i="33"/>
  <c r="AZ178" i="33"/>
  <c r="CJ178" i="33"/>
  <c r="AX178" i="33"/>
  <c r="BR75" i="33"/>
  <c r="BR151" i="33"/>
  <c r="BR160" i="33" s="1"/>
  <c r="BR161" i="33" s="1"/>
  <c r="BR162" i="33" s="1"/>
  <c r="BH144" i="33"/>
  <c r="BJ145" i="33"/>
  <c r="BJ144" i="33"/>
  <c r="BO122" i="33"/>
  <c r="BO168" i="33" s="1"/>
  <c r="BO133" i="33"/>
  <c r="BB178" i="33"/>
  <c r="BK145" i="33"/>
  <c r="BK143" i="33"/>
  <c r="BP122" i="33"/>
  <c r="BP168" i="33" s="1"/>
  <c r="BP133" i="33"/>
  <c r="BP145" i="33" s="1"/>
  <c r="BK142" i="33"/>
  <c r="BO151" i="33"/>
  <c r="BO160" i="33" s="1"/>
  <c r="BO161" i="33" s="1"/>
  <c r="BO162" i="33" s="1"/>
  <c r="BO75" i="33"/>
  <c r="BQ151" i="33"/>
  <c r="BQ160" i="33" s="1"/>
  <c r="BQ161" i="33" s="1"/>
  <c r="BQ162" i="33" s="1"/>
  <c r="BQ75" i="33"/>
  <c r="CR146" i="33"/>
  <c r="CL146" i="33"/>
  <c r="BS151" i="33"/>
  <c r="BS160" i="33" s="1"/>
  <c r="BS161" i="33" s="1"/>
  <c r="BS162" i="33" s="1"/>
  <c r="BS75" i="33"/>
  <c r="BG145" i="33"/>
  <c r="EA146" i="33"/>
  <c r="DX146" i="33"/>
  <c r="CY178" i="33"/>
  <c r="CK178" i="33"/>
  <c r="CX178" i="33"/>
  <c r="DO146" i="33"/>
  <c r="AV178" i="33"/>
  <c r="DR146" i="33"/>
  <c r="BG143" i="33"/>
  <c r="CK144" i="33"/>
  <c r="CK145" i="33"/>
  <c r="CK142" i="33"/>
  <c r="CK143" i="33"/>
  <c r="CJ143" i="33"/>
  <c r="CJ145" i="33"/>
  <c r="CJ142" i="33"/>
  <c r="CG142" i="33"/>
  <c r="CG145" i="33"/>
  <c r="CG144" i="33"/>
  <c r="CG143" i="33"/>
  <c r="CX142" i="33"/>
  <c r="CX144" i="33"/>
  <c r="CX145" i="33"/>
  <c r="CX143" i="33"/>
  <c r="AY145" i="33"/>
  <c r="AY142" i="33"/>
  <c r="AY143" i="33"/>
  <c r="AY144" i="33"/>
  <c r="BL144" i="33"/>
  <c r="CF145" i="33"/>
  <c r="CF142" i="33"/>
  <c r="CF144" i="33"/>
  <c r="CF143" i="33"/>
  <c r="BH142" i="33"/>
  <c r="DT146" i="33"/>
  <c r="CE144" i="33"/>
  <c r="CE145" i="33"/>
  <c r="CE142" i="33"/>
  <c r="CE143" i="33"/>
  <c r="AY178" i="33"/>
  <c r="DY146" i="33"/>
  <c r="BL145" i="33"/>
  <c r="CO146" i="33"/>
  <c r="DK146" i="33"/>
  <c r="CC144" i="33"/>
  <c r="CC145" i="33"/>
  <c r="CC143" i="33"/>
  <c r="CC142" i="33"/>
  <c r="CN146" i="33"/>
  <c r="AZ142" i="33"/>
  <c r="AZ144" i="33"/>
  <c r="AZ143" i="33"/>
  <c r="AZ145" i="33"/>
  <c r="BC143" i="33"/>
  <c r="BC144" i="33"/>
  <c r="BC142" i="33"/>
  <c r="BC145" i="33"/>
  <c r="CQ146" i="33"/>
  <c r="BG144" i="33"/>
  <c r="CU145" i="33"/>
  <c r="CU142" i="33"/>
  <c r="CU144" i="33"/>
  <c r="CU143" i="33"/>
  <c r="BI145" i="33"/>
  <c r="DM146" i="33"/>
  <c r="BB142" i="33"/>
  <c r="BB144" i="33"/>
  <c r="BB143" i="33"/>
  <c r="BB145" i="33"/>
  <c r="CD143" i="33"/>
  <c r="CD144" i="33"/>
  <c r="CD142" i="33"/>
  <c r="CD145" i="33"/>
  <c r="BA144" i="33"/>
  <c r="BA142" i="33"/>
  <c r="BA143" i="33"/>
  <c r="BA145" i="33"/>
  <c r="DG146" i="33"/>
  <c r="BH145" i="33"/>
  <c r="DI146" i="33"/>
  <c r="BE144" i="33"/>
  <c r="BE145" i="33"/>
  <c r="BE143" i="33"/>
  <c r="BE142" i="33"/>
  <c r="BD144" i="33"/>
  <c r="BD143" i="33"/>
  <c r="BD142" i="33"/>
  <c r="BD145" i="33"/>
  <c r="DN146" i="33"/>
  <c r="DU146" i="33"/>
  <c r="BF178" i="33"/>
  <c r="CS146" i="33"/>
  <c r="CE178" i="33"/>
  <c r="CH142" i="33"/>
  <c r="CH144" i="33"/>
  <c r="CH145" i="33"/>
  <c r="CH143" i="33"/>
  <c r="BL143" i="33"/>
  <c r="AW144" i="33"/>
  <c r="CP146" i="33"/>
  <c r="EB146" i="33"/>
  <c r="DF146" i="33"/>
  <c r="DW146" i="33"/>
  <c r="DQ146" i="33"/>
  <c r="CV178" i="33"/>
  <c r="DH146" i="33"/>
  <c r="CC178" i="33"/>
  <c r="DJ146" i="33"/>
  <c r="CW144" i="33"/>
  <c r="CW142" i="33"/>
  <c r="CW143" i="33"/>
  <c r="CW145" i="33"/>
  <c r="CT144" i="33"/>
  <c r="CT143" i="33"/>
  <c r="CT145" i="33"/>
  <c r="CT142" i="33"/>
  <c r="CB143" i="33"/>
  <c r="CB145" i="33"/>
  <c r="CB142" i="33"/>
  <c r="CB144" i="33"/>
  <c r="AX144" i="33"/>
  <c r="AX145" i="33"/>
  <c r="AX142" i="33"/>
  <c r="AX143" i="33"/>
  <c r="CJ144" i="33"/>
  <c r="BN178" i="33"/>
  <c r="CW178" i="33"/>
  <c r="CG178" i="33"/>
  <c r="DE146" i="33"/>
  <c r="BF143" i="33"/>
  <c r="BF142" i="33"/>
  <c r="BF144" i="33"/>
  <c r="BF145" i="33"/>
  <c r="CF178" i="33"/>
  <c r="DV146" i="33"/>
  <c r="CV143" i="33"/>
  <c r="CV144" i="33"/>
  <c r="CV145" i="33"/>
  <c r="CV142" i="33"/>
  <c r="BC178" i="33"/>
  <c r="DZ146" i="33"/>
  <c r="CD178" i="33"/>
  <c r="CM146" i="33"/>
  <c r="BA178" i="33"/>
  <c r="DL146" i="33"/>
  <c r="DP146" i="33"/>
  <c r="AW143" i="33"/>
  <c r="AW142" i="33"/>
  <c r="AW145" i="33"/>
  <c r="AV144" i="33"/>
  <c r="AV143" i="33"/>
  <c r="AV142" i="33"/>
  <c r="AV145" i="33"/>
  <c r="CI145" i="33"/>
  <c r="CI142" i="33"/>
  <c r="CI144" i="33"/>
  <c r="CI143" i="33"/>
  <c r="BN142" i="33"/>
  <c r="BN143" i="33"/>
  <c r="BN144" i="33"/>
  <c r="CY143" i="33"/>
  <c r="CY145" i="33"/>
  <c r="CY142" i="33"/>
  <c r="CY144" i="33"/>
  <c r="DS146" i="33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J146" i="33" l="1"/>
  <c r="BJ148" i="33" s="1"/>
  <c r="CY146" i="33"/>
  <c r="CY147" i="33" s="1"/>
  <c r="CE146" i="33"/>
  <c r="CE148" i="33" s="1"/>
  <c r="CX146" i="33"/>
  <c r="CX147" i="33" s="1"/>
  <c r="AW146" i="33"/>
  <c r="AW148" i="33" s="1"/>
  <c r="CG146" i="33"/>
  <c r="CG148" i="33" s="1"/>
  <c r="AY146" i="33"/>
  <c r="AY148" i="33" s="1"/>
  <c r="AV146" i="33"/>
  <c r="AV147" i="33" s="1"/>
  <c r="CD146" i="33"/>
  <c r="CD148" i="33" s="1"/>
  <c r="CC146" i="33"/>
  <c r="CC147" i="33" s="1"/>
  <c r="CB146" i="33"/>
  <c r="CB148" i="33" s="1"/>
  <c r="CF146" i="33"/>
  <c r="CF147" i="33" s="1"/>
  <c r="AZ146" i="33"/>
  <c r="AZ147" i="33" s="1"/>
  <c r="DS148" i="33"/>
  <c r="DS147" i="33"/>
  <c r="DZ148" i="33"/>
  <c r="DZ147" i="33"/>
  <c r="EB148" i="33"/>
  <c r="EB147" i="33"/>
  <c r="CL148" i="33"/>
  <c r="CL147" i="33"/>
  <c r="DJ148" i="33"/>
  <c r="DJ147" i="33"/>
  <c r="CP148" i="33"/>
  <c r="CP147" i="33"/>
  <c r="CS148" i="33"/>
  <c r="CS147" i="33"/>
  <c r="DK148" i="33"/>
  <c r="DK147" i="33"/>
  <c r="CR148" i="33"/>
  <c r="CR147" i="33"/>
  <c r="CO148" i="33"/>
  <c r="CO147" i="33"/>
  <c r="DT148" i="33"/>
  <c r="DT147" i="33"/>
  <c r="DP148" i="33"/>
  <c r="DP147" i="33"/>
  <c r="DH148" i="33"/>
  <c r="DH147" i="33"/>
  <c r="DU148" i="33"/>
  <c r="DU147" i="33"/>
  <c r="CQ148" i="33"/>
  <c r="CQ147" i="33"/>
  <c r="DX148" i="33"/>
  <c r="DX147" i="33"/>
  <c r="DL148" i="33"/>
  <c r="DL147" i="33"/>
  <c r="DE148" i="33"/>
  <c r="DE147" i="33"/>
  <c r="DN148" i="33"/>
  <c r="DN147" i="33"/>
  <c r="DM148" i="33"/>
  <c r="DM147" i="33"/>
  <c r="CN148" i="33"/>
  <c r="CN147" i="33"/>
  <c r="DY148" i="33"/>
  <c r="DY147" i="33"/>
  <c r="EA148" i="33"/>
  <c r="EA147" i="33"/>
  <c r="DQ148" i="33"/>
  <c r="DQ147" i="33"/>
  <c r="DI148" i="33"/>
  <c r="DI147" i="33"/>
  <c r="DR148" i="33"/>
  <c r="DR147" i="33"/>
  <c r="CM148" i="33"/>
  <c r="CM147" i="33"/>
  <c r="DV148" i="33"/>
  <c r="DV147" i="33"/>
  <c r="DW148" i="33"/>
  <c r="DW147" i="33"/>
  <c r="BJ147" i="33"/>
  <c r="DF148" i="33"/>
  <c r="DF147" i="33"/>
  <c r="DG148" i="33"/>
  <c r="DG147" i="33"/>
  <c r="DO147" i="33"/>
  <c r="DO148" i="33"/>
  <c r="AX146" i="33"/>
  <c r="BP178" i="33"/>
  <c r="BI146" i="33"/>
  <c r="BP144" i="33"/>
  <c r="BM146" i="33"/>
  <c r="BG146" i="33"/>
  <c r="BP143" i="33"/>
  <c r="BP142" i="33"/>
  <c r="BL146" i="33"/>
  <c r="BH146" i="33"/>
  <c r="BN146" i="33"/>
  <c r="BK146" i="33"/>
  <c r="CT146" i="33"/>
  <c r="BO121" i="33"/>
  <c r="BO167" i="33" s="1"/>
  <c r="BO132" i="33"/>
  <c r="BS121" i="33"/>
  <c r="BS167" i="33" s="1"/>
  <c r="BS132" i="33"/>
  <c r="BQ121" i="33"/>
  <c r="BQ167" i="33" s="1"/>
  <c r="BQ132" i="33"/>
  <c r="BR121" i="33"/>
  <c r="BR167" i="33" s="1"/>
  <c r="BR132" i="33"/>
  <c r="CH146" i="33"/>
  <c r="BD146" i="33"/>
  <c r="BA146" i="33"/>
  <c r="CI146" i="33"/>
  <c r="BF146" i="33"/>
  <c r="CU146" i="33"/>
  <c r="BB146" i="33"/>
  <c r="CV146" i="33"/>
  <c r="CW146" i="33"/>
  <c r="BE146" i="33"/>
  <c r="BC146" i="33"/>
  <c r="CJ146" i="33"/>
  <c r="CK146" i="33"/>
  <c r="BQ15" i="30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CY148" i="33" l="1"/>
  <c r="CE147" i="33"/>
  <c r="CF148" i="33"/>
  <c r="CF163" i="33" s="1"/>
  <c r="CX148" i="33"/>
  <c r="CX163" i="33" s="1"/>
  <c r="BP146" i="33"/>
  <c r="BP148" i="33" s="1"/>
  <c r="AZ148" i="33"/>
  <c r="AZ163" i="33" s="1"/>
  <c r="AW147" i="33"/>
  <c r="AW163" i="33" s="1"/>
  <c r="CC148" i="33"/>
  <c r="CC163" i="33" s="1"/>
  <c r="CB147" i="33"/>
  <c r="CB163" i="33" s="1"/>
  <c r="AY147" i="33"/>
  <c r="AY163" i="33" s="1"/>
  <c r="CD147" i="33"/>
  <c r="CD163" i="33" s="1"/>
  <c r="AV148" i="33"/>
  <c r="AV163" i="33" s="1"/>
  <c r="CG147" i="33"/>
  <c r="CG163" i="33" s="1"/>
  <c r="CH148" i="33"/>
  <c r="CH147" i="33"/>
  <c r="BG148" i="33"/>
  <c r="BG147" i="33"/>
  <c r="CV148" i="33"/>
  <c r="CV147" i="33"/>
  <c r="CT148" i="33"/>
  <c r="CT147" i="33"/>
  <c r="BM148" i="33"/>
  <c r="BM147" i="33"/>
  <c r="BB148" i="33"/>
  <c r="BB147" i="33"/>
  <c r="BK148" i="33"/>
  <c r="BK147" i="33"/>
  <c r="CU148" i="33"/>
  <c r="CU147" i="33"/>
  <c r="BN148" i="33"/>
  <c r="BN147" i="33"/>
  <c r="BI148" i="33"/>
  <c r="BI147" i="33"/>
  <c r="CK148" i="33"/>
  <c r="CK147" i="33"/>
  <c r="BF147" i="33"/>
  <c r="BF148" i="33"/>
  <c r="BH148" i="33"/>
  <c r="BH147" i="33"/>
  <c r="CJ148" i="33"/>
  <c r="CJ147" i="33"/>
  <c r="CI148" i="33"/>
  <c r="CI147" i="33"/>
  <c r="BL148" i="33"/>
  <c r="BL147" i="33"/>
  <c r="AX147" i="33"/>
  <c r="AX148" i="33"/>
  <c r="BC148" i="33"/>
  <c r="BC147" i="33"/>
  <c r="BA148" i="33"/>
  <c r="BA147" i="33"/>
  <c r="CW148" i="33"/>
  <c r="CW147" i="33"/>
  <c r="BE148" i="33"/>
  <c r="BE147" i="33"/>
  <c r="BD148" i="33"/>
  <c r="BD147" i="33"/>
  <c r="DX163" i="33"/>
  <c r="DP163" i="33"/>
  <c r="CL163" i="33"/>
  <c r="BJ163" i="33"/>
  <c r="CR163" i="33"/>
  <c r="CS163" i="33"/>
  <c r="DR163" i="33"/>
  <c r="EA163" i="33"/>
  <c r="BP117" i="30"/>
  <c r="AA5" i="30" s="1"/>
  <c r="DW163" i="33"/>
  <c r="DO163" i="33"/>
  <c r="BQ178" i="33"/>
  <c r="BO178" i="33"/>
  <c r="BS178" i="33"/>
  <c r="BR178" i="33"/>
  <c r="DH163" i="33"/>
  <c r="BQ144" i="33"/>
  <c r="BQ143" i="33"/>
  <c r="BQ142" i="33"/>
  <c r="BQ145" i="33"/>
  <c r="BS143" i="33"/>
  <c r="BS145" i="33"/>
  <c r="BS144" i="33"/>
  <c r="BS142" i="33"/>
  <c r="CE163" i="33"/>
  <c r="DQ163" i="33"/>
  <c r="BO142" i="33"/>
  <c r="BO144" i="33"/>
  <c r="BO143" i="33"/>
  <c r="BO145" i="33"/>
  <c r="BR145" i="33"/>
  <c r="BR142" i="33"/>
  <c r="BR143" i="33"/>
  <c r="BR144" i="33"/>
  <c r="DV163" i="33"/>
  <c r="CO163" i="33"/>
  <c r="DG163" i="33"/>
  <c r="DT163" i="33"/>
  <c r="DS163" i="33"/>
  <c r="DJ163" i="33"/>
  <c r="DY163" i="33"/>
  <c r="CQ163" i="33"/>
  <c r="DM163" i="33"/>
  <c r="DI163" i="33"/>
  <c r="DU163" i="33"/>
  <c r="DL163" i="33"/>
  <c r="DK163" i="33"/>
  <c r="DE163" i="33"/>
  <c r="CN163" i="33"/>
  <c r="DN163" i="33"/>
  <c r="CP163" i="33"/>
  <c r="CM163" i="33"/>
  <c r="CY163" i="33"/>
  <c r="EB163" i="33"/>
  <c r="DF163" i="33"/>
  <c r="DZ163" i="33"/>
  <c r="L16" i="29"/>
  <c r="L19" i="29"/>
  <c r="L17" i="29"/>
  <c r="L15" i="29"/>
  <c r="R19" i="29"/>
  <c r="R15" i="29"/>
  <c r="R16" i="29"/>
  <c r="R17" i="29"/>
  <c r="BS71" i="30"/>
  <c r="BS60" i="30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147" i="33" l="1"/>
  <c r="BP163" i="33" s="1"/>
  <c r="BP86" i="30"/>
  <c r="BP87" i="30"/>
  <c r="BQ146" i="33"/>
  <c r="BQ148" i="33" s="1"/>
  <c r="BR146" i="33"/>
  <c r="BR148" i="33" s="1"/>
  <c r="BS146" i="33"/>
  <c r="BS148" i="33" s="1"/>
  <c r="AX163" i="33"/>
  <c r="BH163" i="33"/>
  <c r="BM163" i="33"/>
  <c r="BI163" i="33"/>
  <c r="BL163" i="33"/>
  <c r="C18" i="29"/>
  <c r="C22" i="29" s="1"/>
  <c r="BG163" i="33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CH163" i="33"/>
  <c r="BN163" i="33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BD163" i="33"/>
  <c r="CT163" i="33"/>
  <c r="BA163" i="33"/>
  <c r="BK163" i="33"/>
  <c r="CK163" i="33"/>
  <c r="O18" i="29"/>
  <c r="M18" i="29"/>
  <c r="W18" i="29"/>
  <c r="E18" i="29"/>
  <c r="N18" i="29"/>
  <c r="BO146" i="33"/>
  <c r="I18" i="29"/>
  <c r="I180" i="29" s="1"/>
  <c r="I195" i="29" s="1"/>
  <c r="M75" i="30" s="1"/>
  <c r="CV163" i="33"/>
  <c r="BB163" i="33"/>
  <c r="BE163" i="33"/>
  <c r="D250" i="33"/>
  <c r="CU163" i="33"/>
  <c r="CW163" i="33"/>
  <c r="BF163" i="33"/>
  <c r="CJ163" i="33"/>
  <c r="CI163" i="33"/>
  <c r="BC163" i="33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Q87" i="30" l="1"/>
  <c r="BQ86" i="30"/>
  <c r="BR87" i="30"/>
  <c r="BR86" i="30"/>
  <c r="BS87" i="30"/>
  <c r="BS86" i="30"/>
  <c r="BQ147" i="33"/>
  <c r="BQ163" i="33" s="1"/>
  <c r="BS147" i="33"/>
  <c r="BS163" i="33" s="1"/>
  <c r="BR147" i="33"/>
  <c r="BR163" i="33" s="1"/>
  <c r="BO148" i="33"/>
  <c r="BO147" i="33"/>
  <c r="T22" i="29"/>
  <c r="D11" i="29"/>
  <c r="D13" i="29" s="1"/>
  <c r="AD30" i="29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D245" i="33" s="1"/>
  <c r="D249" i="33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D31" i="29" l="1"/>
  <c r="T236" i="31" s="1"/>
  <c r="T235" i="31"/>
  <c r="BO86" i="30"/>
  <c r="BO87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O163" i="33"/>
  <c r="D248" i="33" s="1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T274" i="31" l="1"/>
  <c r="X274" i="31" s="1"/>
  <c r="C187" i="33"/>
  <c r="D187" i="33" s="1"/>
  <c r="X235" i="31"/>
  <c r="C308" i="33" s="1"/>
  <c r="C188" i="33"/>
  <c r="D188" i="33" s="1"/>
  <c r="T275" i="31"/>
  <c r="X275" i="31" s="1"/>
  <c r="X236" i="31"/>
  <c r="C309" i="33" s="1"/>
  <c r="D213" i="29"/>
  <c r="D214" i="29" s="1"/>
  <c r="AJ8" i="29" s="1"/>
  <c r="F77" i="30" s="1"/>
  <c r="B129" i="30" s="1"/>
  <c r="D203" i="29"/>
  <c r="AJ5" i="29" s="1"/>
  <c r="X249" i="31" s="1"/>
  <c r="BO102" i="30"/>
  <c r="Z9" i="30" s="1"/>
  <c r="Z13" i="30" s="1"/>
  <c r="F13" i="30" s="1"/>
  <c r="B39" i="18"/>
  <c r="AJ219" i="33" l="1"/>
  <c r="AN219" i="33" s="1"/>
  <c r="AK227" i="33"/>
  <c r="AO227" i="33" s="1"/>
  <c r="AJ218" i="33"/>
  <c r="AN218" i="33" s="1"/>
  <c r="AK226" i="33"/>
  <c r="AO226" i="33" s="1"/>
  <c r="B81" i="30"/>
  <c r="F81" i="30" s="1"/>
  <c r="B114" i="30" s="1"/>
  <c r="F75" i="30"/>
  <c r="T245" i="31"/>
  <c r="F76" i="30"/>
  <c r="AH47" i="31"/>
  <c r="AH69" i="31" s="1"/>
  <c r="B49" i="18"/>
  <c r="AA49" i="18" s="1"/>
  <c r="V265" i="31"/>
  <c r="V264" i="31"/>
  <c r="V263" i="31" s="1"/>
  <c r="J46" i="31" s="1"/>
  <c r="C210" i="33" s="1"/>
  <c r="F9" i="30"/>
  <c r="C248" i="33" s="1"/>
  <c r="I66" i="7"/>
  <c r="J66" i="7"/>
  <c r="O66" i="7"/>
  <c r="P66" i="7"/>
  <c r="Q66" i="7"/>
  <c r="G66" i="7"/>
  <c r="C278" i="33" l="1"/>
  <c r="B113" i="30"/>
  <c r="B125" i="30" s="1"/>
  <c r="X245" i="31"/>
  <c r="C189" i="33"/>
  <c r="D189" i="33" s="1"/>
  <c r="AK189" i="33" s="1"/>
  <c r="AO189" i="33" s="1"/>
  <c r="AO192" i="33" s="1"/>
  <c r="C277" i="33"/>
  <c r="C193" i="33"/>
  <c r="D193" i="33" s="1"/>
  <c r="B91" i="30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C176" i="24"/>
  <c r="B176" i="24"/>
  <c r="A176" i="24"/>
  <c r="Q175" i="24"/>
  <c r="P175" i="24"/>
  <c r="O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C163" i="24"/>
  <c r="B163" i="24"/>
  <c r="A163" i="24"/>
  <c r="Y162" i="24"/>
  <c r="X162" i="24"/>
  <c r="U162" i="24"/>
  <c r="S162" i="24"/>
  <c r="R162" i="24"/>
  <c r="N162" i="24"/>
  <c r="M162" i="24"/>
  <c r="L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D277" i="33" l="1"/>
  <c r="AL208" i="33"/>
  <c r="AL209" i="33"/>
  <c r="AL207" i="33" s="1"/>
  <c r="D210" i="33" s="1"/>
  <c r="J141" i="31"/>
  <c r="C219" i="33" s="1"/>
  <c r="D219" i="33" s="1"/>
  <c r="X248" i="31"/>
  <c r="D278" i="33"/>
  <c r="D291" i="33" s="1"/>
  <c r="C291" i="33"/>
  <c r="CJ79" i="3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A123" i="3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N172" i="24" s="1"/>
  <c r="N215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L201" i="24" l="1"/>
  <c r="L211" i="24" s="1"/>
  <c r="L218" i="24" s="1"/>
  <c r="L175" i="24"/>
  <c r="F176" i="24"/>
  <c r="F163" i="24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163" i="24" s="1"/>
  <c r="M172" i="24" s="1"/>
  <c r="M215" i="24" s="1"/>
  <c r="F73" i="24"/>
  <c r="B155" i="24"/>
  <c r="S136" i="24"/>
  <c r="S149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K185" i="24" s="1"/>
  <c r="K216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77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O163" i="24" s="1"/>
  <c r="U140" i="24"/>
  <c r="U153" i="24" s="1"/>
  <c r="H144" i="24"/>
  <c r="H157" i="24" s="1"/>
  <c r="T136" i="24"/>
  <c r="T149" i="24" s="1"/>
  <c r="T188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O185" i="24" s="1"/>
  <c r="O216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P142" i="24"/>
  <c r="P155" i="24" s="1"/>
  <c r="N120" i="24"/>
  <c r="N136" i="24"/>
  <c r="N149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Q201" i="24" l="1"/>
  <c r="Q211" i="24" s="1"/>
  <c r="Q218" i="24" s="1"/>
  <c r="Q162" i="24"/>
  <c r="T177" i="24"/>
  <c r="T190" i="24"/>
  <c r="M201" i="24"/>
  <c r="M211" i="24" s="1"/>
  <c r="M218" i="24" s="1"/>
  <c r="M175" i="24"/>
  <c r="M185" i="24" s="1"/>
  <c r="M216" i="24" s="1"/>
  <c r="O201" i="24"/>
  <c r="O211" i="24" s="1"/>
  <c r="O218" i="24" s="1"/>
  <c r="O162" i="24"/>
  <c r="O172" i="24" s="1"/>
  <c r="O215" i="24" s="1"/>
  <c r="N201" i="24"/>
  <c r="N211" i="24" s="1"/>
  <c r="N218" i="24" s="1"/>
  <c r="N175" i="24"/>
  <c r="N185" i="24" s="1"/>
  <c r="N216" i="24" s="1"/>
  <c r="R201" i="24"/>
  <c r="R211" i="24" s="1"/>
  <c r="R218" i="24" s="1"/>
  <c r="R175" i="24"/>
  <c r="R185" i="24" s="1"/>
  <c r="R216" i="24" s="1"/>
  <c r="Q172" i="24"/>
  <c r="Q215" i="24" s="1"/>
  <c r="T198" i="24"/>
  <c r="T217" i="24" s="1"/>
  <c r="P201" i="24"/>
  <c r="P211" i="24" s="1"/>
  <c r="P218" i="24" s="1"/>
  <c r="P162" i="24"/>
  <c r="P172" i="24" s="1"/>
  <c r="P215" i="24" s="1"/>
  <c r="D217" i="33"/>
  <c r="D176" i="24"/>
  <c r="D185" i="24" s="1"/>
  <c r="D216" i="24" s="1"/>
  <c r="D163" i="24"/>
  <c r="D172" i="24" s="1"/>
  <c r="D215" i="24" s="1"/>
  <c r="E176" i="24"/>
  <c r="E185" i="24" s="1"/>
  <c r="E216" i="24" s="1"/>
  <c r="E163" i="24"/>
  <c r="E172" i="24" s="1"/>
  <c r="E215" i="24" s="1"/>
  <c r="W175" i="24"/>
  <c r="W185" i="24" s="1"/>
  <c r="W216" i="24" s="1"/>
  <c r="W162" i="24"/>
  <c r="W172" i="24" s="1"/>
  <c r="W215" i="24" s="1"/>
  <c r="U177" i="24"/>
  <c r="U164" i="24"/>
  <c r="U172" i="24" s="1"/>
  <c r="U215" i="24" s="1"/>
  <c r="G163" i="24"/>
  <c r="G176" i="24"/>
  <c r="V177" i="24"/>
  <c r="V164" i="24"/>
  <c r="F164" i="24"/>
  <c r="F172" i="24" s="1"/>
  <c r="F215" i="24" s="1"/>
  <c r="F177" i="24"/>
  <c r="F185" i="24" s="1"/>
  <c r="F216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01" i="24"/>
  <c r="S211" i="24" s="1"/>
  <c r="S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AA221" i="24" l="1"/>
  <c r="C301" i="33" s="1"/>
  <c r="V185" i="24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D166" i="33" l="1"/>
  <c r="D165" i="33"/>
  <c r="AA172" i="24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2" i="23" s="1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3" l="1"/>
  <c r="C171" i="33"/>
  <c r="D171" i="33" s="1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D153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159" i="33" l="1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84" i="33" l="1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D257" i="33" l="1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B35" i="15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D259" i="33" l="1"/>
  <c r="D283" i="33" s="1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K16" i="31"/>
  <c r="J16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D138" i="33" l="1"/>
  <c r="D13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D281" i="33" s="1"/>
  <c r="D284" i="33" s="1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D148" i="33" l="1"/>
  <c r="D149" i="33"/>
  <c r="J6" i="31"/>
  <c r="C195" i="33" s="1"/>
  <c r="K6" i="31"/>
  <c r="C197" i="33"/>
  <c r="T134" i="31"/>
  <c r="K112" i="31" s="1"/>
  <c r="J112" i="31" s="1"/>
  <c r="C284" i="33"/>
  <c r="D118" i="30"/>
  <c r="AF147" i="31"/>
  <c r="T126" i="31" s="1"/>
  <c r="D103" i="30"/>
  <c r="B106" i="30"/>
  <c r="U18" i="7"/>
  <c r="BC20" i="29" s="1"/>
  <c r="U19" i="7"/>
  <c r="BC21" i="29" s="1"/>
  <c r="U22" i="7"/>
  <c r="BC24" i="29" s="1"/>
  <c r="U25" i="7"/>
  <c r="U27" i="7"/>
  <c r="U28" i="7"/>
  <c r="U29" i="7"/>
  <c r="U30" i="7"/>
  <c r="U36" i="7"/>
  <c r="U37" i="7"/>
  <c r="S2" i="7"/>
  <c r="BA4" i="29" s="1"/>
  <c r="S3" i="7"/>
  <c r="BA5" i="29" s="1"/>
  <c r="S5" i="7"/>
  <c r="BA7" i="29" s="1"/>
  <c r="S6" i="7"/>
  <c r="BA8" i="29" s="1"/>
  <c r="S26" i="7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D197" i="33" l="1"/>
  <c r="D195" i="33"/>
  <c r="K35" i="7"/>
  <c r="L35" i="7" s="1"/>
  <c r="N35" i="7"/>
  <c r="N2" i="7" l="1"/>
  <c r="N25" i="7"/>
  <c r="N26" i="7"/>
  <c r="N27" i="7"/>
  <c r="N28" i="7"/>
  <c r="N29" i="7"/>
  <c r="N30" i="7"/>
  <c r="N31" i="7"/>
  <c r="N32" i="7"/>
  <c r="N33" i="7"/>
  <c r="N34" i="7"/>
  <c r="N36" i="7"/>
  <c r="N37" i="7"/>
  <c r="N38" i="7"/>
  <c r="N39" i="7"/>
  <c r="K25" i="7"/>
  <c r="K38" i="7"/>
  <c r="L38" i="7" s="1"/>
  <c r="K37" i="7"/>
  <c r="L37" i="7" s="1"/>
  <c r="K31" i="7"/>
  <c r="L31" i="7" s="1"/>
  <c r="K32" i="7"/>
  <c r="L32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K30" i="7"/>
  <c r="K29" i="7"/>
  <c r="L29" i="7" s="1"/>
  <c r="K28" i="7"/>
  <c r="L28" i="7" s="1"/>
  <c r="K27" i="7"/>
  <c r="L27" i="7" s="1"/>
  <c r="K26" i="7"/>
  <c r="L26" i="7" s="1"/>
  <c r="L25" i="7"/>
  <c r="T17" i="7"/>
  <c r="BB19" i="29" s="1"/>
  <c r="BH19" i="29" s="1"/>
  <c r="T16" i="7"/>
  <c r="BB18" i="29" s="1"/>
  <c r="BH18" i="29" s="1"/>
  <c r="L2" i="7"/>
  <c r="M2" i="7" s="1"/>
  <c r="U23" i="7" l="1"/>
  <c r="BC25" i="29" s="1"/>
  <c r="T6" i="7"/>
  <c r="BB8" i="29" s="1"/>
  <c r="BI8" i="29" s="1"/>
  <c r="T7" i="7"/>
  <c r="BB9" i="29" s="1"/>
  <c r="BI9" i="29" s="1"/>
  <c r="T15" i="7"/>
  <c r="BB17" i="29" s="1"/>
  <c r="BH17" i="29" s="1"/>
  <c r="T10" i="7"/>
  <c r="BB12" i="29" s="1"/>
  <c r="BH12" i="29" s="1"/>
  <c r="V22" i="7"/>
  <c r="T22" i="7"/>
  <c r="BB24" i="29" s="1"/>
  <c r="BI24" i="29" s="1"/>
  <c r="V11" i="7"/>
  <c r="U11" i="7"/>
  <c r="BC13" i="29" s="1"/>
  <c r="V12" i="7"/>
  <c r="U12" i="7"/>
  <c r="BC14" i="29" s="1"/>
  <c r="V16" i="7"/>
  <c r="U16" i="7"/>
  <c r="BC18" i="29" s="1"/>
  <c r="V17" i="7"/>
  <c r="U17" i="7"/>
  <c r="BC19" i="29" s="1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BA18" i="29" s="1"/>
  <c r="S7" i="7"/>
  <c r="BA9" i="29" s="1"/>
  <c r="S17" i="7"/>
  <c r="BA19" i="29" s="1"/>
  <c r="R17" i="7"/>
  <c r="S10" i="7"/>
  <c r="BA12" i="29" s="1"/>
  <c r="R10" i="7"/>
  <c r="S22" i="7"/>
  <c r="BA24" i="29" s="1"/>
  <c r="R22" i="7"/>
  <c r="R12" i="7"/>
  <c r="S12" i="7"/>
  <c r="BA14" i="29" s="1"/>
  <c r="R11" i="7"/>
  <c r="S11" i="7"/>
  <c r="BA13" i="29" s="1"/>
  <c r="R15" i="7"/>
  <c r="S15" i="7"/>
  <c r="BA17" i="29" s="1"/>
  <c r="R23" i="7"/>
  <c r="S23" i="7"/>
  <c r="BA25" i="29" s="1"/>
  <c r="U35" i="7"/>
  <c r="M25" i="7"/>
  <c r="T3" i="7"/>
  <c r="BB5" i="29" s="1"/>
  <c r="BI5" i="29" s="1"/>
  <c r="L30" i="7"/>
  <c r="M26" i="7"/>
  <c r="M37" i="7"/>
  <c r="M32" i="7"/>
  <c r="M31" i="7"/>
  <c r="M33" i="7"/>
  <c r="M34" i="7"/>
  <c r="M27" i="7"/>
  <c r="M29" i="7"/>
  <c r="M36" i="7"/>
  <c r="U20" i="7"/>
  <c r="BC22" i="29" s="1"/>
  <c r="U24" i="7"/>
  <c r="M28" i="7"/>
  <c r="M39" i="7"/>
  <c r="L66" i="7"/>
  <c r="U21" i="7"/>
  <c r="BC23" i="29" s="1"/>
  <c r="V23" i="7" l="1"/>
  <c r="T23" i="7"/>
  <c r="BB25" i="29" s="1"/>
  <c r="BI25" i="29" s="1"/>
  <c r="U15" i="7"/>
  <c r="BC17" i="29" s="1"/>
  <c r="V6" i="7"/>
  <c r="V15" i="7"/>
  <c r="V4" i="7"/>
  <c r="T4" i="7"/>
  <c r="BB6" i="29" s="1"/>
  <c r="U4" i="7"/>
  <c r="BC6" i="29" s="1"/>
  <c r="V9" i="7"/>
  <c r="T9" i="7"/>
  <c r="BB11" i="29" s="1"/>
  <c r="BH11" i="29" s="1"/>
  <c r="T8" i="7"/>
  <c r="BB10" i="29" s="1"/>
  <c r="BH10" i="29" s="1"/>
  <c r="V8" i="7"/>
  <c r="U7" i="7"/>
  <c r="BC9" i="29" s="1"/>
  <c r="V7" i="7"/>
  <c r="U10" i="7"/>
  <c r="BC12" i="29" s="1"/>
  <c r="V10" i="7"/>
  <c r="V21" i="7"/>
  <c r="T21" i="7"/>
  <c r="BB23" i="29" s="1"/>
  <c r="BG23" i="29" s="1"/>
  <c r="V65" i="7"/>
  <c r="T65" i="7"/>
  <c r="V37" i="7"/>
  <c r="T37" i="7"/>
  <c r="V39" i="7"/>
  <c r="T39" i="7"/>
  <c r="V27" i="7"/>
  <c r="T27" i="7"/>
  <c r="V26" i="7"/>
  <c r="T26" i="7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BB21" i="29" s="1"/>
  <c r="BI21" i="29" s="1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BB7" i="29" s="1"/>
  <c r="V25" i="7"/>
  <c r="T25" i="7"/>
  <c r="V40" i="7"/>
  <c r="T40" i="7"/>
  <c r="V44" i="7"/>
  <c r="T44" i="7"/>
  <c r="V48" i="7"/>
  <c r="T48" i="7"/>
  <c r="V18" i="7"/>
  <c r="T18" i="7"/>
  <c r="BB20" i="29" s="1"/>
  <c r="BH20" i="29" s="1"/>
  <c r="V32" i="7"/>
  <c r="T32" i="7"/>
  <c r="V2" i="7"/>
  <c r="T2" i="7"/>
  <c r="BB4" i="29" s="1"/>
  <c r="BI4" i="29" s="1"/>
  <c r="V47" i="7"/>
  <c r="T47" i="7"/>
  <c r="V28" i="7"/>
  <c r="T28" i="7"/>
  <c r="V53" i="7"/>
  <c r="T53" i="7"/>
  <c r="V20" i="7"/>
  <c r="T20" i="7"/>
  <c r="BB22" i="29" s="1"/>
  <c r="BG22" i="29" s="1"/>
  <c r="V33" i="7"/>
  <c r="T33" i="7"/>
  <c r="V58" i="7"/>
  <c r="T58" i="7"/>
  <c r="V46" i="7"/>
  <c r="T46" i="7"/>
  <c r="V57" i="7"/>
  <c r="T57" i="7"/>
  <c r="V45" i="7"/>
  <c r="T45" i="7"/>
  <c r="V35" i="7"/>
  <c r="T35" i="7"/>
  <c r="V24" i="7"/>
  <c r="T24" i="7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BC16" i="29" s="1"/>
  <c r="V13" i="7"/>
  <c r="U13" i="7"/>
  <c r="BC15" i="29" s="1"/>
  <c r="V3" i="7"/>
  <c r="U3" i="7"/>
  <c r="BC5" i="29" s="1"/>
  <c r="R28" i="7"/>
  <c r="S28" i="7"/>
  <c r="U5" i="7"/>
  <c r="BC7" i="29" s="1"/>
  <c r="R21" i="7"/>
  <c r="S21" i="7"/>
  <c r="BA23" i="29" s="1"/>
  <c r="R24" i="7"/>
  <c r="S24" i="7"/>
  <c r="R20" i="7"/>
  <c r="S20" i="7"/>
  <c r="BA22" i="29" s="1"/>
  <c r="U39" i="7"/>
  <c r="R29" i="7"/>
  <c r="S29" i="7"/>
  <c r="U32" i="7"/>
  <c r="S25" i="7"/>
  <c r="R25" i="7"/>
  <c r="S14" i="7"/>
  <c r="BA16" i="29" s="1"/>
  <c r="R14" i="7"/>
  <c r="U2" i="7"/>
  <c r="BC4" i="29" s="1"/>
  <c r="U34" i="7"/>
  <c r="R37" i="7"/>
  <c r="S37" i="7"/>
  <c r="S18" i="7"/>
  <c r="BA20" i="29" s="1"/>
  <c r="R18" i="7"/>
  <c r="R13" i="7"/>
  <c r="S13" i="7"/>
  <c r="BA15" i="29" s="1"/>
  <c r="R27" i="7"/>
  <c r="S27" i="7"/>
  <c r="U33" i="7"/>
  <c r="U26" i="7"/>
  <c r="U6" i="7"/>
  <c r="BC8" i="29" s="1"/>
  <c r="R36" i="7"/>
  <c r="S36" i="7"/>
  <c r="R19" i="7"/>
  <c r="S19" i="7"/>
  <c r="BA21" i="29" s="1"/>
  <c r="U31" i="7"/>
  <c r="M30" i="7"/>
  <c r="BH31" i="29" l="1"/>
  <c r="AP6" i="29" s="1"/>
  <c r="AD22" i="29" s="1"/>
  <c r="AF22" i="29" s="1"/>
  <c r="BG31" i="29"/>
  <c r="AP3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U66" i="7" l="1"/>
  <c r="AP5" i="29"/>
  <c r="AP4" i="29"/>
  <c r="AD20" i="29" s="1"/>
  <c r="AF20" i="29" s="1"/>
  <c r="AK21" i="29" s="1"/>
  <c r="AK25" i="29" s="1"/>
  <c r="C183" i="33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B83" i="30" l="1"/>
  <c r="F83" i="30" s="1"/>
  <c r="T234" i="31"/>
  <c r="T272" i="31" s="1"/>
  <c r="X272" i="31" s="1"/>
  <c r="J142" i="31" s="1"/>
  <c r="C220" i="33" s="1"/>
  <c r="AK26" i="29"/>
  <c r="C184" i="33" s="1"/>
  <c r="C185" i="33" s="1"/>
  <c r="D185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F84" i="30" l="1"/>
  <c r="C192" i="33" s="1"/>
  <c r="B167" i="31"/>
  <c r="J167" i="31" s="1"/>
  <c r="C235" i="33" s="1"/>
  <c r="C236" i="33" s="1"/>
  <c r="X234" i="31"/>
  <c r="C307" i="33" s="1"/>
  <c r="D184" i="33"/>
  <c r="D183" i="33" s="1"/>
  <c r="AJ216" i="33" s="1"/>
  <c r="AN216" i="33" s="1"/>
  <c r="D220" i="33" s="1"/>
  <c r="C276" i="33"/>
  <c r="C293" i="33" s="1"/>
  <c r="G198" i="18"/>
  <c r="G217" i="18" s="1"/>
  <c r="L7" i="22" s="1"/>
  <c r="AX17" i="23" s="1"/>
  <c r="AX39" i="23" s="1"/>
  <c r="T198" i="18"/>
  <c r="T217" i="18" s="1"/>
  <c r="Y7" i="22" s="1"/>
  <c r="BK17" i="23" s="1"/>
  <c r="BK37" i="23" s="1"/>
  <c r="W198" i="18"/>
  <c r="W217" i="18" s="1"/>
  <c r="AB7" i="22" s="1"/>
  <c r="BN17" i="23" s="1"/>
  <c r="BN37" i="23" s="1"/>
  <c r="V198" i="18"/>
  <c r="V217" i="18" s="1"/>
  <c r="AA7" i="22" s="1"/>
  <c r="BM17" i="23" s="1"/>
  <c r="BM37" i="23" s="1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AW39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X237" i="31" l="1"/>
  <c r="B115" i="30"/>
  <c r="B126" i="30" s="1"/>
  <c r="J170" i="31"/>
  <c r="BR39" i="23"/>
  <c r="H93" i="23" s="1"/>
  <c r="H95" i="23" s="1"/>
  <c r="C243" i="33"/>
  <c r="D243" i="33" s="1"/>
  <c r="Z237" i="31"/>
  <c r="AA237" i="31" s="1"/>
  <c r="C244" i="33" s="1"/>
  <c r="AK225" i="33"/>
  <c r="AO225" i="33" s="1"/>
  <c r="AO228" i="33" s="1"/>
  <c r="D192" i="33"/>
  <c r="D235" i="33" s="1"/>
  <c r="D236" i="33" s="1"/>
  <c r="C290" i="33"/>
  <c r="BR37" i="23"/>
  <c r="F93" i="23" s="1"/>
  <c r="F95" i="23" s="1"/>
  <c r="W172" i="18"/>
  <c r="W215" i="18" s="1"/>
  <c r="AB5" i="22" s="1"/>
  <c r="BN15" i="23" s="1"/>
  <c r="BN21" i="23" s="1"/>
  <c r="E185" i="18"/>
  <c r="E216" i="18" s="1"/>
  <c r="J6" i="22" s="1"/>
  <c r="AV16" i="23" s="1"/>
  <c r="AV31" i="23" s="1"/>
  <c r="D142" i="33"/>
  <c r="BR35" i="23"/>
  <c r="D93" i="23" s="1"/>
  <c r="D95" i="23" s="1"/>
  <c r="C185" i="18"/>
  <c r="C216" i="18" s="1"/>
  <c r="H6" i="22" s="1"/>
  <c r="AT16" i="23" s="1"/>
  <c r="AT30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AW31" i="23" s="1"/>
  <c r="V172" i="18"/>
  <c r="V215" i="18" s="1"/>
  <c r="AA5" i="22" s="1"/>
  <c r="BM15" i="23" s="1"/>
  <c r="BM21" i="23" s="1"/>
  <c r="X172" i="18"/>
  <c r="X215" i="18" s="1"/>
  <c r="AC5" i="22" s="1"/>
  <c r="BO15" i="23" s="1"/>
  <c r="BO22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BP22" i="23" s="1"/>
  <c r="G172" i="18"/>
  <c r="G215" i="18" s="1"/>
  <c r="L5" i="22" s="1"/>
  <c r="AX15" i="23" s="1"/>
  <c r="AX23" i="23" s="1"/>
  <c r="M172" i="18"/>
  <c r="M215" i="18" s="1"/>
  <c r="R5" i="22" s="1"/>
  <c r="G185" i="18"/>
  <c r="G216" i="18" s="1"/>
  <c r="L6" i="22" s="1"/>
  <c r="AX16" i="23" s="1"/>
  <c r="AX31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AU31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AU23" i="23" s="1"/>
  <c r="Y185" i="18"/>
  <c r="Y216" i="18" s="1"/>
  <c r="AD6" i="22" s="1"/>
  <c r="BP16" i="23" s="1"/>
  <c r="BP30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AQ228" i="33" l="1"/>
  <c r="AR228" i="33" s="1"/>
  <c r="AS228" i="33" s="1"/>
  <c r="AT228" i="33" s="1"/>
  <c r="AW228" i="33" s="1"/>
  <c r="D240" i="33" s="1"/>
  <c r="D276" i="33"/>
  <c r="D244" i="33"/>
  <c r="AB237" i="31"/>
  <c r="AC237" i="31" s="1"/>
  <c r="AF237" i="31" s="1"/>
  <c r="B178" i="31" s="1"/>
  <c r="C240" i="33" s="1"/>
  <c r="D144" i="33"/>
  <c r="C292" i="33"/>
  <c r="D143" i="33"/>
  <c r="L13" i="31"/>
  <c r="J13" i="31"/>
  <c r="AG138" i="31"/>
  <c r="AG140" i="31" s="1"/>
  <c r="D119" i="30"/>
  <c r="B122" i="30"/>
  <c r="B128" i="30" s="1"/>
  <c r="B130" i="30" s="1"/>
  <c r="BR31" i="23"/>
  <c r="H83" i="23" s="1"/>
  <c r="H85" i="23" s="1"/>
  <c r="AA8" i="22"/>
  <c r="BM5" i="23" s="1"/>
  <c r="BM9" i="23" s="1"/>
  <c r="BM16" i="23"/>
  <c r="BM29" i="23" s="1"/>
  <c r="H8" i="22"/>
  <c r="AT5" i="23" s="1"/>
  <c r="AT10" i="23" s="1"/>
  <c r="AT15" i="23"/>
  <c r="AT22" i="23" s="1"/>
  <c r="AB8" i="22"/>
  <c r="BN5" i="23" s="1"/>
  <c r="BN9" i="23" s="1"/>
  <c r="BN16" i="23"/>
  <c r="BN29" i="23" s="1"/>
  <c r="AC8" i="22"/>
  <c r="BO5" i="23" s="1"/>
  <c r="BO10" i="23" s="1"/>
  <c r="BO16" i="23"/>
  <c r="BO30" i="23" s="1"/>
  <c r="BR27" i="23"/>
  <c r="D83" i="23" s="1"/>
  <c r="D85" i="23" s="1"/>
  <c r="J8" i="22"/>
  <c r="AV5" i="23" s="1"/>
  <c r="AV11" i="23" s="1"/>
  <c r="AV15" i="23"/>
  <c r="AV23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AT9" i="23"/>
  <c r="BP9" i="23"/>
  <c r="BJ8" i="23"/>
  <c r="AV9" i="23"/>
  <c r="BI8" i="23"/>
  <c r="BO9" i="23"/>
  <c r="AW9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D290" i="33" l="1"/>
  <c r="D292" i="33" s="1"/>
  <c r="D293" i="33"/>
  <c r="D161" i="33"/>
  <c r="C294" i="33"/>
  <c r="AA147" i="18"/>
  <c r="C4" i="22" s="1"/>
  <c r="C7" i="22" s="1"/>
  <c r="R17" i="31"/>
  <c r="AD19" i="31"/>
  <c r="K82" i="31"/>
  <c r="BR23" i="23"/>
  <c r="H73" i="23" s="1"/>
  <c r="H75" i="23" s="1"/>
  <c r="BR19" i="23"/>
  <c r="D73" i="23" s="1"/>
  <c r="D75" i="23" s="1"/>
  <c r="Y8" i="22"/>
  <c r="BK15" i="23"/>
  <c r="BK21" i="23" s="1"/>
  <c r="BR21" i="23" s="1"/>
  <c r="F73" i="23" s="1"/>
  <c r="F75" i="23" s="1"/>
  <c r="BR8" i="23"/>
  <c r="E25" i="23" s="1"/>
  <c r="E27" i="23" s="1"/>
  <c r="BR29" i="23"/>
  <c r="F83" i="23" s="1"/>
  <c r="F85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AS22" i="23" s="1"/>
  <c r="BR22" i="23" s="1"/>
  <c r="G73" i="23" s="1"/>
  <c r="G7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D294" i="33" l="1"/>
  <c r="C162" i="33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79" i="33" l="1"/>
  <c r="D155" i="33"/>
  <c r="D145" i="33"/>
  <c r="D162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58" i="33" l="1"/>
  <c r="D199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AS30" i="23" s="1"/>
  <c r="BR30" i="23" s="1"/>
  <c r="G83" i="23" s="1"/>
  <c r="G85" i="23" s="1"/>
  <c r="D175" i="33" l="1"/>
  <c r="D176" i="33"/>
  <c r="D177" i="33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AS9" i="23"/>
  <c r="BR9" i="23" s="1"/>
  <c r="F25" i="23" s="1"/>
  <c r="D160" i="33" l="1"/>
  <c r="D218" i="33"/>
  <c r="C209" i="33"/>
  <c r="C170" i="33"/>
  <c r="C154" i="33"/>
  <c r="C180" i="33"/>
  <c r="C221" i="33"/>
  <c r="D216" i="33"/>
  <c r="D151" i="33"/>
  <c r="J19" i="31"/>
  <c r="C194" i="33" s="1"/>
  <c r="F27" i="23"/>
  <c r="D221" i="33" l="1"/>
  <c r="C211" i="33"/>
  <c r="C237" i="33" s="1"/>
  <c r="D154" i="33"/>
  <c r="J48" i="31"/>
  <c r="B174" i="31" s="1"/>
  <c r="C157" i="33"/>
  <c r="D194" i="33"/>
  <c r="C181" i="33"/>
  <c r="D180" i="33"/>
  <c r="D181" i="33" s="1"/>
  <c r="C178" i="33"/>
  <c r="D170" i="33"/>
  <c r="D178" i="33" s="1"/>
  <c r="C173" i="33"/>
  <c r="D237" i="33" l="1"/>
  <c r="D241" i="33" s="1"/>
  <c r="D242" i="33" s="1"/>
  <c r="D157" i="33"/>
  <c r="C241" i="33"/>
  <c r="C238" i="33"/>
  <c r="C174" i="33"/>
  <c r="D173" i="33"/>
  <c r="B180" i="31"/>
  <c r="B181" i="31" s="1"/>
  <c r="B175" i="31"/>
  <c r="D238" i="33" l="1"/>
  <c r="C242" i="33"/>
  <c r="D174" i="33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<sst xmlns="http://schemas.openxmlformats.org/spreadsheetml/2006/main" count="3098" uniqueCount="1464">
  <si>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</si>
  <si>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</si>
  <si>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</si>
  <si>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</si>
  <si>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</si>
  <si>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</si>
  <si>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</si>
  <si>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</si>
  <si>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</si>
  <si>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</si>
  <si>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</si>
  <si>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</si>
  <si>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</si>
  <si>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</si>
  <si>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</si>
  <si>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</si>
  <si>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</si>
  <si>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</si>
  <si>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</si>
  <si>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</si>
  <si>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</si>
  <si>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</si>
  <si>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</si>
  <si>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</si>
  <si>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</si>
  <si>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</si>
  <si>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</si>
  <si>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</si>
  <si>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</si>
  <si>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</si>
  <si>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</si>
  <si>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</si>
  <si>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</si>
  <si>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</si>
  <si>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</si>
  <si>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</si>
  <si>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</si>
  <si>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</si>
  <si>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</si>
  <si>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</si>
  <si>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</si>
  <si>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</si>
  <si>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</si>
  <si>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</si>
  <si>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</si>
  <si>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</si>
  <si>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</si>
  <si>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</si>
  <si>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</si>
  <si>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</si>
  <si>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</si>
  <si>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</si>
  <si>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</si>
  <si>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</si>
  <si>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</si>
  <si>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</si>
  <si>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</si>
  <si>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</si>
  <si>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</si>
  <si>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</si>
  <si>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</si>
  <si>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</si>
  <si>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</si>
  <si>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</si>
  <si>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</si>
  <si>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</si>
  <si>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</si>
  <si>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</si>
  <si>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</si>
  <si>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</si>
  <si>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</si>
  <si>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</si>
  <si>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</si>
  <si>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</si>
  <si>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</si>
  <si>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</si>
  <si>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</si>
  <si>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</si>
  <si>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</si>
  <si>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</si>
  <si>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</si>
  <si>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</si>
  <si>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</si>
  <si>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</si>
  <si>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</si>
  <si>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</si>
  <si>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</si>
  <si>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</si>
  <si>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</si>
  <si>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</si>
  <si>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</si>
  <si>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</si>
  <si>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</si>
  <si>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</si>
  <si>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</si>
  <si>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</si>
  <si>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</si>
  <si>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</si>
  <si>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</si>
  <si>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</si>
  <si>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</si>
  <si>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</si>
  <si>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</si>
  <si>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</si>
  <si>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</si>
  <si>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</si>
  <si>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</si>
  <si>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</si>
  <si>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</si>
  <si>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</si>
  <si>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</si>
  <si>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</si>
  <si>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</si>
  <si>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</si>
  <si>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</si>
  <si>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</si>
  <si>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</si>
  <si>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</si>
  <si>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</si>
  <si>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</si>
  <si>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</si>
  <si>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</si>
  <si>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</si>
  <si>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</si>
  <si>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</si>
  <si>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</si>
  <si>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</si>
  <si>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</si>
  <si>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</si>
  <si>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</si>
  <si>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</si>
  <si>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</si>
  <si>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</si>
  <si>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</si>
  <si>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</si>
  <si>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</si>
  <si>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</si>
  <si>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</si>
  <si>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</si>
  <si>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</si>
  <si>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</si>
  <si>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</si>
  <si>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</si>
  <si>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</si>
  <si>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</si>
  <si>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</si>
  <si>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</si>
  <si>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</si>
  <si>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</si>
  <si>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</si>
  <si>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</si>
  <si>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</si>
  <si>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</si>
  <si>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</si>
  <si>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</si>
  <si>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</si>
  <si>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</si>
  <si>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</si>
  <si>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</si>
  <si>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</si>
  <si>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</si>
  <si>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</si>
  <si>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</si>
  <si>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</si>
  <si>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</si>
  <si>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</si>
  <si>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</si>
  <si>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</si>
  <si>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</si>
  <si>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</si>
  <si>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</si>
  <si>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</si>
  <si>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</si>
  <si>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</si>
  <si>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</si>
  <si>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</si>
  <si>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</si>
  <si>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</si>
  <si>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</si>
  <si>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</si>
  <si>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</si>
  <si>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</si>
  <si>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</si>
  <si>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</si>
  <si>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</si>
  <si>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</si>
  <si>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</si>
  <si>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</si>
  <si>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</si>
  <si>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</si>
  <si>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</si>
  <si>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</si>
  <si>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</si>
  <si>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</si>
  <si>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</si>
  <si>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</si>
  <si>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</si>
  <si>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</si>
  <si>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</si>
  <si>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</si>
  <si>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</si>
  <si>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</si>
  <si>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</si>
  <si>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</si>
  <si>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</si>
  <si>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</si>
  <si>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</si>
  <si>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</si>
  <si>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</si>
  <si>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</si>
  <si>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</si>
  <si>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</si>
  <si>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</si>
  <si>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</si>
  <si>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</si>
  <si>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</si>
  <si>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</si>
  <si>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</si>
  <si>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</si>
  <si>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</si>
  <si>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</si>
  <si>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</si>
  <si>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</si>
  <si>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</si>
  <si>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</si>
  <si>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</si>
  <si>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</si>
  <si>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</si>
  <si>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</si>
  <si>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</si>
  <si>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</si>
  <si>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</si>
  <si>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</si>
  <si>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</si>
  <si>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</si>
  <si>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</si>
  <si>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</si>
  <si>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</si>
  <si>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</si>
  <si>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</si>
  <si>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</si>
  <si>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</si>
  <si>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</si>
  <si>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</si>
  <si>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</si>
  <si>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</si>
  <si>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</si>
  <si>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</si>
  <si>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</si>
  <si>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</si>
  <si>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</si>
  <si>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</si>
  <si>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</si>
  <si>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</si>
  <si>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</si>
  <si>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</si>
  <si>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</si>
  <si>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</si>
  <si>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</si>
  <si>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</si>
  <si>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</si>
  <si>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</si>
  <si>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</si>
  <si>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</si>
  <si>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</si>
  <si>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</si>
  <si>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</si>
  <si>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</si>
  <si>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</si>
  <si>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</si>
  <si>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</si>
  <si>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</si>
  <si>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</si>
  <si>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</si>
  <si>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</si>
  <si>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</si>
  <si>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</si>
  <si>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</si>
  <si>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</si>
  <si>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</si>
  <si>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</si>
  <si>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</si>
  <si>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</si>
  <si>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</si>
  <si>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</si>
  <si>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</si>
  <si>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</si>
  <si>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</si>
  <si>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</si>
  <si>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</si>
  <si>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</si>
  <si>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</si>
  <si>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</si>
  <si>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</si>
  <si>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</si>
  <si>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</si>
  <si>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</si>
  <si>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</si>
  <si>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</si>
  <si>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</si>
  <si>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</si>
  <si>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</si>
  <si>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</si>
  <si>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</si>
  <si>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</si>
  <si>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</si>
  <si>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</si>
  <si>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</si>
  <si>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</si>
  <si>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</si>
  <si>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</si>
  <si>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</si>
  <si>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</si>
  <si>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</si>
  <si>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</si>
  <si>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</si>
  <si>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</si>
  <si>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</si>
  <si>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</si>
  <si>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</si>
  <si>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</si>
  <si>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</si>
  <si>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</si>
  <si>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</si>
  <si>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</si>
  <si>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</si>
  <si>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</si>
  <si>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</si>
  <si>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</si>
  <si>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</si>
  <si>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</si>
  <si>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</si>
  <si>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</si>
  <si>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</si>
  <si>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</si>
  <si>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</si>
  <si>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</si>
  <si>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</si>
  <si>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</si>
  <si>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</si>
  <si>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</si>
  <si>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</si>
  <si>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</si>
  <si>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</si>
  <si>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</si>
  <si>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</si>
  <si>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</si>
  <si>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</si>
  <si>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</si>
  <si>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</si>
  <si>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</si>
  <si>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</si>
  <si>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</si>
  <si>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</si>
  <si>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</si>
  <si>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</si>
  <si>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</si>
  <si>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</si>
  <si>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</si>
  <si>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</si>
  <si>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</si>
  <si>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</si>
  <si>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</si>
  <si>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</si>
  <si>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</si>
  <si>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</si>
  <si>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</si>
  <si>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</si>
  <si>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</si>
  <si>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</si>
  <si>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</si>
  <si>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</si>
  <si>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</si>
  <si>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</si>
  <si>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</si>
  <si>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</si>
  <si>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</si>
  <si>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</si>
  <si>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</si>
  <si>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</si>
  <si>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</si>
  <si>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</si>
  <si>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</si>
  <si>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</si>
  <si>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</si>
  <si>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</si>
  <si>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</si>
  <si>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</si>
  <si>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</si>
  <si>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</si>
  <si>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</si>
  <si>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</si>
  <si>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</si>
  <si>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</si>
  <si>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</si>
  <si>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</si>
  <si>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</si>
  <si>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</si>
  <si>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</si>
  <si>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</si>
  <si>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</si>
  <si>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</si>
  <si>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</si>
  <si>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</si>
  <si>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</si>
  <si>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</si>
  <si>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</si>
  <si>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</si>
  <si>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</si>
  <si>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</si>
  <si>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</si>
  <si>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</si>
  <si>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</si>
  <si>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</si>
  <si>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</si>
  <si>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</si>
  <si>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</si>
  <si>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</si>
  <si>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</si>
  <si>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</si>
  <si>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</si>
  <si>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</si>
  <si>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</si>
  <si>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</si>
  <si>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</si>
  <si>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</si>
  <si>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</si>
  <si>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</si>
  <si>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</si>
  <si>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</si>
  <si>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</si>
  <si>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</si>
  <si>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</si>
  <si>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</si>
  <si>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</si>
  <si>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</si>
  <si>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</si>
  <si>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</si>
  <si>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</si>
  <si>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</si>
  <si>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</si>
  <si>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</si>
  <si>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</si>
  <si>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</si>
  <si>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</si>
  <si>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</si>
  <si>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</si>
  <si>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</si>
  <si>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</si>
  <si>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</si>
  <si>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</si>
  <si>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</si>
  <si>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</si>
  <si>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</si>
  <si>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</si>
  <si>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</si>
  <si>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</si>
  <si>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</si>
  <si>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</si>
  <si>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</si>
  <si>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</si>
  <si>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</si>
  <si>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</si>
  <si>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</si>
  <si>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</si>
  <si>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</si>
  <si>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</si>
  <si>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</si>
  <si>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</si>
  <si>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</si>
  <si>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</si>
  <si>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</si>
  <si>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</si>
  <si>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</si>
  <si>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</si>
  <si>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</si>
  <si>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</si>
  <si>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</si>
  <si>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</si>
  <si>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</si>
  <si>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</si>
  <si>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</si>
  <si>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</si>
  <si>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</si>
  <si>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</si>
  <si>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</si>
  <si>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</si>
  <si>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</si>
  <si>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</si>
  <si>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</si>
  <si>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</si>
  <si>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</si>
  <si>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</si>
  <si>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</si>
  <si>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</si>
  <si>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</si>
  <si>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</si>
  <si>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</si>
  <si>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</si>
  <si>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</si>
  <si>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</si>
  <si>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</si>
  <si>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</si>
  <si>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</si>
  <si>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</si>
  <si>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</si>
  <si>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</si>
  <si>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</si>
  <si>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</si>
  <si>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</si>
  <si>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</si>
  <si>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</si>
  <si>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</si>
  <si>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</si>
  <si>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</si>
  <si>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</si>
  <si>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</si>
  <si>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</si>
  <si>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</si>
  <si>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</si>
  <si>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</si>
  <si>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</si>
  <si>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</si>
  <si>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</si>
  <si>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</si>
  <si>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</si>
  <si>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</si>
  <si>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</si>
  <si>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</si>
  <si>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</si>
  <si>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</si>
  <si>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</si>
  <si>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</si>
  <si>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</si>
  <si>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</si>
  <si>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</si>
  <si>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</si>
  <si>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</si>
  <si>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</si>
  <si>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</si>
  <si>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</si>
  <si>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</si>
  <si>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</si>
  <si>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</si>
  <si>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</si>
  <si>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</si>
  <si>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</si>
  <si>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</si>
  <si>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</si>
  <si>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</si>
  <si>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</si>
  <si>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</si>
  <si>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</si>
  <si>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</si>
  <si>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</si>
  <si>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</si>
  <si>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</si>
  <si>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</si>
  <si>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</si>
  <si>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</si>
  <si>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</si>
  <si>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</si>
  <si>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</si>
  <si>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</si>
  <si>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</si>
  <si>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</si>
  <si>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</si>
  <si>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</si>
  <si>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</si>
  <si>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</si>
  <si>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</si>
  <si>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</si>
  <si>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</si>
  <si>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</si>
  <si>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</si>
  <si>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</si>
  <si>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</si>
  <si>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</si>
  <si>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</si>
  <si>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</si>
  <si>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</si>
  <si>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</si>
  <si>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</si>
  <si>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</si>
  <si>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</si>
  <si>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</si>
  <si>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</si>
  <si>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</si>
  <si>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</si>
  <si>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</si>
  <si>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</si>
  <si>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</si>
  <si>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</si>
  <si>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</si>
  <si>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</si>
  <si>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</si>
  <si>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</si>
  <si>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</si>
  <si>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</si>
  <si>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</si>
  <si>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</si>
  <si>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</si>
  <si>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</si>
  <si>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</si>
  <si>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</si>
  <si>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</si>
  <si>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</si>
  <si>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</si>
  <si>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</si>
  <si>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</si>
  <si>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</si>
  <si>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</si>
  <si>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</si>
  <si>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</si>
  <si>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</si>
  <si>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</si>
  <si>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</si>
  <si>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</si>
  <si>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</si>
  <si>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</si>
  <si>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</si>
  <si>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</si>
  <si>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</si>
  <si>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</si>
  <si>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</si>
  <si>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</si>
  <si>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</si>
  <si>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</si>
  <si>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</si>
  <si>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</si>
  <si>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</si>
  <si>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</si>
  <si>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</si>
  <si>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</si>
  <si>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</si>
  <si>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</si>
  <si>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</si>
  <si>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</si>
  <si>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</si>
  <si>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</si>
  <si>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</si>
  <si>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</si>
  <si>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</si>
  <si>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</si>
  <si>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</si>
  <si>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</si>
  <si>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</si>
  <si>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</si>
  <si>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</si>
  <si>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</si>
  <si>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</si>
  <si>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</si>
  <si>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</si>
  <si>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</si>
  <si>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</si>
  <si>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</si>
  <si>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</si>
  <si>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</si>
  <si>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</si>
  <si>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</si>
  <si>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</si>
  <si>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</si>
  <si>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</si>
  <si>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</si>
  <si>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</si>
  <si>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</si>
  <si>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</si>
  <si>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</si>
  <si>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</si>
  <si>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</si>
  <si>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</si>
  <si>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</si>
  <si>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</si>
  <si>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</si>
  <si>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</si>
  <si>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</si>
  <si>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</si>
  <si>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</si>
  <si>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</si>
  <si>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</si>
  <si>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</si>
  <si>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</si>
  <si>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</si>
  <si>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</si>
  <si>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</si>
  <si>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</si>
  <si>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</si>
  <si>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</si>
  <si>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</si>
  <si>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</si>
  <si>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</si>
  <si>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</si>
  <si>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</si>
  <si>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</si>
  <si>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</si>
  <si>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</si>
  <si>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</si>
  <si>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</si>
  <si>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</si>
  <si>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</si>
  <si>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</si>
  <si>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</si>
  <si>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</si>
  <si>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</si>
  <si>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</si>
  <si>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</si>
  <si>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</si>
  <si>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</si>
  <si>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</si>
  <si>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</si>
  <si>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</si>
  <si>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</si>
  <si>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</si>
  <si>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</si>
  <si>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</si>
  <si>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</si>
  <si>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</si>
  <si>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</si>
  <si>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</si>
  <si>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</si>
  <si>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</si>
  <si>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</si>
  <si>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</si>
  <si>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</si>
  <si>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</si>
  <si>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</si>
  <si>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</si>
  <si>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</si>
  <si>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</si>
  <si>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</si>
  <si>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</si>
  <si>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</si>
  <si>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</si>
  <si>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</si>
  <si>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</si>
  <si>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</si>
  <si>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</si>
  <si>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</si>
  <si>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</si>
  <si>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</si>
  <si>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</si>
  <si>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</si>
  <si>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</si>
  <si>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</si>
  <si>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</si>
  <si>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</si>
  <si>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</si>
  <si>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</si>
  <si>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</si>
  <si>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</si>
  <si>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</si>
  <si>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</si>
  <si>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</si>
  <si>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</si>
  <si>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</si>
  <si>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</si>
  <si>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</si>
  <si>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</si>
  <si>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</si>
  <si>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</si>
  <si>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</si>
  <si>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</si>
  <si>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</si>
  <si>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</si>
  <si>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</si>
  <si>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</si>
  <si>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</si>
  <si>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</si>
  <si>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</si>
  <si>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</si>
  <si>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</si>
  <si>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</si>
  <si>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</si>
  <si>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</si>
  <si>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</si>
  <si>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</si>
  <si>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</si>
  <si>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</si>
  <si>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</si>
  <si>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</si>
  <si>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</si>
  <si>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</si>
  <si>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</si>
  <si>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</si>
  <si>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</si>
  <si>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</si>
  <si>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</si>
  <si>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</si>
  <si>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</si>
  <si>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</si>
  <si>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</si>
  <si>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</si>
  <si>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</si>
  <si>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</si>
  <si>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</si>
  <si>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</si>
  <si>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</si>
  <si>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</si>
  <si>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</si>
  <si>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</si>
  <si>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</si>
  <si>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</si>
  <si>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</si>
  <si>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</si>
  <si>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</si>
  <si>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</si>
  <si>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</si>
  <si>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</si>
  <si>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</si>
  <si>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</si>
  <si>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</si>
  <si>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</si>
  <si>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</si>
  <si>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</si>
  <si>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</si>
  <si>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</si>
  <si>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</si>
  <si>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</si>
  <si>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</si>
  <si>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</si>
  <si>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</si>
  <si>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</si>
  <si>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</si>
  <si>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</si>
  <si>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</si>
  <si>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</si>
  <si>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</si>
  <si>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</si>
  <si>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</si>
  <si>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</si>
  <si>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</si>
  <si>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</si>
  <si>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</si>
  <si>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</si>
  <si>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</si>
  <si>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</si>
  <si>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</si>
  <si>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</si>
  <si>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</si>
  <si>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</si>
  <si>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</si>
  <si>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</si>
  <si>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</si>
  <si>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</si>
  <si>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</si>
  <si>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</si>
  <si>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</si>
  <si>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</si>
  <si>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</si>
  <si>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</si>
  <si>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</si>
  <si>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</si>
  <si>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</si>
  <si>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</si>
  <si>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</si>
  <si>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</si>
  <si>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</si>
  <si>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</si>
  <si>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</si>
  <si>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</si>
  <si>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</si>
  <si>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</si>
  <si>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</si>
  <si>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</si>
  <si>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</si>
  <si>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</si>
  <si>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</si>
  <si>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</si>
  <si>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</si>
  <si>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</si>
  <si>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</si>
  <si>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</si>
  <si>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</si>
  <si>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</si>
  <si>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</si>
  <si>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</si>
  <si>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</si>
  <si>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</si>
  <si>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</si>
  <si>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</si>
  <si>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</si>
  <si>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</si>
  <si>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</si>
  <si>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</si>
  <si>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</si>
  <si>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</si>
  <si>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</si>
  <si>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</si>
  <si>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</si>
  <si>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</si>
  <si>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</si>
  <si>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</si>
  <si>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</si>
  <si>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</si>
  <si>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</si>
  <si>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</si>
  <si>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</si>
  <si>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</si>
  <si>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</si>
  <si>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</si>
  <si>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</si>
  <si>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</si>
  <si>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</si>
  <si>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</si>
  <si>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</si>
  <si>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</si>
  <si>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</si>
  <si>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</si>
  <si>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</si>
  <si>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</si>
  <si>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</si>
  <si>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</si>
  <si>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</si>
  <si>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</si>
  <si>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</si>
  <si>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</si>
  <si>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</si>
  <si>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</si>
  <si>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</si>
  <si>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</si>
  <si>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</si>
  <si>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</si>
  <si>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</si>
  <si>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</si>
  <si>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</si>
  <si>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</si>
  <si>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</si>
  <si>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</si>
  <si>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</si>
  <si>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</si>
  <si>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</si>
  <si>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</si>
  <si>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</si>
  <si>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</si>
  <si>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</si>
  <si>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</si>
  <si>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</si>
  <si>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</si>
  <si>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</si>
  <si>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</si>
  <si>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</si>
  <si>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</si>
  <si>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</si>
  <si>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</si>
  <si>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</si>
  <si>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</si>
  <si>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</si>
  <si>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</si>
  <si>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</si>
  <si>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</si>
  <si>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</si>
  <si>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</si>
  <si>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</si>
  <si>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</si>
  <si>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</si>
  <si>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</si>
  <si>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</si>
  <si>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</si>
  <si>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</si>
  <si>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</si>
  <si>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</si>
  <si>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</si>
  <si>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</si>
  <si>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</si>
  <si>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</si>
  <si>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</si>
  <si>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</si>
  <si>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</si>
  <si>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</si>
  <si>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</si>
  <si>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</si>
  <si>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</si>
  <si>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</si>
  <si>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</si>
  <si>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</si>
  <si>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</si>
  <si>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</si>
  <si>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</si>
  <si>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</si>
  <si>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</si>
  <si>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</si>
  <si>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</si>
  <si>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</si>
  <si>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</si>
  <si>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</si>
  <si>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</si>
  <si>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</si>
  <si>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</si>
  <si>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</si>
  <si>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</si>
  <si>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</si>
  <si>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</si>
  <si>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</si>
  <si>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</si>
  <si>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</si>
  <si>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</si>
  <si>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</si>
  <si>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</si>
  <si>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</si>
  <si>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</si>
  <si>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</si>
  <si>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</si>
  <si>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</si>
  <si>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</si>
  <si>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</si>
  <si>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</si>
  <si>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</si>
  <si>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</si>
  <si>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</si>
  <si>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</si>
  <si>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</si>
  <si>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</si>
  <si>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</si>
  <si>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</si>
  <si>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</si>
  <si>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</si>
  <si>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</si>
  <si>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</si>
  <si>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</si>
  <si>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</si>
  <si>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</si>
  <si>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</si>
  <si>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</si>
  <si>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</si>
  <si>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</si>
  <si>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</si>
  <si>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</si>
  <si>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</si>
  <si>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</si>
  <si>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</si>
  <si>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</si>
  <si>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</si>
  <si>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</si>
  <si>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</si>
  <si>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</si>
  <si>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</si>
  <si>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</si>
  <si>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</si>
  <si>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</si>
  <si>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</si>
  <si>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</si>
  <si>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</si>
  <si>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</si>
  <si>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</si>
  <si>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</si>
  <si>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</si>
  <si>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</si>
  <si>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</si>
  <si>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</si>
  <si>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</si>
  <si>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</si>
  <si>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</si>
  <si>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</si>
  <si>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</si>
  <si>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</si>
  <si>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</si>
  <si>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</si>
  <si>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</si>
  <si>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</si>
  <si>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</si>
  <si>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</si>
  <si>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</si>
  <si>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</si>
  <si>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</si>
  <si>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</si>
  <si>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</si>
  <si>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</si>
  <si>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</si>
  <si>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</si>
  <si>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</si>
  <si>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</si>
  <si>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</si>
  <si>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</si>
  <si>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</si>
  <si>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</si>
  <si>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</si>
  <si>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</si>
  <si>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</si>
  <si>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</si>
  <si>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</si>
  <si>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</si>
  <si>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</si>
  <si>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</si>
  <si>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</si>
  <si>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</si>
  <si>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</si>
  <si>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</si>
  <si>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</si>
  <si>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</si>
  <si>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</si>
  <si>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</si>
  <si>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</si>
  <si>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</si>
  <si>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</si>
  <si>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</si>
  <si>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</si>
  <si>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</si>
  <si>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</si>
  <si>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</si>
  <si>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</si>
  <si>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</si>
  <si>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</si>
  <si>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</si>
  <si>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</si>
  <si>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</si>
  <si>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</si>
  <si>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</si>
  <si>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</si>
  <si>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</si>
  <si>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</si>
  <si>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</si>
  <si>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</si>
  <si>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</si>
  <si>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</si>
  <si>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</si>
  <si>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</si>
  <si>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</si>
  <si>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</si>
  <si>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</si>
  <si>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</si>
  <si>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</si>
  <si>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</si>
  <si>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</si>
  <si>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</si>
  <si>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</si>
  <si>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</si>
  <si>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</si>
  <si>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</si>
  <si>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</si>
  <si>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</si>
  <si>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</si>
  <si>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</si>
  <si>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</si>
  <si>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</si>
  <si>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</si>
  <si>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</si>
  <si>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</si>
  <si>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</si>
  <si>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</si>
  <si>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</si>
  <si>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</si>
  <si>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</si>
  <si>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</si>
  <si>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</si>
  <si>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</si>
  <si>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</si>
  <si>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</si>
  <si>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</si>
  <si>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</si>
  <si>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</si>
  <si>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</si>
  <si>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</si>
  <si>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</si>
  <si>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</si>
  <si>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</si>
  <si>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</si>
  <si>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</si>
  <si>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</si>
  <si>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</si>
  <si>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</si>
  <si>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</si>
  <si>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</si>
  <si>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</si>
  <si>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</si>
  <si>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</si>
  <si>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</si>
  <si>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</si>
  <si>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</si>
  <si>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</si>
  <si>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</si>
  <si>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</si>
  <si>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</si>
  <si>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</si>
  <si>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</si>
  <si>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</si>
  <si>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</si>
  <si>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</si>
  <si>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</si>
  <si>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</si>
  <si>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</si>
  <si>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</si>
  <si>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</si>
  <si>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</si>
  <si>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</si>
  <si>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</si>
  <si>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</si>
  <si>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</si>
  <si>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</si>
  <si>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</si>
  <si>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</si>
  <si>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</si>
  <si>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</si>
  <si>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</si>
  <si>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</si>
  <si>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</si>
  <si>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</si>
  <si>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</si>
  <si>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</si>
  <si>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</si>
  <si>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</si>
  <si>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</si>
  <si>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</si>
  <si>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</si>
  <si>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</si>
  <si>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</si>
  <si>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</si>
  <si>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</si>
  <si>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</si>
  <si>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</si>
  <si>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</si>
  <si>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</si>
  <si>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</si>
  <si>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</si>
  <si>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</si>
  <si>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</si>
  <si>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</si>
  <si>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</si>
  <si>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</si>
  <si>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</si>
  <si>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</si>
  <si>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</si>
  <si>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</si>
  <si>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</si>
  <si>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</si>
  <si>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</si>
  <si>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</si>
  <si>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</si>
  <si>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</si>
  <si>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</si>
  <si>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</si>
  <si>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</si>
  <si>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</si>
  <si>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</si>
  <si>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</si>
  <si>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</si>
  <si>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</si>
  <si>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</si>
  <si>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</si>
  <si>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</si>
  <si>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</si>
  <si>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</si>
  <si>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</si>
  <si>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</si>
  <si>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</si>
  <si>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</si>
  <si>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</si>
  <si>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</si>
  <si>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</si>
  <si>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</si>
  <si>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</si>
  <si>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</si>
  <si>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</si>
  <si>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</si>
  <si>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</si>
  <si>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</si>
  <si>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</si>
  <si>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</si>
  <si>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</si>
  <si>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</si>
  <si>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</si>
  <si>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</si>
  <si>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</si>
  <si>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</si>
  <si>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</si>
  <si>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</si>
  <si>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</si>
  <si>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</si>
  <si>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</si>
  <si>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</si>
  <si>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</si>
  <si>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</si>
  <si>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</si>
  <si>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</si>
  <si>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</si>
  <si>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</si>
  <si>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</si>
  <si>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</si>
  <si>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</si>
  <si>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</si>
  <si>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</si>
  <si>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</si>
  <si>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</si>
  <si>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</si>
  <si>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</si>
  <si>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</si>
  <si>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</si>
  <si>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</si>
  <si>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</si>
  <si>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</si>
  <si>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</si>
  <si>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</si>
  <si>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</si>
  <si>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</si>
  <si>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</si>
  <si>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</si>
  <si>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</si>
  <si>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</si>
  <si>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</si>
  <si>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</si>
  <si>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</si>
  <si>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</si>
  <si>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</si>
  <si>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</si>
  <si>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</si>
  <si>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</si>
  <si>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</si>
  <si>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</si>
  <si>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</si>
  <si>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</si>
  <si>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</si>
  <si>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</si>
  <si>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</si>
  <si>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</si>
  <si>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</si>
  <si>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</si>
  <si>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</si>
  <si>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</si>
  <si>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</si>
  <si>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</si>
  <si>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</si>
  <si>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</si>
  <si>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</si>
  <si>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</si>
  <si>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</si>
  <si>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</si>
  <si>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</si>
  <si>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</si>
  <si>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</si>
  <si>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</si>
  <si>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</si>
  <si>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</si>
  <si>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</si>
  <si>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</si>
  <si>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</si>
  <si>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</si>
  <si>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</si>
  <si>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</si>
  <si>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</si>
  <si>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</si>
  <si>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</si>
  <si>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</si>
  <si>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</si>
  <si>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</si>
  <si>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</si>
  <si>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</si>
  <si>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</si>
  <si>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</si>
  <si>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</si>
  <si>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</si>
  <si>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</si>
  <si>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</si>
  <si>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</si>
  <si>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</si>
  <si>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</si>
  <si>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</si>
  <si>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</si>
  <si>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</si>
  <si>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</si>
  <si>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</si>
  <si>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</si>
  <si>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</si>
  <si>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</si>
  <si>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</si>
  <si>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</si>
  <si>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</si>
  <si>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</si>
  <si>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</si>
  <si>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</si>
  <si>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</si>
  <si>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</si>
  <si>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</si>
  <si>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</si>
  <si>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</si>
  <si>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</si>
  <si>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</si>
  <si>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</si>
  <si>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</si>
  <si>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</si>
  <si>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</si>
  <si>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</si>
  <si>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</si>
  <si>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</si>
  <si>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TEST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</si>
  <si>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</si>
  <si>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</si>
  <si>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</si>
  <si>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</si>
  <si>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</si>
  <si>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</si>
  <si>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</si>
  <si>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</si>
  <si>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</si>
  <si>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</si>
  <si>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</si>
  <si>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</si>
  <si>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</si>
  <si>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</si>
  <si>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</si>
  <si>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</si>
  <si>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</si>
  <si>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</si>
  <si>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</si>
  <si>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</si>
  <si>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</si>
  <si>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</si>
  <si>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</si>
  <si>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</si>
  <si>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</si>
  <si>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</si>
  <si>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</si>
  <si>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</si>
  <si>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</si>
  <si>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</si>
  <si>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</si>
  <si>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</si>
  <si>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</si>
  <si>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</si>
  <si>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</si>
  <si>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</si>
  <si>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</si>
  <si>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</si>
  <si>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</si>
  <si>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</si>
  <si>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</si>
  <si>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</si>
  <si>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</si>
  <si>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</si>
  <si>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</si>
  <si>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</si>
  <si>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</si>
  <si>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</si>
  <si>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</si>
  <si>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</si>
  <si>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</si>
  <si>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</si>
  <si>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</si>
  <si>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</si>
  <si>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</si>
  <si>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</si>
  <si>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</si>
  <si>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</si>
  <si>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surface2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</si>
  <si>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</si>
  <si>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</si>
  <si>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</si>
  <si>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</si>
  <si>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</si>
  <si>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</si>
  <si>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</si>
  <si>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</si>
  <si>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</si>
  <si>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</si>
  <si>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</si>
  <si>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</si>
  <si>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</si>
  <si>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</si>
  <si>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</si>
  <si>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</si>
  <si>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</si>
  <si>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</si>
  <si>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</si>
  <si>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</si>
  <si>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</si>
  <si>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Z1_OLBV_T3F_Ms1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</si>
</sst>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8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22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O9">
            <v>95</v>
          </cell>
          <cell r="BP9">
            <v>92</v>
          </cell>
          <cell r="BQ9">
            <v>84</v>
          </cell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O10">
            <v>95</v>
          </cell>
          <cell r="BP10">
            <v>95</v>
          </cell>
          <cell r="BQ10">
            <v>0</v>
          </cell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O11">
            <v>148</v>
          </cell>
          <cell r="BP11">
            <v>125</v>
          </cell>
          <cell r="BQ11">
            <v>100</v>
          </cell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O12">
            <v>10.404624277456648</v>
          </cell>
          <cell r="BP12">
            <v>20</v>
          </cell>
          <cell r="BQ12">
            <v>10</v>
          </cell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O13">
            <v>24.054054054054056</v>
          </cell>
          <cell r="BP13">
            <v>23</v>
          </cell>
          <cell r="BQ13">
            <v>24</v>
          </cell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O14">
            <v>1.05</v>
          </cell>
          <cell r="BP14">
            <v>1.2</v>
          </cell>
          <cell r="BQ14">
            <v>3</v>
          </cell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O15">
            <v>1.9</v>
          </cell>
          <cell r="BP15">
            <v>2.2999999999999998</v>
          </cell>
          <cell r="BQ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O16">
            <v>0</v>
          </cell>
          <cell r="BP16">
            <v>0</v>
          </cell>
          <cell r="BQ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O17">
            <v>0</v>
          </cell>
          <cell r="BP17">
            <v>0</v>
          </cell>
          <cell r="BQ17">
            <v>0</v>
          </cell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O18">
            <v>0.08</v>
          </cell>
          <cell r="BP18">
            <v>0.08</v>
          </cell>
          <cell r="BQ18">
            <v>0.55000000000000004</v>
          </cell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O19">
            <v>0.08</v>
          </cell>
          <cell r="BP19">
            <v>0.08</v>
          </cell>
          <cell r="BQ19">
            <v>0.55000000000000004</v>
          </cell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O20">
            <v>208</v>
          </cell>
          <cell r="BP20">
            <v>152</v>
          </cell>
          <cell r="BQ20">
            <v>0</v>
          </cell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O21">
            <v>4.8648648648648649</v>
          </cell>
          <cell r="BP21">
            <v>10</v>
          </cell>
          <cell r="BQ21">
            <v>0</v>
          </cell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O22">
            <v>50</v>
          </cell>
          <cell r="BP22">
            <v>50</v>
          </cell>
          <cell r="BQ22">
            <v>0</v>
          </cell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M23">
            <v>0.14000000000000001</v>
          </cell>
          <cell r="AN23">
            <v>0.85</v>
          </cell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O23">
            <v>0.14000000000000001</v>
          </cell>
          <cell r="BP23">
            <v>0.14000000000000001</v>
          </cell>
          <cell r="BQ23">
            <v>0.85</v>
          </cell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M24">
            <v>2.8000000000000004E-2</v>
          </cell>
          <cell r="AN24">
            <v>0.35</v>
          </cell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O24">
            <v>2.8000000000000004E-2</v>
          </cell>
          <cell r="BP24">
            <v>2.8000000000000004E-2</v>
          </cell>
          <cell r="BQ24">
            <v>0.35</v>
          </cell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M25">
            <v>0.14000000000000001</v>
          </cell>
          <cell r="AN25">
            <v>0.6</v>
          </cell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O25">
            <v>0.14000000000000001</v>
          </cell>
          <cell r="BP25">
            <v>0.14000000000000001</v>
          </cell>
          <cell r="BQ25">
            <v>0.6</v>
          </cell>
        </row>
        <row r="26">
          <cell r="C26">
            <v>0</v>
          </cell>
          <cell r="E26">
            <v>0.8</v>
          </cell>
          <cell r="F26">
            <v>0</v>
          </cell>
          <cell r="H26">
            <v>0.8</v>
          </cell>
          <cell r="J26">
            <v>0.8</v>
          </cell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S26">
            <v>0.8</v>
          </cell>
          <cell r="U26">
            <v>0.8</v>
          </cell>
          <cell r="W26">
            <v>0.8</v>
          </cell>
          <cell r="Y26">
            <v>0.8</v>
          </cell>
          <cell r="Z26">
            <v>0.8</v>
          </cell>
          <cell r="AB26">
            <v>0.8</v>
          </cell>
          <cell r="AD26">
            <v>0.8</v>
          </cell>
          <cell r="AE26">
            <v>0.8</v>
          </cell>
          <cell r="AF26">
            <v>0.8</v>
          </cell>
          <cell r="AI26">
            <v>0.8</v>
          </cell>
          <cell r="AK26">
            <v>0.8</v>
          </cell>
          <cell r="AN26">
            <v>0.8</v>
          </cell>
          <cell r="AQ26">
            <v>0.8</v>
          </cell>
          <cell r="AS26">
            <v>0.8</v>
          </cell>
          <cell r="AT26">
            <v>0.8</v>
          </cell>
          <cell r="AU26">
            <v>0.8</v>
          </cell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Q26">
            <v>0.8</v>
          </cell>
        </row>
        <row r="27">
          <cell r="C27">
            <v>0</v>
          </cell>
          <cell r="E27">
            <v>0.85</v>
          </cell>
          <cell r="F27">
            <v>0</v>
          </cell>
          <cell r="H27">
            <v>0.85</v>
          </cell>
          <cell r="J27">
            <v>0.85</v>
          </cell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S27">
            <v>0.85</v>
          </cell>
          <cell r="U27">
            <v>0.85</v>
          </cell>
          <cell r="W27">
            <v>0.85</v>
          </cell>
          <cell r="Y27">
            <v>0.85</v>
          </cell>
          <cell r="Z27">
            <v>0.85</v>
          </cell>
          <cell r="AB27">
            <v>0.85</v>
          </cell>
          <cell r="AD27">
            <v>0.85</v>
          </cell>
          <cell r="AE27">
            <v>0.85</v>
          </cell>
          <cell r="AF27">
            <v>0.85</v>
          </cell>
          <cell r="AI27">
            <v>0.85</v>
          </cell>
          <cell r="AK27">
            <v>0.85</v>
          </cell>
          <cell r="AN27">
            <v>0.85</v>
          </cell>
          <cell r="AQ27">
            <v>0.85</v>
          </cell>
          <cell r="AS27">
            <v>0.85</v>
          </cell>
          <cell r="AT27">
            <v>0.85</v>
          </cell>
          <cell r="AU27">
            <v>0.85</v>
          </cell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Q27">
            <v>0.85</v>
          </cell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M28">
            <v>0.14000000000000001</v>
          </cell>
          <cell r="AN28">
            <v>1</v>
          </cell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O28">
            <v>0.14000000000000001</v>
          </cell>
          <cell r="BP28">
            <v>0.14000000000000001</v>
          </cell>
          <cell r="BQ28">
            <v>1</v>
          </cell>
        </row>
        <row r="29">
          <cell r="C29">
            <v>0</v>
          </cell>
          <cell r="F29">
            <v>0</v>
          </cell>
          <cell r="Q29">
            <v>0.65</v>
          </cell>
          <cell r="AZ29">
            <v>0</v>
          </cell>
          <cell r="BA29">
            <v>0</v>
          </cell>
          <cell r="BB29">
            <v>0</v>
          </cell>
        </row>
        <row r="30">
          <cell r="C30">
            <v>0</v>
          </cell>
          <cell r="F30">
            <v>0</v>
          </cell>
          <cell r="AZ30">
            <v>0</v>
          </cell>
          <cell r="BA30">
            <v>0</v>
          </cell>
          <cell r="BB30">
            <v>0</v>
          </cell>
        </row>
        <row r="31">
          <cell r="C31">
            <v>0</v>
          </cell>
          <cell r="F31">
            <v>0</v>
          </cell>
          <cell r="AZ31">
            <v>0</v>
          </cell>
          <cell r="BA31">
            <v>0</v>
          </cell>
          <cell r="BB31">
            <v>0</v>
          </cell>
        </row>
        <row r="32">
          <cell r="C32">
            <v>0</v>
          </cell>
          <cell r="F32">
            <v>0</v>
          </cell>
          <cell r="AZ32">
            <v>0</v>
          </cell>
          <cell r="BA32">
            <v>0</v>
          </cell>
          <cell r="BB32">
            <v>0</v>
          </cell>
        </row>
        <row r="33">
          <cell r="C33">
            <v>0</v>
          </cell>
          <cell r="F33">
            <v>0</v>
          </cell>
          <cell r="AZ33">
            <v>0</v>
          </cell>
          <cell r="BA33">
            <v>0</v>
          </cell>
          <cell r="BB33">
            <v>0</v>
          </cell>
        </row>
        <row r="34">
          <cell r="C34">
            <v>0</v>
          </cell>
          <cell r="F34">
            <v>0</v>
          </cell>
          <cell r="AZ34">
            <v>0</v>
          </cell>
          <cell r="BA34">
            <v>0</v>
          </cell>
          <cell r="BB34">
            <v>0</v>
          </cell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K37">
            <v>5</v>
          </cell>
          <cell r="AL37">
            <v>0</v>
          </cell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O37">
            <v>4.5999999999999996</v>
          </cell>
          <cell r="BP37">
            <v>4.5</v>
          </cell>
          <cell r="BQ37">
            <v>5</v>
          </cell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O38">
            <v>10.07</v>
          </cell>
          <cell r="BP38">
            <v>10.07</v>
          </cell>
          <cell r="BQ38">
            <v>12.25</v>
          </cell>
        </row>
        <row r="39">
          <cell r="C39">
            <v>0</v>
          </cell>
          <cell r="D39">
            <v>16.190000000000001</v>
          </cell>
          <cell r="E39">
            <v>14</v>
          </cell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O39">
            <v>16.190000000000001</v>
          </cell>
          <cell r="BP39">
            <v>16.190000000000001</v>
          </cell>
          <cell r="BQ39">
            <v>14</v>
          </cell>
        </row>
        <row r="40">
          <cell r="C40">
            <v>0</v>
          </cell>
          <cell r="D40">
            <v>7.91</v>
          </cell>
          <cell r="E40">
            <v>11</v>
          </cell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O40">
            <v>7.91</v>
          </cell>
          <cell r="BP40">
            <v>7.91</v>
          </cell>
          <cell r="BQ40">
            <v>11</v>
          </cell>
        </row>
        <row r="41">
          <cell r="C41">
            <v>0</v>
          </cell>
          <cell r="D41">
            <v>14.3</v>
          </cell>
          <cell r="E41">
            <v>12.148148148148149</v>
          </cell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O41">
            <v>14.3</v>
          </cell>
          <cell r="BP41">
            <v>14.3</v>
          </cell>
          <cell r="BQ41">
            <v>12.453333333333333</v>
          </cell>
        </row>
        <row r="42">
          <cell r="C42">
            <v>0</v>
          </cell>
          <cell r="D42">
            <v>13</v>
          </cell>
          <cell r="E42">
            <v>13</v>
          </cell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O42">
            <v>13</v>
          </cell>
          <cell r="BP42">
            <v>13</v>
          </cell>
          <cell r="BQ42">
            <v>13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O43">
            <v>0</v>
          </cell>
          <cell r="BP43">
            <v>0</v>
          </cell>
          <cell r="BQ43">
            <v>0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O44">
            <v>0</v>
          </cell>
          <cell r="BP44">
            <v>0</v>
          </cell>
          <cell r="BQ44">
            <v>0.6</v>
          </cell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O45">
            <v>15</v>
          </cell>
          <cell r="BP45">
            <v>10</v>
          </cell>
          <cell r="BQ45">
            <v>5</v>
          </cell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O46">
            <v>5</v>
          </cell>
          <cell r="BP46">
            <v>5</v>
          </cell>
          <cell r="BQ46">
            <v>5</v>
          </cell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M51">
            <v>55</v>
          </cell>
          <cell r="AN51">
            <v>319</v>
          </cell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O51">
            <v>18.100000000000001</v>
          </cell>
          <cell r="BP51">
            <v>68.75</v>
          </cell>
          <cell r="BQ51">
            <v>398.75</v>
          </cell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M52">
            <v>34</v>
          </cell>
          <cell r="AN52">
            <v>136</v>
          </cell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O52">
            <v>103.2</v>
          </cell>
          <cell r="BP52">
            <v>42.5</v>
          </cell>
          <cell r="BQ52">
            <v>170</v>
          </cell>
        </row>
        <row r="53">
          <cell r="C53">
            <v>0</v>
          </cell>
          <cell r="D53">
            <v>16</v>
          </cell>
          <cell r="G53">
            <v>9.5</v>
          </cell>
          <cell r="I53">
            <v>15.7</v>
          </cell>
          <cell r="K53">
            <v>11.2</v>
          </cell>
          <cell r="R53">
            <v>15.7</v>
          </cell>
          <cell r="T53">
            <v>16</v>
          </cell>
          <cell r="V53">
            <v>10</v>
          </cell>
          <cell r="X53">
            <v>10</v>
          </cell>
          <cell r="AA53">
            <v>15.7</v>
          </cell>
          <cell r="AC53">
            <v>15.7</v>
          </cell>
          <cell r="AG53">
            <v>16</v>
          </cell>
          <cell r="AH53">
            <v>11.2</v>
          </cell>
          <cell r="AJ53">
            <v>10</v>
          </cell>
          <cell r="AM53">
            <v>10</v>
          </cell>
          <cell r="AP53">
            <v>11.2</v>
          </cell>
          <cell r="AR53">
            <v>10</v>
          </cell>
          <cell r="AV53">
            <v>18.84</v>
          </cell>
          <cell r="AW53">
            <v>19.2</v>
          </cell>
          <cell r="AX53">
            <v>15.7</v>
          </cell>
          <cell r="BE53">
            <v>18.84</v>
          </cell>
          <cell r="BF53">
            <v>15.7</v>
          </cell>
          <cell r="BG53">
            <v>12</v>
          </cell>
          <cell r="BO53">
            <v>15.7</v>
          </cell>
          <cell r="BP53">
            <v>12.5</v>
          </cell>
        </row>
        <row r="54">
          <cell r="C54">
            <v>0</v>
          </cell>
          <cell r="D54">
            <v>22</v>
          </cell>
          <cell r="I54">
            <v>25.1</v>
          </cell>
          <cell r="R54">
            <v>25.1</v>
          </cell>
          <cell r="T54">
            <v>22</v>
          </cell>
          <cell r="AA54">
            <v>25.1</v>
          </cell>
          <cell r="AC54">
            <v>25.1</v>
          </cell>
          <cell r="AG54">
            <v>22</v>
          </cell>
          <cell r="AV54">
            <v>30.12</v>
          </cell>
          <cell r="AW54">
            <v>26.4</v>
          </cell>
          <cell r="AX54">
            <v>25.1</v>
          </cell>
          <cell r="BE54">
            <v>30.12</v>
          </cell>
          <cell r="BF54">
            <v>25.1</v>
          </cell>
          <cell r="BO54">
            <v>25.1</v>
          </cell>
        </row>
        <row r="55">
          <cell r="C55">
            <v>0</v>
          </cell>
        </row>
        <row r="56">
          <cell r="C56">
            <v>0</v>
          </cell>
          <cell r="D56">
            <v>83</v>
          </cell>
          <cell r="G56">
            <v>105.3</v>
          </cell>
          <cell r="I56">
            <v>111</v>
          </cell>
          <cell r="K56">
            <v>111</v>
          </cell>
          <cell r="M56">
            <v>420</v>
          </cell>
          <cell r="N56">
            <v>385</v>
          </cell>
          <cell r="O56">
            <v>525</v>
          </cell>
          <cell r="R56">
            <v>111</v>
          </cell>
          <cell r="T56">
            <v>111</v>
          </cell>
          <cell r="V56">
            <v>117</v>
          </cell>
          <cell r="X56">
            <v>117</v>
          </cell>
          <cell r="Z56">
            <v>420</v>
          </cell>
          <cell r="AA56">
            <v>111</v>
          </cell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J56">
            <v>117</v>
          </cell>
          <cell r="AM56">
            <v>117</v>
          </cell>
          <cell r="AP56">
            <v>111</v>
          </cell>
          <cell r="AQ56">
            <v>420</v>
          </cell>
          <cell r="AR56">
            <v>117</v>
          </cell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O56">
            <v>111</v>
          </cell>
          <cell r="BP56">
            <v>146.25</v>
          </cell>
        </row>
        <row r="57">
          <cell r="C57">
            <v>0</v>
          </cell>
          <cell r="D57">
            <v>17</v>
          </cell>
          <cell r="I57">
            <v>42</v>
          </cell>
          <cell r="K57">
            <v>13</v>
          </cell>
          <cell r="M57">
            <v>84</v>
          </cell>
          <cell r="N57">
            <v>165</v>
          </cell>
          <cell r="O57">
            <v>225</v>
          </cell>
          <cell r="R57">
            <v>42</v>
          </cell>
          <cell r="T57">
            <v>17</v>
          </cell>
          <cell r="Z57">
            <v>84</v>
          </cell>
          <cell r="AA57">
            <v>42</v>
          </cell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P57">
            <v>13</v>
          </cell>
          <cell r="AQ57">
            <v>84</v>
          </cell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O57">
            <v>42</v>
          </cell>
        </row>
        <row r="58">
          <cell r="C58">
            <v>0</v>
          </cell>
        </row>
        <row r="59">
          <cell r="C59">
            <v>0</v>
          </cell>
        </row>
        <row r="60">
          <cell r="C60">
            <v>0</v>
          </cell>
        </row>
        <row r="61">
          <cell r="C61">
            <v>0</v>
          </cell>
          <cell r="N61">
            <v>132</v>
          </cell>
          <cell r="O61">
            <v>120</v>
          </cell>
          <cell r="AD61">
            <v>132</v>
          </cell>
          <cell r="AE61">
            <v>120</v>
          </cell>
          <cell r="AT61">
            <v>132</v>
          </cell>
          <cell r="AU61">
            <v>132</v>
          </cell>
          <cell r="AY61">
            <v>132</v>
          </cell>
          <cell r="BC61">
            <v>158.4</v>
          </cell>
          <cell r="BD61">
            <v>158.4</v>
          </cell>
        </row>
        <row r="62">
          <cell r="C62">
            <v>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0</v>
          </cell>
          <cell r="N66">
            <v>132</v>
          </cell>
          <cell r="O66">
            <v>120</v>
          </cell>
          <cell r="AD66">
            <v>132</v>
          </cell>
          <cell r="AE66">
            <v>120</v>
          </cell>
          <cell r="AT66">
            <v>132</v>
          </cell>
          <cell r="AU66">
            <v>132</v>
          </cell>
          <cell r="AY66">
            <v>132</v>
          </cell>
          <cell r="BC66">
            <v>158.4</v>
          </cell>
          <cell r="BD66">
            <v>158.4</v>
          </cell>
        </row>
        <row r="67">
          <cell r="C67">
            <v>0</v>
          </cell>
        </row>
        <row r="68">
          <cell r="C68">
            <v>0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0</v>
          </cell>
          <cell r="N71">
            <v>220</v>
          </cell>
          <cell r="O71">
            <v>300</v>
          </cell>
          <cell r="AD71">
            <v>220</v>
          </cell>
          <cell r="AE71">
            <v>300</v>
          </cell>
          <cell r="AT71">
            <v>220</v>
          </cell>
          <cell r="AU71">
            <v>220</v>
          </cell>
          <cell r="AY71">
            <v>220</v>
          </cell>
          <cell r="BC71">
            <v>264</v>
          </cell>
          <cell r="BD71">
            <v>264</v>
          </cell>
        </row>
        <row r="72">
          <cell r="C72">
            <v>0</v>
          </cell>
          <cell r="N72">
            <v>55</v>
          </cell>
          <cell r="O72">
            <v>75</v>
          </cell>
          <cell r="AD72">
            <v>55</v>
          </cell>
          <cell r="AE72">
            <v>75</v>
          </cell>
          <cell r="AT72">
            <v>55</v>
          </cell>
          <cell r="AU72">
            <v>55</v>
          </cell>
          <cell r="AY72">
            <v>55</v>
          </cell>
          <cell r="BC72">
            <v>66</v>
          </cell>
          <cell r="BD72">
            <v>66</v>
          </cell>
        </row>
        <row r="73">
          <cell r="C73">
            <v>0</v>
          </cell>
        </row>
        <row r="74">
          <cell r="C74">
            <v>0</v>
          </cell>
        </row>
        <row r="75">
          <cell r="C75">
            <v>0</v>
          </cell>
        </row>
        <row r="76">
          <cell r="C76">
            <v>0</v>
          </cell>
          <cell r="O76">
            <v>1125</v>
          </cell>
          <cell r="AE76">
            <v>1125</v>
          </cell>
        </row>
        <row r="77">
          <cell r="C77">
            <v>0</v>
          </cell>
          <cell r="O77">
            <v>525</v>
          </cell>
          <cell r="AE77">
            <v>525</v>
          </cell>
        </row>
        <row r="78">
          <cell r="C78">
            <v>0</v>
          </cell>
        </row>
        <row r="79">
          <cell r="C79">
            <v>0</v>
          </cell>
        </row>
        <row r="80">
          <cell r="C80">
            <v>0</v>
          </cell>
        </row>
        <row r="81">
          <cell r="C81">
            <v>0</v>
          </cell>
          <cell r="O81">
            <v>966</v>
          </cell>
          <cell r="Q81">
            <v>2250</v>
          </cell>
          <cell r="AE81">
            <v>966</v>
          </cell>
        </row>
        <row r="82">
          <cell r="C82">
            <v>0</v>
          </cell>
          <cell r="O82">
            <v>474</v>
          </cell>
          <cell r="Q82">
            <v>450</v>
          </cell>
          <cell r="AE82">
            <v>474</v>
          </cell>
        </row>
        <row r="83">
          <cell r="C83">
            <v>0</v>
          </cell>
          <cell r="Q83">
            <v>60</v>
          </cell>
        </row>
        <row r="84">
          <cell r="C84">
            <v>0</v>
          </cell>
          <cell r="Q84">
            <v>0</v>
          </cell>
        </row>
        <row r="85">
          <cell r="C85">
            <v>0</v>
          </cell>
          <cell r="Q85">
            <v>0</v>
          </cell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</row>
        <row r="87"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M87" t="str">
            <v xml:space="preserve">11 -correcteur N brebis lait </v>
          </cell>
          <cell r="AN87" t="str">
            <v>15 -concentré bovin allaitant</v>
          </cell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</row>
        <row r="88"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M88" t="str">
            <v>1 -maïs-grain</v>
          </cell>
          <cell r="AN88" t="str">
            <v>16 -correcteur N bovin allaitant</v>
          </cell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</row>
        <row r="89">
          <cell r="D89" t="str">
            <v>13 -aliment complet brebis lait</v>
          </cell>
          <cell r="G89" t="str">
            <v>13 -aliment complet brebis lait</v>
          </cell>
          <cell r="I89" t="str">
            <v>13 -aliment complet brebis lait</v>
          </cell>
          <cell r="K89" t="str">
            <v>13 -aliment complet brebis lait</v>
          </cell>
          <cell r="L89" t="str">
            <v>8 -CMV bovin allaitant</v>
          </cell>
          <cell r="R89" t="str">
            <v>13 -aliment complet brebis lait</v>
          </cell>
          <cell r="T89" t="str">
            <v>13 -aliment complet brebis lait</v>
          </cell>
          <cell r="V89" t="str">
            <v>13 -aliment complet brebis lait</v>
          </cell>
          <cell r="X89" t="str">
            <v>13 -aliment complet brebis lait</v>
          </cell>
          <cell r="AA89" t="str">
            <v>13 -aliment complet brebis lait</v>
          </cell>
          <cell r="AC89" t="str">
            <v>13 -aliment complet brebis lait</v>
          </cell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M89" t="str">
            <v>13 -aliment complet brebis lait</v>
          </cell>
          <cell r="AP89" t="str">
            <v>13 -aliment complet brebis lait</v>
          </cell>
          <cell r="AR89" t="str">
            <v>13 -aliment complet brebis lait</v>
          </cell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O89" t="str">
            <v>13 -aliment complet brebis lait</v>
          </cell>
          <cell r="BP89" t="str">
            <v>13 -aliment complet brebis lait</v>
          </cell>
        </row>
        <row r="90">
          <cell r="D90" t="str">
            <v>2 -grain céréales à paille</v>
          </cell>
          <cell r="I90" t="str">
            <v>2 -grain céréales à paille</v>
          </cell>
          <cell r="R90" t="str">
            <v>2 -grain céréales à paille</v>
          </cell>
          <cell r="T90" t="str">
            <v>2 -grain céréales à paille</v>
          </cell>
          <cell r="AA90" t="str">
            <v>2 -grain céréales à paille</v>
          </cell>
          <cell r="AC90" t="str">
            <v>2 -grain céréales à paille</v>
          </cell>
          <cell r="AG90" t="str">
            <v>2 -grain céréales à paille</v>
          </cell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BE90" t="str">
            <v>2 -grain céréales à paille</v>
          </cell>
          <cell r="BF90" t="str">
            <v>2 -grain céréales à paille</v>
          </cell>
          <cell r="BO90" t="str">
            <v>2 -grain céréales à paille</v>
          </cell>
        </row>
        <row r="92">
          <cell r="D92" t="str">
            <v xml:space="preserve">14 -concentré agnelle lait </v>
          </cell>
          <cell r="G92" t="str">
            <v xml:space="preserve">14 -concentré agnelle lait </v>
          </cell>
          <cell r="I92" t="str">
            <v xml:space="preserve">14 -concentré agnelle lait </v>
          </cell>
          <cell r="K92" t="str">
            <v xml:space="preserve">14 -concentré agnelle lait </v>
          </cell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R92" t="str">
            <v xml:space="preserve">14 -concentré agnelle lait </v>
          </cell>
          <cell r="T92" t="str">
            <v xml:space="preserve">14 -concentré agnelle lait </v>
          </cell>
          <cell r="V92" t="str">
            <v xml:space="preserve">14 -concentré agnelle lait </v>
          </cell>
          <cell r="X92" t="str">
            <v xml:space="preserve">14 -concentré agnelle lait </v>
          </cell>
          <cell r="Z92" t="str">
            <v>2 -grain céréales à paille</v>
          </cell>
          <cell r="AA92" t="str">
            <v xml:space="preserve">14 -concentré agnelle lait </v>
          </cell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J92" t="str">
            <v xml:space="preserve">14 -concentré agnelle lait </v>
          </cell>
          <cell r="AM92" t="str">
            <v xml:space="preserve">14 -concentré agnelle lait </v>
          </cell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O92" t="str">
            <v xml:space="preserve">14 -concentré agnelle lait </v>
          </cell>
          <cell r="BP92" t="str">
            <v xml:space="preserve">14 -concentré agnelle lait </v>
          </cell>
        </row>
        <row r="93">
          <cell r="D93" t="str">
            <v>1 -maïs-grain</v>
          </cell>
          <cell r="I93" t="str">
            <v>1 -maïs-grain</v>
          </cell>
          <cell r="K93" t="str">
            <v>1 -maïs-grain</v>
          </cell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R93" t="str">
            <v>1 -maïs-grain</v>
          </cell>
          <cell r="T93" t="str">
            <v>1 -maïs-grain</v>
          </cell>
          <cell r="Z93" t="str">
            <v>6 -tourteaux soja</v>
          </cell>
          <cell r="AA93" t="str">
            <v>1 -maïs-grain</v>
          </cell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P93" t="str">
            <v>1 -maïs-grain</v>
          </cell>
          <cell r="AQ93" t="str">
            <v>6 -tourteaux soja</v>
          </cell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O93" t="str">
            <v>1 -maïs-grain</v>
          </cell>
        </row>
        <row r="94">
          <cell r="N94" t="str">
            <v>8 -CMV bovin allaitant</v>
          </cell>
          <cell r="AD94" t="str">
            <v>8 -CMV bovin allaitant</v>
          </cell>
          <cell r="AT94" t="str">
            <v>8 -CMV bovin allaitant</v>
          </cell>
          <cell r="AU94" t="str">
            <v>8 -CMV bovin allaitant</v>
          </cell>
          <cell r="AY94" t="str">
            <v>8 -CMV bovin allaitant</v>
          </cell>
          <cell r="BC94" t="str">
            <v>8 -CMV bovin allaitant</v>
          </cell>
          <cell r="BD94" t="str">
            <v>8 -CMV bovin allaitant</v>
          </cell>
        </row>
        <row r="97">
          <cell r="N97" t="str">
            <v xml:space="preserve">17 -alim veau </v>
          </cell>
          <cell r="O97" t="str">
            <v xml:space="preserve">17 -alim veau </v>
          </cell>
          <cell r="AD97" t="str">
            <v xml:space="preserve">17 -alim veau </v>
          </cell>
          <cell r="AE97" t="str">
            <v xml:space="preserve">17 -alim veau </v>
          </cell>
          <cell r="AT97" t="str">
            <v xml:space="preserve">17 -alim veau </v>
          </cell>
          <cell r="AU97" t="str">
            <v xml:space="preserve">17 -alim veau </v>
          </cell>
          <cell r="AY97" t="str">
            <v xml:space="preserve">17 -alim veau </v>
          </cell>
          <cell r="BC97" t="str">
            <v xml:space="preserve">17 -alim veau </v>
          </cell>
          <cell r="BD97" t="str">
            <v xml:space="preserve">17 -alim veau </v>
          </cell>
        </row>
        <row r="102">
          <cell r="N102" t="str">
            <v xml:space="preserve">17 -alim veau </v>
          </cell>
          <cell r="O102" t="str">
            <v xml:space="preserve">17 -alim veau </v>
          </cell>
          <cell r="AD102" t="str">
            <v xml:space="preserve">17 -alim veau </v>
          </cell>
          <cell r="AE102" t="str">
            <v xml:space="preserve">17 -alim veau </v>
          </cell>
          <cell r="AT102" t="str">
            <v xml:space="preserve">17 -alim veau </v>
          </cell>
          <cell r="AU102" t="str">
            <v xml:space="preserve">17 -alim veau </v>
          </cell>
          <cell r="AY102" t="str">
            <v xml:space="preserve">17 -alim veau </v>
          </cell>
          <cell r="BC102" t="str">
            <v xml:space="preserve">17 -alim veau </v>
          </cell>
          <cell r="BD102" t="str">
            <v xml:space="preserve">17 -alim veau </v>
          </cell>
        </row>
        <row r="107">
          <cell r="N107" t="str">
            <v>2 -grain céréales à paille</v>
          </cell>
          <cell r="O107" t="str">
            <v>1 -maïs-grain</v>
          </cell>
          <cell r="AD107" t="str">
            <v>2 -grain céréales à paille</v>
          </cell>
          <cell r="AE107" t="str">
            <v>1 -maïs-grain</v>
          </cell>
          <cell r="AT107" t="str">
            <v>2 -grain céréales à paille</v>
          </cell>
          <cell r="AU107" t="str">
            <v>2 -grain céréales à paille</v>
          </cell>
          <cell r="AY107" t="str">
            <v>2 -grain céréales à paille</v>
          </cell>
          <cell r="BC107" t="str">
            <v>2 -grain céréales à paille</v>
          </cell>
          <cell r="BD107" t="str">
            <v>2 -grain céréales à paille</v>
          </cell>
        </row>
        <row r="108">
          <cell r="N108" t="str">
            <v>6 -tourteaux soja</v>
          </cell>
          <cell r="O108" t="str">
            <v>6 -tourteaux soja</v>
          </cell>
          <cell r="AD108" t="str">
            <v>6 -tourteaux soja</v>
          </cell>
          <cell r="AE108" t="str">
            <v>6 -tourteaux soja</v>
          </cell>
          <cell r="AT108" t="str">
            <v>6 -tourteaux soja</v>
          </cell>
          <cell r="AU108" t="str">
            <v>6 -tourteaux soja</v>
          </cell>
          <cell r="AY108" t="str">
            <v>6 -tourteaux soja</v>
          </cell>
          <cell r="BC108" t="str">
            <v>6 -tourteaux soja</v>
          </cell>
          <cell r="BD108" t="str">
            <v>6 -tourteaux soja</v>
          </cell>
        </row>
        <row r="112">
          <cell r="O112" t="str">
            <v>1 -maïs-grain</v>
          </cell>
          <cell r="AE112" t="str">
            <v>1 -maïs-grain</v>
          </cell>
        </row>
        <row r="113">
          <cell r="O113" t="str">
            <v>6 -tourteaux soja</v>
          </cell>
          <cell r="AE113" t="str">
            <v>6 -tourteaux soja</v>
          </cell>
        </row>
        <row r="117">
          <cell r="O117" t="str">
            <v>1 -maïs-grain</v>
          </cell>
          <cell r="Q117" t="str">
            <v>1 -maïs-grain</v>
          </cell>
          <cell r="AE117" t="str">
            <v>1 -maïs-grain</v>
          </cell>
        </row>
        <row r="118"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AE118" t="str">
            <v>6 -tourteaux soja</v>
          </cell>
        </row>
        <row r="119">
          <cell r="Q119" t="str">
            <v xml:space="preserve">18 -cmv engraissement bovin </v>
          </cell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</row>
        <row r="124">
          <cell r="C124">
            <v>3</v>
          </cell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H125">
            <v>207</v>
          </cell>
          <cell r="J125">
            <v>230</v>
          </cell>
          <cell r="L125">
            <v>230</v>
          </cell>
          <cell r="M125">
            <v>220</v>
          </cell>
          <cell r="N125">
            <v>240</v>
          </cell>
          <cell r="S125">
            <v>230</v>
          </cell>
          <cell r="U125">
            <v>230</v>
          </cell>
          <cell r="W125">
            <v>230</v>
          </cell>
          <cell r="Y125">
            <v>230</v>
          </cell>
          <cell r="Z125">
            <v>220</v>
          </cell>
          <cell r="AB125">
            <v>230</v>
          </cell>
          <cell r="AD125">
            <v>240</v>
          </cell>
          <cell r="AF125">
            <v>220</v>
          </cell>
          <cell r="AI125">
            <v>230</v>
          </cell>
          <cell r="AK125">
            <v>230</v>
          </cell>
          <cell r="AL125">
            <v>350</v>
          </cell>
          <cell r="AN125">
            <v>230</v>
          </cell>
          <cell r="AQ125">
            <v>220</v>
          </cell>
          <cell r="AS125">
            <v>230</v>
          </cell>
          <cell r="AT125">
            <v>240</v>
          </cell>
          <cell r="AU125">
            <v>240</v>
          </cell>
          <cell r="AY125">
            <v>240</v>
          </cell>
          <cell r="BC125">
            <v>240</v>
          </cell>
          <cell r="BD125">
            <v>240</v>
          </cell>
          <cell r="BQ125">
            <v>207</v>
          </cell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M127">
            <v>3.8</v>
          </cell>
          <cell r="N127">
            <v>3.8</v>
          </cell>
          <cell r="Z127">
            <v>3.8</v>
          </cell>
          <cell r="AD127">
            <v>3.8</v>
          </cell>
          <cell r="AF127">
            <v>3.8</v>
          </cell>
          <cell r="AL127">
            <v>2.5</v>
          </cell>
          <cell r="AQ127">
            <v>3.8</v>
          </cell>
          <cell r="AT127">
            <v>3.8</v>
          </cell>
          <cell r="AU127">
            <v>3.8</v>
          </cell>
          <cell r="AY127">
            <v>3.8</v>
          </cell>
          <cell r="BC127">
            <v>3.8</v>
          </cell>
          <cell r="BD127">
            <v>3.8</v>
          </cell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O129">
            <v>38.950000000000003</v>
          </cell>
          <cell r="BP129">
            <v>38.950000000000003</v>
          </cell>
          <cell r="BQ129">
            <v>874.80000000000007</v>
          </cell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F130">
            <v>60</v>
          </cell>
          <cell r="H130">
            <v>180</v>
          </cell>
          <cell r="J130">
            <v>200</v>
          </cell>
          <cell r="L130">
            <v>200</v>
          </cell>
          <cell r="M130">
            <v>200</v>
          </cell>
          <cell r="N130">
            <v>240</v>
          </cell>
          <cell r="S130">
            <v>200</v>
          </cell>
          <cell r="U130">
            <v>200</v>
          </cell>
          <cell r="W130">
            <v>200</v>
          </cell>
          <cell r="Y130">
            <v>200</v>
          </cell>
          <cell r="Z130">
            <v>200</v>
          </cell>
          <cell r="AB130">
            <v>200</v>
          </cell>
          <cell r="AD130">
            <v>240</v>
          </cell>
          <cell r="AF130">
            <v>200</v>
          </cell>
          <cell r="AI130">
            <v>200</v>
          </cell>
          <cell r="AK130">
            <v>200</v>
          </cell>
          <cell r="AL130">
            <v>350</v>
          </cell>
          <cell r="AN130">
            <v>200</v>
          </cell>
          <cell r="AQ130">
            <v>200</v>
          </cell>
          <cell r="AS130">
            <v>200</v>
          </cell>
          <cell r="AT130">
            <v>240</v>
          </cell>
          <cell r="AU130">
            <v>240</v>
          </cell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Q130">
            <v>180</v>
          </cell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F132">
            <v>1.02</v>
          </cell>
          <cell r="M132">
            <v>3.28</v>
          </cell>
          <cell r="N132">
            <v>3.28</v>
          </cell>
          <cell r="Z132">
            <v>3.28</v>
          </cell>
          <cell r="AD132">
            <v>3.28</v>
          </cell>
          <cell r="AF132">
            <v>3.28</v>
          </cell>
          <cell r="AL132">
            <v>2.5</v>
          </cell>
          <cell r="AQ132">
            <v>3.28</v>
          </cell>
          <cell r="AT132">
            <v>3.28</v>
          </cell>
          <cell r="AU132">
            <v>3.28</v>
          </cell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O134">
            <v>38.950000000000003</v>
          </cell>
          <cell r="BP134">
            <v>38.950000000000003</v>
          </cell>
          <cell r="BQ134">
            <v>697.5</v>
          </cell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O136">
            <v>410</v>
          </cell>
          <cell r="AE136">
            <v>410</v>
          </cell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O138">
            <v>4.22</v>
          </cell>
          <cell r="AE138">
            <v>4.22</v>
          </cell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O139">
            <v>1730.1999999999998</v>
          </cell>
          <cell r="AE139">
            <v>1730.1999999999998</v>
          </cell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O141">
            <v>440</v>
          </cell>
          <cell r="AE141">
            <v>440</v>
          </cell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O143">
            <v>4.97</v>
          </cell>
          <cell r="AE143">
            <v>4.97</v>
          </cell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O144">
            <v>2186.7999999999997</v>
          </cell>
          <cell r="AE144">
            <v>2186.7999999999997</v>
          </cell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E145">
            <v>650</v>
          </cell>
          <cell r="H145">
            <v>700</v>
          </cell>
          <cell r="J145">
            <v>700</v>
          </cell>
          <cell r="L145">
            <v>650</v>
          </cell>
          <cell r="M145">
            <v>617.5</v>
          </cell>
          <cell r="N145">
            <v>680</v>
          </cell>
          <cell r="S145">
            <v>700</v>
          </cell>
          <cell r="U145">
            <v>700</v>
          </cell>
          <cell r="W145">
            <v>700</v>
          </cell>
          <cell r="Y145">
            <v>700</v>
          </cell>
          <cell r="Z145">
            <v>650</v>
          </cell>
          <cell r="AB145">
            <v>700</v>
          </cell>
          <cell r="AD145">
            <v>680</v>
          </cell>
          <cell r="AF145">
            <v>650</v>
          </cell>
          <cell r="AI145">
            <v>650</v>
          </cell>
          <cell r="AK145">
            <v>700</v>
          </cell>
          <cell r="AL145">
            <v>700</v>
          </cell>
          <cell r="AN145">
            <v>700</v>
          </cell>
          <cell r="AQ145">
            <v>650</v>
          </cell>
          <cell r="AS145">
            <v>700</v>
          </cell>
          <cell r="AT145">
            <v>680</v>
          </cell>
          <cell r="AU145">
            <v>680</v>
          </cell>
          <cell r="AY145">
            <v>680</v>
          </cell>
          <cell r="BC145">
            <v>680</v>
          </cell>
          <cell r="BD145">
            <v>680</v>
          </cell>
          <cell r="BQ145">
            <v>700</v>
          </cell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M147">
            <v>1.84</v>
          </cell>
          <cell r="N147">
            <v>1.84</v>
          </cell>
          <cell r="Z147">
            <v>1.84</v>
          </cell>
          <cell r="AD147">
            <v>1.84</v>
          </cell>
          <cell r="AF147">
            <v>1.84</v>
          </cell>
          <cell r="AL147">
            <v>1.6</v>
          </cell>
          <cell r="AQ147">
            <v>1.84</v>
          </cell>
          <cell r="AT147">
            <v>1.84</v>
          </cell>
          <cell r="AU147">
            <v>1.84</v>
          </cell>
          <cell r="AY147">
            <v>1.84</v>
          </cell>
          <cell r="BC147">
            <v>1.84</v>
          </cell>
          <cell r="BD147">
            <v>1.84</v>
          </cell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O149">
            <v>26.5</v>
          </cell>
          <cell r="BP149">
            <v>26.5</v>
          </cell>
          <cell r="BQ149">
            <v>1028</v>
          </cell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F151">
            <v>310</v>
          </cell>
          <cell r="M151">
            <v>440</v>
          </cell>
          <cell r="N151">
            <v>440</v>
          </cell>
          <cell r="O151">
            <v>480</v>
          </cell>
          <cell r="Z151">
            <v>440</v>
          </cell>
          <cell r="AD151">
            <v>440</v>
          </cell>
          <cell r="AE151">
            <v>480</v>
          </cell>
          <cell r="AF151">
            <v>440</v>
          </cell>
          <cell r="AQ151">
            <v>440</v>
          </cell>
          <cell r="AT151">
            <v>440</v>
          </cell>
          <cell r="AU151">
            <v>440</v>
          </cell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F153">
            <v>2.4700000000000002</v>
          </cell>
          <cell r="M153">
            <v>4.8899999999999997</v>
          </cell>
          <cell r="N153">
            <v>4.8899999999999997</v>
          </cell>
          <cell r="O153">
            <v>4.9800000000000004</v>
          </cell>
          <cell r="Z153">
            <v>4.8899999999999997</v>
          </cell>
          <cell r="AD153">
            <v>4.8899999999999997</v>
          </cell>
          <cell r="AE153">
            <v>4.9800000000000004</v>
          </cell>
          <cell r="AF153">
            <v>4.8899999999999997</v>
          </cell>
          <cell r="AQ153">
            <v>4.8899999999999997</v>
          </cell>
          <cell r="AT153">
            <v>4.8899999999999997</v>
          </cell>
          <cell r="AU153">
            <v>4.8899999999999997</v>
          </cell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F154">
            <v>765.7</v>
          </cell>
          <cell r="M154">
            <v>2151.6</v>
          </cell>
          <cell r="N154">
            <v>2151.6</v>
          </cell>
          <cell r="O154">
            <v>2390.4</v>
          </cell>
          <cell r="Z154">
            <v>2151.6</v>
          </cell>
          <cell r="AD154">
            <v>2151.6</v>
          </cell>
          <cell r="AE154">
            <v>2390.4</v>
          </cell>
          <cell r="AF154">
            <v>2151.6</v>
          </cell>
          <cell r="AQ154">
            <v>2151.6</v>
          </cell>
          <cell r="AT154">
            <v>2151.6</v>
          </cell>
          <cell r="AU154">
            <v>2151.6</v>
          </cell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E156">
            <v>600</v>
          </cell>
          <cell r="H156">
            <v>600</v>
          </cell>
          <cell r="J156">
            <v>600</v>
          </cell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S156">
            <v>600</v>
          </cell>
          <cell r="U156">
            <v>600</v>
          </cell>
          <cell r="W156">
            <v>600</v>
          </cell>
          <cell r="Y156">
            <v>600</v>
          </cell>
          <cell r="Z156">
            <v>600</v>
          </cell>
          <cell r="AB156">
            <v>600</v>
          </cell>
          <cell r="AD156">
            <v>600</v>
          </cell>
          <cell r="AE156">
            <v>600</v>
          </cell>
          <cell r="AF156">
            <v>600</v>
          </cell>
          <cell r="AI156">
            <v>600</v>
          </cell>
          <cell r="AK156">
            <v>600</v>
          </cell>
          <cell r="AN156">
            <v>600</v>
          </cell>
          <cell r="AQ156">
            <v>600</v>
          </cell>
          <cell r="AS156">
            <v>600</v>
          </cell>
          <cell r="AT156">
            <v>600</v>
          </cell>
          <cell r="AU156">
            <v>600</v>
          </cell>
          <cell r="AY156">
            <v>600</v>
          </cell>
          <cell r="BC156">
            <v>600</v>
          </cell>
          <cell r="BD156">
            <v>600</v>
          </cell>
          <cell r="BQ156">
            <v>600</v>
          </cell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E158">
            <v>1.74</v>
          </cell>
          <cell r="H158">
            <v>1.74</v>
          </cell>
          <cell r="J158">
            <v>1.74</v>
          </cell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S158">
            <v>1.74</v>
          </cell>
          <cell r="U158">
            <v>1.74</v>
          </cell>
          <cell r="W158">
            <v>1.74</v>
          </cell>
          <cell r="Y158">
            <v>1.74</v>
          </cell>
          <cell r="Z158">
            <v>1.74</v>
          </cell>
          <cell r="AB158">
            <v>1.74</v>
          </cell>
          <cell r="AD158">
            <v>2.74</v>
          </cell>
          <cell r="AE158">
            <v>2.74</v>
          </cell>
          <cell r="AF158">
            <v>1.74</v>
          </cell>
          <cell r="AI158">
            <v>1.74</v>
          </cell>
          <cell r="AK158">
            <v>1.74</v>
          </cell>
          <cell r="AN158">
            <v>1.74</v>
          </cell>
          <cell r="AQ158">
            <v>1.74</v>
          </cell>
          <cell r="AS158">
            <v>1.74</v>
          </cell>
          <cell r="AT158">
            <v>2.74</v>
          </cell>
          <cell r="AU158">
            <v>2.74</v>
          </cell>
          <cell r="AY158">
            <v>2.74</v>
          </cell>
          <cell r="BC158">
            <v>2.74</v>
          </cell>
          <cell r="BD158">
            <v>2.74</v>
          </cell>
          <cell r="BQ158">
            <v>1.74</v>
          </cell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M159">
            <v>26.5</v>
          </cell>
          <cell r="AN159">
            <v>1044</v>
          </cell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O159">
            <v>26.5</v>
          </cell>
          <cell r="BP159">
            <v>26.5</v>
          </cell>
          <cell r="BQ159">
            <v>1044</v>
          </cell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E160">
            <v>660</v>
          </cell>
          <cell r="H160">
            <v>660</v>
          </cell>
          <cell r="J160">
            <v>660</v>
          </cell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S160">
            <v>660</v>
          </cell>
          <cell r="U160">
            <v>660</v>
          </cell>
          <cell r="W160">
            <v>660</v>
          </cell>
          <cell r="Y160">
            <v>660</v>
          </cell>
          <cell r="Z160">
            <v>660</v>
          </cell>
          <cell r="AB160">
            <v>660</v>
          </cell>
          <cell r="AD160">
            <v>660</v>
          </cell>
          <cell r="AE160">
            <v>660</v>
          </cell>
          <cell r="AF160">
            <v>660</v>
          </cell>
          <cell r="AI160">
            <v>660</v>
          </cell>
          <cell r="AK160">
            <v>660</v>
          </cell>
          <cell r="AN160">
            <v>660</v>
          </cell>
          <cell r="AQ160">
            <v>660</v>
          </cell>
          <cell r="AS160">
            <v>660</v>
          </cell>
          <cell r="AT160">
            <v>660</v>
          </cell>
          <cell r="AU160">
            <v>660</v>
          </cell>
          <cell r="AY160">
            <v>660</v>
          </cell>
          <cell r="BC160">
            <v>660</v>
          </cell>
          <cell r="BD160">
            <v>660</v>
          </cell>
          <cell r="BQ160">
            <v>660</v>
          </cell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E162">
            <v>3.83</v>
          </cell>
          <cell r="H162">
            <v>3.83</v>
          </cell>
          <cell r="J162">
            <v>3.83</v>
          </cell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S162">
            <v>3.83</v>
          </cell>
          <cell r="U162">
            <v>3.83</v>
          </cell>
          <cell r="W162">
            <v>3.83</v>
          </cell>
          <cell r="Y162">
            <v>3.83</v>
          </cell>
          <cell r="Z162">
            <v>3.83</v>
          </cell>
          <cell r="AB162">
            <v>3.83</v>
          </cell>
          <cell r="AD162">
            <v>3.83</v>
          </cell>
          <cell r="AE162">
            <v>3.83</v>
          </cell>
          <cell r="AF162">
            <v>3.83</v>
          </cell>
          <cell r="AI162">
            <v>3.83</v>
          </cell>
          <cell r="AK162">
            <v>3.83</v>
          </cell>
          <cell r="AN162">
            <v>3.83</v>
          </cell>
          <cell r="AQ162">
            <v>3.83</v>
          </cell>
          <cell r="AS162">
            <v>3.83</v>
          </cell>
          <cell r="AT162">
            <v>3.83</v>
          </cell>
          <cell r="AU162">
            <v>3.83</v>
          </cell>
          <cell r="AY162">
            <v>3.83</v>
          </cell>
          <cell r="BC162">
            <v>3.83</v>
          </cell>
          <cell r="BD162">
            <v>3.83</v>
          </cell>
          <cell r="BQ162">
            <v>3.83</v>
          </cell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M164">
            <v>500</v>
          </cell>
          <cell r="AN164">
            <v>2527.8000000000002</v>
          </cell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O164">
            <v>450</v>
          </cell>
          <cell r="BP164">
            <v>-500</v>
          </cell>
          <cell r="BQ164">
            <v>-2527.8000000000002</v>
          </cell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</row>
        <row r="171">
          <cell r="A171" t="str">
            <v>CO troupeaux (par femelles présentes MB)</v>
          </cell>
          <cell r="C171">
            <v>2</v>
          </cell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O172">
            <v>8</v>
          </cell>
          <cell r="BP172">
            <v>10</v>
          </cell>
          <cell r="BQ172">
            <v>133.19999999999999</v>
          </cell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O173">
            <v>26.15</v>
          </cell>
          <cell r="BP173">
            <v>23.512499999999999</v>
          </cell>
          <cell r="BQ173">
            <v>183.6</v>
          </cell>
        </row>
        <row r="174">
          <cell r="A174" t="str">
            <v>frais transfo et commercialisation (€/LITRES)</v>
          </cell>
          <cell r="C174">
            <v>5</v>
          </cell>
          <cell r="K174">
            <v>8.5000000000000006E-2</v>
          </cell>
          <cell r="N174">
            <v>0</v>
          </cell>
          <cell r="AD174">
            <v>0</v>
          </cell>
          <cell r="AH174">
            <v>8.5000000000000006E-2</v>
          </cell>
          <cell r="AP174">
            <v>8.5000000000000006E-2</v>
          </cell>
          <cell r="AT174">
            <v>0</v>
          </cell>
          <cell r="AU174">
            <v>0</v>
          </cell>
          <cell r="AY174">
            <v>0</v>
          </cell>
          <cell r="BC174">
            <v>0</v>
          </cell>
          <cell r="BD174">
            <v>0</v>
          </cell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O175">
            <v>3</v>
          </cell>
          <cell r="BP175">
            <v>3.75</v>
          </cell>
          <cell r="BQ175">
            <v>24</v>
          </cell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O176">
            <v>0</v>
          </cell>
          <cell r="BP176">
            <v>2</v>
          </cell>
          <cell r="BQ176">
            <v>14</v>
          </cell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M177">
            <v>0</v>
          </cell>
          <cell r="N177">
            <v>0</v>
          </cell>
          <cell r="Z177">
            <v>0</v>
          </cell>
          <cell r="AD177">
            <v>0</v>
          </cell>
          <cell r="AF177">
            <v>0</v>
          </cell>
          <cell r="AG177">
            <v>36</v>
          </cell>
          <cell r="AQ177">
            <v>0</v>
          </cell>
          <cell r="AT177">
            <v>0</v>
          </cell>
          <cell r="AU177">
            <v>0</v>
          </cell>
          <cell r="AW177">
            <v>36</v>
          </cell>
          <cell r="AY177">
            <v>0</v>
          </cell>
          <cell r="BC177">
            <v>0</v>
          </cell>
          <cell r="BD177">
            <v>0</v>
          </cell>
        </row>
        <row r="178">
          <cell r="A178" t="str">
            <v>CO surfaces fourragères</v>
          </cell>
          <cell r="C178">
            <v>9</v>
          </cell>
        </row>
        <row r="179">
          <cell r="A179" t="str">
            <v>PP pâturées</v>
          </cell>
          <cell r="C179">
            <v>10</v>
          </cell>
          <cell r="D179">
            <v>45</v>
          </cell>
          <cell r="F179">
            <v>80</v>
          </cell>
          <cell r="G179">
            <v>27</v>
          </cell>
          <cell r="I179">
            <v>30</v>
          </cell>
          <cell r="K179">
            <v>45</v>
          </cell>
          <cell r="M179">
            <v>45</v>
          </cell>
          <cell r="N179">
            <v>30</v>
          </cell>
          <cell r="O179">
            <v>80</v>
          </cell>
          <cell r="R179">
            <v>30</v>
          </cell>
          <cell r="T179">
            <v>30</v>
          </cell>
          <cell r="V179">
            <v>30</v>
          </cell>
          <cell r="X179">
            <v>30</v>
          </cell>
          <cell r="Z179">
            <v>45</v>
          </cell>
          <cell r="AA179">
            <v>30</v>
          </cell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J179">
            <v>30</v>
          </cell>
          <cell r="AM179">
            <v>30</v>
          </cell>
          <cell r="AP179">
            <v>45</v>
          </cell>
          <cell r="AQ179">
            <v>45</v>
          </cell>
          <cell r="AR179">
            <v>30</v>
          </cell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O179">
            <v>30</v>
          </cell>
          <cell r="BP179">
            <v>37.5</v>
          </cell>
        </row>
        <row r="180">
          <cell r="A180" t="str">
            <v>PP 1 coupe</v>
          </cell>
          <cell r="C180">
            <v>11</v>
          </cell>
          <cell r="D180">
            <v>60.51</v>
          </cell>
          <cell r="F180">
            <v>139</v>
          </cell>
          <cell r="G180">
            <v>46.62</v>
          </cell>
          <cell r="I180">
            <v>51.8</v>
          </cell>
          <cell r="K180">
            <v>60.51</v>
          </cell>
          <cell r="M180">
            <v>60.51</v>
          </cell>
          <cell r="N180">
            <v>51.8</v>
          </cell>
          <cell r="O180">
            <v>139</v>
          </cell>
          <cell r="R180">
            <v>51.8</v>
          </cell>
          <cell r="T180">
            <v>51.8</v>
          </cell>
          <cell r="V180">
            <v>51.8</v>
          </cell>
          <cell r="X180">
            <v>51.8</v>
          </cell>
          <cell r="Z180">
            <v>60.51</v>
          </cell>
          <cell r="AA180">
            <v>51.8</v>
          </cell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J180">
            <v>51.8</v>
          </cell>
          <cell r="AM180">
            <v>51.8</v>
          </cell>
          <cell r="AP180">
            <v>60.51</v>
          </cell>
          <cell r="AQ180">
            <v>60.51</v>
          </cell>
          <cell r="AR180">
            <v>51.8</v>
          </cell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O180">
            <v>51.8</v>
          </cell>
          <cell r="BP180">
            <v>64.75</v>
          </cell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F181">
            <v>149</v>
          </cell>
          <cell r="G181">
            <v>50.13</v>
          </cell>
          <cell r="I181">
            <v>55.7</v>
          </cell>
          <cell r="K181">
            <v>67.75</v>
          </cell>
          <cell r="M181">
            <v>67.75</v>
          </cell>
          <cell r="N181">
            <v>55.7</v>
          </cell>
          <cell r="O181">
            <v>149</v>
          </cell>
          <cell r="R181">
            <v>55.7</v>
          </cell>
          <cell r="T181">
            <v>55.7</v>
          </cell>
          <cell r="V181">
            <v>55.7</v>
          </cell>
          <cell r="X181">
            <v>55.7</v>
          </cell>
          <cell r="Z181">
            <v>67.75</v>
          </cell>
          <cell r="AA181">
            <v>55.7</v>
          </cell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J181">
            <v>55.7</v>
          </cell>
          <cell r="AM181">
            <v>55.7</v>
          </cell>
          <cell r="AP181">
            <v>67.75</v>
          </cell>
          <cell r="AQ181">
            <v>67.75</v>
          </cell>
          <cell r="AR181">
            <v>55.7</v>
          </cell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O181">
            <v>55.7</v>
          </cell>
          <cell r="BP181">
            <v>69.625</v>
          </cell>
        </row>
        <row r="182">
          <cell r="A182" t="str">
            <v>PT pâture</v>
          </cell>
          <cell r="C182">
            <v>13</v>
          </cell>
        </row>
        <row r="183">
          <cell r="A183" t="str">
            <v>PT 1 coupe</v>
          </cell>
          <cell r="C183">
            <v>14</v>
          </cell>
          <cell r="F183">
            <v>195</v>
          </cell>
          <cell r="G183">
            <v>88.92</v>
          </cell>
          <cell r="I183">
            <v>1.2</v>
          </cell>
          <cell r="M183">
            <v>98.8</v>
          </cell>
          <cell r="N183">
            <v>98.8</v>
          </cell>
          <cell r="O183">
            <v>195</v>
          </cell>
          <cell r="R183">
            <v>98.8</v>
          </cell>
          <cell r="T183">
            <v>98.8</v>
          </cell>
          <cell r="V183">
            <v>98.8</v>
          </cell>
          <cell r="X183">
            <v>98.8</v>
          </cell>
          <cell r="Z183">
            <v>98.8</v>
          </cell>
          <cell r="AA183">
            <v>98.8</v>
          </cell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J183">
            <v>98.8</v>
          </cell>
          <cell r="AM183">
            <v>98.8</v>
          </cell>
          <cell r="AQ183">
            <v>98.8</v>
          </cell>
          <cell r="AR183">
            <v>98.8</v>
          </cell>
          <cell r="AT183">
            <v>98.8</v>
          </cell>
          <cell r="AU183">
            <v>98.8</v>
          </cell>
          <cell r="AV183">
            <v>118.55999999999999</v>
          </cell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O183">
            <v>98.8</v>
          </cell>
          <cell r="BP183">
            <v>123.5</v>
          </cell>
        </row>
        <row r="184">
          <cell r="A184" t="str">
            <v>PT 2 coupes et plus</v>
          </cell>
          <cell r="C184">
            <v>15</v>
          </cell>
          <cell r="F184">
            <v>208</v>
          </cell>
          <cell r="G184">
            <v>112.68</v>
          </cell>
          <cell r="I184">
            <v>125.2</v>
          </cell>
          <cell r="K184">
            <v>125.2</v>
          </cell>
          <cell r="M184">
            <v>125.2</v>
          </cell>
          <cell r="N184">
            <v>125.2</v>
          </cell>
          <cell r="O184">
            <v>208</v>
          </cell>
          <cell r="R184">
            <v>125.2</v>
          </cell>
          <cell r="T184">
            <v>125.2</v>
          </cell>
          <cell r="V184">
            <v>125.2</v>
          </cell>
          <cell r="X184">
            <v>125.2</v>
          </cell>
          <cell r="Z184">
            <v>125.2</v>
          </cell>
          <cell r="AA184">
            <v>125.2</v>
          </cell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H184">
            <v>125.2</v>
          </cell>
          <cell r="AJ184">
            <v>125.2</v>
          </cell>
          <cell r="AM184">
            <v>125.2</v>
          </cell>
          <cell r="AP184">
            <v>125.2</v>
          </cell>
          <cell r="AQ184">
            <v>125.2</v>
          </cell>
          <cell r="AR184">
            <v>125.2</v>
          </cell>
          <cell r="AT184">
            <v>125.2</v>
          </cell>
          <cell r="AU184">
            <v>125.2</v>
          </cell>
          <cell r="AV184">
            <v>150.24</v>
          </cell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O184">
            <v>125.2</v>
          </cell>
          <cell r="BP184">
            <v>156.5</v>
          </cell>
        </row>
        <row r="185">
          <cell r="A185" t="str">
            <v>Dérobées (1ère année)</v>
          </cell>
          <cell r="C185">
            <v>16</v>
          </cell>
          <cell r="F185">
            <v>349</v>
          </cell>
          <cell r="G185">
            <v>175.5</v>
          </cell>
          <cell r="I185">
            <v>122.5</v>
          </cell>
          <cell r="M185">
            <v>122.5</v>
          </cell>
          <cell r="N185">
            <v>122.5</v>
          </cell>
          <cell r="O185">
            <v>349</v>
          </cell>
          <cell r="R185">
            <v>122.5</v>
          </cell>
          <cell r="T185">
            <v>122.5</v>
          </cell>
          <cell r="V185">
            <v>195</v>
          </cell>
          <cell r="X185">
            <v>195</v>
          </cell>
          <cell r="Z185">
            <v>122.5</v>
          </cell>
          <cell r="AA185">
            <v>122.5</v>
          </cell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J185">
            <v>195</v>
          </cell>
          <cell r="AM185">
            <v>195</v>
          </cell>
          <cell r="AQ185">
            <v>122.5</v>
          </cell>
          <cell r="AR185">
            <v>195</v>
          </cell>
          <cell r="AT185">
            <v>122.5</v>
          </cell>
          <cell r="AU185">
            <v>122.5</v>
          </cell>
          <cell r="AV185">
            <v>147</v>
          </cell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O185">
            <v>122.5</v>
          </cell>
          <cell r="BP185">
            <v>243.75</v>
          </cell>
        </row>
        <row r="186">
          <cell r="C186">
            <v>17</v>
          </cell>
        </row>
        <row r="187">
          <cell r="A187" t="str">
            <v>Charges de structure</v>
          </cell>
          <cell r="C187">
            <v>18</v>
          </cell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F188">
            <v>126</v>
          </cell>
          <cell r="G188">
            <v>86.5</v>
          </cell>
          <cell r="I188">
            <v>50</v>
          </cell>
          <cell r="K188">
            <v>32.6</v>
          </cell>
          <cell r="M188">
            <v>107</v>
          </cell>
          <cell r="N188">
            <v>107</v>
          </cell>
          <cell r="O188">
            <v>107</v>
          </cell>
          <cell r="R188">
            <v>50</v>
          </cell>
          <cell r="T188">
            <v>50</v>
          </cell>
          <cell r="V188">
            <v>86.5</v>
          </cell>
          <cell r="X188">
            <v>86.5</v>
          </cell>
          <cell r="Z188">
            <v>107</v>
          </cell>
          <cell r="AA188">
            <v>50</v>
          </cell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J188">
            <v>86.5</v>
          </cell>
          <cell r="AM188">
            <v>86.5</v>
          </cell>
          <cell r="AP188">
            <v>32.6</v>
          </cell>
          <cell r="AQ188">
            <v>107</v>
          </cell>
          <cell r="AR188">
            <v>86.5</v>
          </cell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O188">
            <v>50</v>
          </cell>
          <cell r="BP188">
            <v>86.5</v>
          </cell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F189">
            <v>3460</v>
          </cell>
          <cell r="G189">
            <v>750</v>
          </cell>
          <cell r="I189">
            <v>1500</v>
          </cell>
          <cell r="K189">
            <v>1500</v>
          </cell>
          <cell r="M189">
            <v>1085</v>
          </cell>
          <cell r="N189">
            <v>1085</v>
          </cell>
          <cell r="O189">
            <v>1470</v>
          </cell>
          <cell r="R189">
            <v>1500</v>
          </cell>
          <cell r="T189">
            <v>1500</v>
          </cell>
          <cell r="V189">
            <v>750</v>
          </cell>
          <cell r="X189">
            <v>750</v>
          </cell>
          <cell r="Z189">
            <v>1085</v>
          </cell>
          <cell r="AA189">
            <v>1500</v>
          </cell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J189">
            <v>750</v>
          </cell>
          <cell r="AM189">
            <v>750</v>
          </cell>
          <cell r="AP189">
            <v>1500</v>
          </cell>
          <cell r="AQ189">
            <v>1085</v>
          </cell>
          <cell r="AR189">
            <v>750</v>
          </cell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O189">
            <v>1500</v>
          </cell>
          <cell r="BP189">
            <v>750</v>
          </cell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F190">
            <v>16610</v>
          </cell>
          <cell r="G190">
            <v>5400</v>
          </cell>
          <cell r="I190">
            <v>5727</v>
          </cell>
          <cell r="K190">
            <v>19182</v>
          </cell>
          <cell r="M190">
            <v>2880</v>
          </cell>
          <cell r="N190">
            <v>2880</v>
          </cell>
          <cell r="O190">
            <v>4025</v>
          </cell>
          <cell r="R190">
            <v>5727</v>
          </cell>
          <cell r="T190">
            <v>5727</v>
          </cell>
          <cell r="V190">
            <v>5400</v>
          </cell>
          <cell r="X190">
            <v>5400</v>
          </cell>
          <cell r="Z190">
            <v>2880</v>
          </cell>
          <cell r="AA190">
            <v>5727</v>
          </cell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J190">
            <v>5400</v>
          </cell>
          <cell r="AM190">
            <v>5400</v>
          </cell>
          <cell r="AP190">
            <v>14386.5</v>
          </cell>
          <cell r="AQ190">
            <v>2880</v>
          </cell>
          <cell r="AR190">
            <v>5400</v>
          </cell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O190">
            <v>5727</v>
          </cell>
          <cell r="BP190">
            <v>5400</v>
          </cell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F191">
            <v>23300</v>
          </cell>
          <cell r="G191">
            <v>0</v>
          </cell>
          <cell r="I191">
            <v>0</v>
          </cell>
          <cell r="K191">
            <v>23300</v>
          </cell>
          <cell r="M191">
            <v>0</v>
          </cell>
          <cell r="N191">
            <v>0</v>
          </cell>
          <cell r="O191">
            <v>0</v>
          </cell>
          <cell r="R191">
            <v>0</v>
          </cell>
          <cell r="T191">
            <v>0</v>
          </cell>
          <cell r="V191">
            <v>0</v>
          </cell>
          <cell r="X191">
            <v>0</v>
          </cell>
          <cell r="Z191">
            <v>0</v>
          </cell>
          <cell r="AA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J191">
            <v>0</v>
          </cell>
          <cell r="AM191">
            <v>0</v>
          </cell>
          <cell r="AP191">
            <v>23300</v>
          </cell>
          <cell r="AQ191">
            <v>0</v>
          </cell>
          <cell r="AR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O191">
            <v>0</v>
          </cell>
          <cell r="BP191">
            <v>0</v>
          </cell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F192">
            <v>23693</v>
          </cell>
          <cell r="G192">
            <v>12964</v>
          </cell>
          <cell r="I192">
            <v>13787</v>
          </cell>
          <cell r="K192">
            <v>16000</v>
          </cell>
          <cell r="M192">
            <v>11000</v>
          </cell>
          <cell r="N192">
            <v>10873</v>
          </cell>
          <cell r="O192">
            <v>13000</v>
          </cell>
          <cell r="R192">
            <v>9587</v>
          </cell>
          <cell r="T192">
            <v>11988</v>
          </cell>
          <cell r="V192">
            <v>12964</v>
          </cell>
          <cell r="X192">
            <v>12964</v>
          </cell>
          <cell r="Z192">
            <v>11000</v>
          </cell>
          <cell r="AA192">
            <v>13787</v>
          </cell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J192">
            <v>12964</v>
          </cell>
          <cell r="AM192">
            <v>12964</v>
          </cell>
          <cell r="AP192">
            <v>15531</v>
          </cell>
          <cell r="AQ192">
            <v>8434</v>
          </cell>
          <cell r="AR192">
            <v>12964</v>
          </cell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O192">
            <v>13787</v>
          </cell>
          <cell r="BP192">
            <v>12964</v>
          </cell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F193">
            <v>491</v>
          </cell>
          <cell r="G193">
            <v>290.7</v>
          </cell>
          <cell r="I193">
            <v>345</v>
          </cell>
          <cell r="K193">
            <v>290.7</v>
          </cell>
          <cell r="M193">
            <v>307</v>
          </cell>
          <cell r="N193">
            <v>142</v>
          </cell>
          <cell r="O193">
            <v>197</v>
          </cell>
          <cell r="R193">
            <v>345</v>
          </cell>
          <cell r="T193">
            <v>345</v>
          </cell>
          <cell r="V193">
            <v>323</v>
          </cell>
          <cell r="X193">
            <v>323</v>
          </cell>
          <cell r="Z193">
            <v>307</v>
          </cell>
          <cell r="AA193">
            <v>345</v>
          </cell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J193">
            <v>323</v>
          </cell>
          <cell r="AM193">
            <v>323</v>
          </cell>
          <cell r="AP193">
            <v>336</v>
          </cell>
          <cell r="AQ193">
            <v>307</v>
          </cell>
          <cell r="AR193">
            <v>323</v>
          </cell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O193">
            <v>345</v>
          </cell>
          <cell r="BP193">
            <v>323</v>
          </cell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F194">
            <v>100</v>
          </cell>
          <cell r="G194">
            <v>60</v>
          </cell>
          <cell r="I194">
            <v>58</v>
          </cell>
          <cell r="K194">
            <v>60</v>
          </cell>
          <cell r="M194">
            <v>66</v>
          </cell>
          <cell r="N194">
            <v>66</v>
          </cell>
          <cell r="O194">
            <v>88</v>
          </cell>
          <cell r="R194">
            <v>58</v>
          </cell>
          <cell r="T194">
            <v>58</v>
          </cell>
          <cell r="V194">
            <v>66</v>
          </cell>
          <cell r="X194">
            <v>66</v>
          </cell>
          <cell r="Z194">
            <v>66</v>
          </cell>
          <cell r="AA194">
            <v>58</v>
          </cell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J194">
            <v>66</v>
          </cell>
          <cell r="AM194">
            <v>66</v>
          </cell>
          <cell r="AP194">
            <v>100</v>
          </cell>
          <cell r="AQ194">
            <v>66</v>
          </cell>
          <cell r="AR194">
            <v>66</v>
          </cell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O194">
            <v>58</v>
          </cell>
          <cell r="BP194">
            <v>66</v>
          </cell>
        </row>
        <row r="195">
          <cell r="C195">
            <v>26</v>
          </cell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F196">
            <v>28300</v>
          </cell>
          <cell r="G196">
            <v>11400</v>
          </cell>
          <cell r="I196">
            <v>16000</v>
          </cell>
          <cell r="K196">
            <v>11000</v>
          </cell>
          <cell r="M196">
            <v>4750</v>
          </cell>
          <cell r="N196">
            <v>4750</v>
          </cell>
          <cell r="O196">
            <v>9970</v>
          </cell>
          <cell r="R196">
            <v>13000</v>
          </cell>
          <cell r="T196">
            <v>14000</v>
          </cell>
          <cell r="V196">
            <v>17000</v>
          </cell>
          <cell r="X196">
            <v>17000</v>
          </cell>
          <cell r="Z196">
            <v>4750</v>
          </cell>
          <cell r="AA196">
            <v>18000</v>
          </cell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J196">
            <v>17000</v>
          </cell>
          <cell r="AM196">
            <v>17000</v>
          </cell>
          <cell r="AP196">
            <v>6000</v>
          </cell>
          <cell r="AQ196">
            <v>4750</v>
          </cell>
          <cell r="AR196">
            <v>17000</v>
          </cell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O196">
            <v>18000</v>
          </cell>
          <cell r="BP196">
            <v>11400</v>
          </cell>
        </row>
        <row r="197">
          <cell r="C197">
            <v>28</v>
          </cell>
        </row>
        <row r="198">
          <cell r="A198" t="str">
            <v>Engraissement des vaches de réformes</v>
          </cell>
          <cell r="C198">
            <v>29</v>
          </cell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M199">
            <v>1125</v>
          </cell>
          <cell r="N199">
            <v>1125</v>
          </cell>
          <cell r="O199">
            <v>600</v>
          </cell>
          <cell r="Z199">
            <v>1125</v>
          </cell>
          <cell r="AD199">
            <v>1125</v>
          </cell>
          <cell r="AE199">
            <v>600</v>
          </cell>
          <cell r="AF199">
            <v>1125</v>
          </cell>
          <cell r="AQ199">
            <v>1125</v>
          </cell>
          <cell r="AT199">
            <v>1125</v>
          </cell>
          <cell r="AU199">
            <v>1125</v>
          </cell>
          <cell r="AY199">
            <v>1125</v>
          </cell>
          <cell r="BC199">
            <v>1125</v>
          </cell>
          <cell r="BD199">
            <v>1125</v>
          </cell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M200">
            <v>300</v>
          </cell>
          <cell r="N200">
            <v>300</v>
          </cell>
          <cell r="O200">
            <v>300</v>
          </cell>
          <cell r="Z200">
            <v>300</v>
          </cell>
          <cell r="AD200">
            <v>300</v>
          </cell>
          <cell r="AE200">
            <v>300</v>
          </cell>
          <cell r="AF200">
            <v>300</v>
          </cell>
          <cell r="AQ200">
            <v>300</v>
          </cell>
          <cell r="AT200">
            <v>300</v>
          </cell>
          <cell r="AU200">
            <v>300</v>
          </cell>
          <cell r="AY200">
            <v>300</v>
          </cell>
          <cell r="BC200">
            <v>300</v>
          </cell>
          <cell r="BD200">
            <v>300</v>
          </cell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</row>
        <row r="204">
          <cell r="C204">
            <v>35</v>
          </cell>
        </row>
        <row r="205">
          <cell r="A205" t="str">
            <v>type concentrés 1 vaches réformes engraissés</v>
          </cell>
          <cell r="C205">
            <v>36</v>
          </cell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Z205" t="str">
            <v>2 -grain céréales à paille</v>
          </cell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Q205" t="str">
            <v>2 -grain céréales à paille</v>
          </cell>
          <cell r="AT205" t="str">
            <v>1 -maïs-grain</v>
          </cell>
          <cell r="AU205" t="str">
            <v>1 -maïs-grain</v>
          </cell>
          <cell r="AY205" t="str">
            <v>1 -maïs-grain</v>
          </cell>
          <cell r="BC205" t="str">
            <v>1 -maïs-grain</v>
          </cell>
          <cell r="BD205" t="str">
            <v>1 -maïs-grain</v>
          </cell>
        </row>
        <row r="206">
          <cell r="A206" t="str">
            <v>type concentrés 1 vaches réformes engraissés</v>
          </cell>
          <cell r="C206">
            <v>37</v>
          </cell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Z206" t="str">
            <v>6 -tourteaux soja</v>
          </cell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Q206" t="str">
            <v>6 -tourteaux soja</v>
          </cell>
          <cell r="AT206" t="str">
            <v>6 -tourteaux soja</v>
          </cell>
          <cell r="AU206" t="str">
            <v>6 -tourteaux soja</v>
          </cell>
          <cell r="AY206" t="str">
            <v>6 -tourteaux soja</v>
          </cell>
          <cell r="BC206" t="str">
            <v>6 -tourteaux soja</v>
          </cell>
          <cell r="BD206" t="str">
            <v>6 -tourteaux soja</v>
          </cell>
        </row>
        <row r="207">
          <cell r="A207" t="str">
            <v>type concentrés 1 vaches réformes engraissés</v>
          </cell>
          <cell r="C207">
            <v>38</v>
          </cell>
        </row>
        <row r="208">
          <cell r="A208" t="str">
            <v>type  concentrés 1 vaches réformes engraissés</v>
          </cell>
          <cell r="C208">
            <v>39</v>
          </cell>
        </row>
        <row r="209">
          <cell r="A209" t="str">
            <v>type concentrés 1 vaches réformes engraissés</v>
          </cell>
          <cell r="C209">
            <v>40</v>
          </cell>
        </row>
        <row r="211">
          <cell r="A211" t="str">
            <v>CO cultures (y.c. maïs-ensilage)</v>
          </cell>
        </row>
        <row r="212">
          <cell r="A212" t="str">
            <v>blé tendre</v>
          </cell>
          <cell r="N212">
            <v>374</v>
          </cell>
          <cell r="O212">
            <v>449</v>
          </cell>
          <cell r="AD212">
            <v>374</v>
          </cell>
          <cell r="AE212">
            <v>449</v>
          </cell>
          <cell r="AT212">
            <v>374</v>
          </cell>
          <cell r="AU212">
            <v>374</v>
          </cell>
          <cell r="AY212">
            <v>374</v>
          </cell>
          <cell r="BC212">
            <v>374</v>
          </cell>
          <cell r="BD212">
            <v>374</v>
          </cell>
        </row>
        <row r="213">
          <cell r="A213" t="str">
            <v>maïs ensil</v>
          </cell>
          <cell r="F213">
            <v>505</v>
          </cell>
          <cell r="G213">
            <v>464</v>
          </cell>
          <cell r="I213">
            <v>449</v>
          </cell>
          <cell r="K213">
            <v>464</v>
          </cell>
          <cell r="M213">
            <v>562</v>
          </cell>
          <cell r="N213">
            <v>562</v>
          </cell>
          <cell r="O213">
            <v>586</v>
          </cell>
          <cell r="R213">
            <v>449</v>
          </cell>
          <cell r="T213">
            <v>449</v>
          </cell>
          <cell r="V213">
            <v>464</v>
          </cell>
          <cell r="X213">
            <v>464</v>
          </cell>
          <cell r="Z213">
            <v>562</v>
          </cell>
          <cell r="AA213">
            <v>449</v>
          </cell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H213">
            <v>464</v>
          </cell>
          <cell r="AJ213">
            <v>464</v>
          </cell>
          <cell r="AM213">
            <v>464</v>
          </cell>
          <cell r="AP213">
            <v>464</v>
          </cell>
          <cell r="AQ213">
            <v>562</v>
          </cell>
          <cell r="AR213">
            <v>464</v>
          </cell>
          <cell r="AT213">
            <v>562</v>
          </cell>
          <cell r="AU213">
            <v>562</v>
          </cell>
          <cell r="AV213">
            <v>449</v>
          </cell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O213">
            <v>449</v>
          </cell>
          <cell r="BP213">
            <v>464</v>
          </cell>
        </row>
        <row r="214">
          <cell r="A214" t="str">
            <v>maïs grain</v>
          </cell>
          <cell r="F214">
            <v>425</v>
          </cell>
          <cell r="G214">
            <v>376</v>
          </cell>
          <cell r="I214">
            <v>362</v>
          </cell>
          <cell r="K214">
            <v>376</v>
          </cell>
          <cell r="M214">
            <v>669</v>
          </cell>
          <cell r="N214">
            <v>669</v>
          </cell>
          <cell r="O214">
            <v>727</v>
          </cell>
          <cell r="R214">
            <v>362</v>
          </cell>
          <cell r="T214">
            <v>362</v>
          </cell>
          <cell r="V214">
            <v>376</v>
          </cell>
          <cell r="X214">
            <v>376</v>
          </cell>
          <cell r="Z214">
            <v>669</v>
          </cell>
          <cell r="AA214">
            <v>362</v>
          </cell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H214">
            <v>376</v>
          </cell>
          <cell r="AJ214">
            <v>376</v>
          </cell>
          <cell r="AM214">
            <v>376</v>
          </cell>
          <cell r="AP214">
            <v>376</v>
          </cell>
          <cell r="AQ214">
            <v>669</v>
          </cell>
          <cell r="AR214">
            <v>376</v>
          </cell>
          <cell r="AT214">
            <v>669</v>
          </cell>
          <cell r="AU214">
            <v>669</v>
          </cell>
          <cell r="AV214">
            <v>362</v>
          </cell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O214">
            <v>362</v>
          </cell>
          <cell r="BP214">
            <v>376</v>
          </cell>
        </row>
        <row r="215">
          <cell r="A215" t="str">
            <v>maïs humid</v>
          </cell>
          <cell r="N215">
            <v>562</v>
          </cell>
          <cell r="O215">
            <v>586</v>
          </cell>
          <cell r="AD215">
            <v>562</v>
          </cell>
          <cell r="AE215">
            <v>586</v>
          </cell>
          <cell r="AT215">
            <v>562</v>
          </cell>
          <cell r="AU215">
            <v>562</v>
          </cell>
          <cell r="AY215">
            <v>562</v>
          </cell>
          <cell r="BC215">
            <v>562</v>
          </cell>
          <cell r="BD215">
            <v>562</v>
          </cell>
        </row>
        <row r="216">
          <cell r="A216" t="str">
            <v>orge hiver</v>
          </cell>
          <cell r="N216">
            <v>374</v>
          </cell>
          <cell r="O216">
            <v>449</v>
          </cell>
          <cell r="AD216">
            <v>374</v>
          </cell>
          <cell r="AE216">
            <v>449</v>
          </cell>
          <cell r="AT216">
            <v>374</v>
          </cell>
          <cell r="AU216">
            <v>374</v>
          </cell>
          <cell r="AY216">
            <v>374</v>
          </cell>
          <cell r="BC216">
            <v>374</v>
          </cell>
          <cell r="BD216">
            <v>374</v>
          </cell>
        </row>
        <row r="217">
          <cell r="A217" t="str">
            <v xml:space="preserve">soja zone </v>
          </cell>
          <cell r="F217">
            <v>420</v>
          </cell>
          <cell r="N217">
            <v>424</v>
          </cell>
          <cell r="O217">
            <v>420</v>
          </cell>
          <cell r="AD217">
            <v>424</v>
          </cell>
          <cell r="AE217">
            <v>420</v>
          </cell>
          <cell r="AT217">
            <v>424</v>
          </cell>
          <cell r="AU217">
            <v>424</v>
          </cell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</row>
        <row r="218">
          <cell r="A218" t="str">
            <v>triticale</v>
          </cell>
          <cell r="I218">
            <v>137</v>
          </cell>
          <cell r="N218">
            <v>374</v>
          </cell>
          <cell r="O218">
            <v>449</v>
          </cell>
          <cell r="R218">
            <v>137</v>
          </cell>
          <cell r="T218">
            <v>137</v>
          </cell>
          <cell r="AA218">
            <v>137</v>
          </cell>
          <cell r="AC218">
            <v>137</v>
          </cell>
          <cell r="AD218">
            <v>374</v>
          </cell>
          <cell r="AE218">
            <v>449</v>
          </cell>
          <cell r="AT218">
            <v>374</v>
          </cell>
          <cell r="AU218">
            <v>374</v>
          </cell>
          <cell r="AV218">
            <v>137</v>
          </cell>
          <cell r="AX218">
            <v>137</v>
          </cell>
          <cell r="AY218">
            <v>374</v>
          </cell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O218">
            <v>137</v>
          </cell>
        </row>
        <row r="220">
          <cell r="A220" t="str">
            <v>engraissement des vaches de réforme (%)</v>
          </cell>
          <cell r="E220">
            <v>0</v>
          </cell>
          <cell r="F220">
            <v>100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Z220">
            <v>20</v>
          </cell>
          <cell r="AD220">
            <v>50</v>
          </cell>
          <cell r="AE220">
            <v>100</v>
          </cell>
          <cell r="AF220">
            <v>20</v>
          </cell>
          <cell r="AT220">
            <v>50</v>
          </cell>
          <cell r="AU220">
            <v>50</v>
          </cell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O220">
            <v>0</v>
          </cell>
          <cell r="BQ220">
            <v>0</v>
          </cell>
        </row>
      </sheetData>
      <sheetData sheetId="2">
        <row r="4">
          <cell r="A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K6">
            <v>0</v>
          </cell>
          <cell r="L6">
            <v>3.8000000000000003</v>
          </cell>
          <cell r="M6">
            <v>0</v>
          </cell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K7">
            <v>0</v>
          </cell>
          <cell r="L7">
            <v>1.5</v>
          </cell>
          <cell r="M7">
            <v>0</v>
          </cell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K14">
            <v>0</v>
          </cell>
          <cell r="L14">
            <v>4</v>
          </cell>
          <cell r="M14">
            <v>0</v>
          </cell>
          <cell r="N14">
            <v>1</v>
          </cell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K17">
            <v>5.2965000000000009</v>
          </cell>
          <cell r="L17">
            <v>5.2965000000000009</v>
          </cell>
          <cell r="M17">
            <v>2</v>
          </cell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K18">
            <v>0</v>
          </cell>
          <cell r="L18">
            <v>4</v>
          </cell>
          <cell r="M18">
            <v>0</v>
          </cell>
          <cell r="N18">
            <v>1</v>
          </cell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K19">
            <v>0</v>
          </cell>
          <cell r="L19">
            <v>1.49</v>
          </cell>
          <cell r="M19">
            <v>0</v>
          </cell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K20">
            <v>0</v>
          </cell>
          <cell r="L20">
            <v>1.5</v>
          </cell>
          <cell r="M20">
            <v>0</v>
          </cell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K21">
            <v>0</v>
          </cell>
          <cell r="L21">
            <v>0</v>
          </cell>
          <cell r="M21">
            <v>0</v>
          </cell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K32">
            <v>4</v>
          </cell>
          <cell r="L32">
            <v>4</v>
          </cell>
          <cell r="M32">
            <v>1</v>
          </cell>
          <cell r="N32">
            <v>1</v>
          </cell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P33">
            <v>1</v>
          </cell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K34">
            <v>7</v>
          </cell>
          <cell r="L34">
            <v>7</v>
          </cell>
          <cell r="M34">
            <v>1</v>
          </cell>
          <cell r="P34">
            <v>1</v>
          </cell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K38">
            <v>0</v>
          </cell>
          <cell r="L38">
            <v>4</v>
          </cell>
          <cell r="M38">
            <v>0</v>
          </cell>
          <cell r="N38">
            <v>1</v>
          </cell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K39">
            <v>0</v>
          </cell>
          <cell r="L39">
            <v>0.99999999999999989</v>
          </cell>
          <cell r="M39">
            <v>0</v>
          </cell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K40">
            <v>0</v>
          </cell>
          <cell r="L40">
            <v>1</v>
          </cell>
          <cell r="M40">
            <v>0</v>
          </cell>
          <cell r="Q40" t="str">
            <v>à vérif</v>
          </cell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K41">
            <v>0</v>
          </cell>
          <cell r="L41">
            <v>1</v>
          </cell>
          <cell r="M41">
            <v>0</v>
          </cell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K42">
            <v>10.5</v>
          </cell>
          <cell r="L42">
            <v>10.5</v>
          </cell>
          <cell r="M42">
            <v>3</v>
          </cell>
          <cell r="Q42" t="str">
            <v xml:space="preserve">à vérif </v>
          </cell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K43">
            <v>8</v>
          </cell>
          <cell r="L43">
            <v>8</v>
          </cell>
          <cell r="M43">
            <v>2</v>
          </cell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K44">
            <v>0</v>
          </cell>
          <cell r="L44">
            <v>0</v>
          </cell>
          <cell r="M44">
            <v>0</v>
          </cell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K46">
            <v>9.8000000000000007</v>
          </cell>
          <cell r="L46">
            <v>9.8000000000000007</v>
          </cell>
          <cell r="M46">
            <v>3</v>
          </cell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K47">
            <v>4</v>
          </cell>
          <cell r="L47">
            <v>10.5</v>
          </cell>
          <cell r="M47">
            <v>1</v>
          </cell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K48">
            <v>0</v>
          </cell>
          <cell r="L48">
            <v>0</v>
          </cell>
          <cell r="M48">
            <v>0</v>
          </cell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K49">
            <v>4</v>
          </cell>
          <cell r="L49">
            <v>4</v>
          </cell>
          <cell r="M49">
            <v>1</v>
          </cell>
          <cell r="N49">
            <v>1</v>
          </cell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K50">
            <v>0</v>
          </cell>
          <cell r="L50">
            <v>8.1999999999999993</v>
          </cell>
          <cell r="M50">
            <v>0</v>
          </cell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K51">
            <v>4.8150000000000004</v>
          </cell>
          <cell r="L51">
            <v>4.8150000000000004</v>
          </cell>
          <cell r="M51">
            <v>3</v>
          </cell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K52">
            <v>4.4940000000000007</v>
          </cell>
          <cell r="L52">
            <v>4.4940000000000007</v>
          </cell>
          <cell r="M52">
            <v>3</v>
          </cell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K53">
            <v>6.9550000000000001</v>
          </cell>
          <cell r="L53">
            <v>6.9550000000000001</v>
          </cell>
          <cell r="M53">
            <v>3</v>
          </cell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K54">
            <v>5</v>
          </cell>
          <cell r="L54">
            <v>5</v>
          </cell>
          <cell r="M54">
            <v>2</v>
          </cell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K55">
            <v>8</v>
          </cell>
          <cell r="L55">
            <v>8</v>
          </cell>
          <cell r="M55">
            <v>3</v>
          </cell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K63">
            <v>7.5</v>
          </cell>
          <cell r="L63">
            <v>7.5</v>
          </cell>
          <cell r="M63">
            <v>2</v>
          </cell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K73">
            <v>1.9800000000000002</v>
          </cell>
          <cell r="L73">
            <v>1.9800000000000002</v>
          </cell>
          <cell r="M73">
            <v>1</v>
          </cell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K74">
            <v>1.9800000000000002</v>
          </cell>
          <cell r="L74">
            <v>1.9800000000000002</v>
          </cell>
          <cell r="M74">
            <v>1</v>
          </cell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L76">
            <v>0</v>
          </cell>
          <cell r="M76">
            <v>1</v>
          </cell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K79">
            <v>2.8</v>
          </cell>
          <cell r="L79">
            <v>5.8999999999999995</v>
          </cell>
          <cell r="M79">
            <v>1</v>
          </cell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K92">
            <v>0</v>
          </cell>
          <cell r="L92">
            <v>1.49</v>
          </cell>
          <cell r="M92">
            <v>0</v>
          </cell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K93">
            <v>0</v>
          </cell>
          <cell r="L93">
            <v>1.5</v>
          </cell>
          <cell r="M93">
            <v>0</v>
          </cell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K95">
            <v>7</v>
          </cell>
          <cell r="L95">
            <v>7</v>
          </cell>
          <cell r="M95">
            <v>3</v>
          </cell>
          <cell r="O95">
            <v>1</v>
          </cell>
          <cell r="P95">
            <v>1</v>
          </cell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K96">
            <v>5</v>
          </cell>
          <cell r="L96">
            <v>8</v>
          </cell>
          <cell r="M96">
            <v>2</v>
          </cell>
          <cell r="O96">
            <v>1</v>
          </cell>
          <cell r="P96">
            <v>1</v>
          </cell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K97">
            <v>0</v>
          </cell>
          <cell r="L97">
            <v>1.49</v>
          </cell>
          <cell r="M97">
            <v>0</v>
          </cell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K98">
            <v>0</v>
          </cell>
          <cell r="L98">
            <v>1.49</v>
          </cell>
          <cell r="M98">
            <v>0</v>
          </cell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K99">
            <v>0</v>
          </cell>
          <cell r="L99">
            <v>1.5</v>
          </cell>
          <cell r="M99">
            <v>0</v>
          </cell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K100">
            <v>0</v>
          </cell>
          <cell r="L100">
            <v>1.5</v>
          </cell>
          <cell r="M100">
            <v>0</v>
          </cell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K101">
            <v>0</v>
          </cell>
          <cell r="L101">
            <v>1.5</v>
          </cell>
          <cell r="M101">
            <v>0</v>
          </cell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K102">
            <v>7</v>
          </cell>
          <cell r="L102">
            <v>7</v>
          </cell>
          <cell r="M102">
            <v>3</v>
          </cell>
          <cell r="O102">
            <v>1</v>
          </cell>
          <cell r="P102">
            <v>1</v>
          </cell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K103">
            <v>0</v>
          </cell>
          <cell r="L103">
            <v>5.6</v>
          </cell>
          <cell r="M103">
            <v>0</v>
          </cell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K106">
            <v>1.5</v>
          </cell>
          <cell r="L106">
            <v>4</v>
          </cell>
          <cell r="M106">
            <v>1</v>
          </cell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K107">
            <v>3.8</v>
          </cell>
          <cell r="L107">
            <v>6.1</v>
          </cell>
          <cell r="M107">
            <v>2</v>
          </cell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K108">
            <v>0</v>
          </cell>
          <cell r="L108">
            <v>0.75</v>
          </cell>
          <cell r="M108">
            <v>0</v>
          </cell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K110">
            <v>0</v>
          </cell>
          <cell r="M110">
            <v>0</v>
          </cell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K111">
            <v>0</v>
          </cell>
          <cell r="L111">
            <v>3.8000000000000003</v>
          </cell>
          <cell r="M111">
            <v>0</v>
          </cell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K112">
            <v>1.5</v>
          </cell>
          <cell r="L112">
            <v>4</v>
          </cell>
          <cell r="M112">
            <v>1</v>
          </cell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K113">
            <v>0</v>
          </cell>
          <cell r="L113">
            <v>5.2</v>
          </cell>
          <cell r="M113">
            <v>0</v>
          </cell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K114">
            <v>2.8</v>
          </cell>
          <cell r="L114">
            <v>5.8999999999999995</v>
          </cell>
          <cell r="M114">
            <v>1</v>
          </cell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K115">
            <v>3.8</v>
          </cell>
          <cell r="L115">
            <v>6.1</v>
          </cell>
          <cell r="M115">
            <v>2</v>
          </cell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K116">
            <v>0</v>
          </cell>
          <cell r="L116">
            <v>3.8000000000000003</v>
          </cell>
          <cell r="M116">
            <v>0</v>
          </cell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K117">
            <v>1.5</v>
          </cell>
          <cell r="L117">
            <v>4</v>
          </cell>
          <cell r="M117">
            <v>1</v>
          </cell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K118">
            <v>0</v>
          </cell>
          <cell r="L118">
            <v>5.2</v>
          </cell>
          <cell r="M118">
            <v>0</v>
          </cell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K119">
            <v>2.8</v>
          </cell>
          <cell r="L119">
            <v>5.8999999999999995</v>
          </cell>
          <cell r="M119">
            <v>1</v>
          </cell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K120">
            <v>3.8</v>
          </cell>
          <cell r="L120">
            <v>6.1</v>
          </cell>
          <cell r="M120">
            <v>2</v>
          </cell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L121">
            <v>0.75</v>
          </cell>
          <cell r="M121">
            <v>0</v>
          </cell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K122">
            <v>0</v>
          </cell>
          <cell r="L122">
            <v>0.75</v>
          </cell>
          <cell r="M122">
            <v>0</v>
          </cell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K123">
            <v>0</v>
          </cell>
          <cell r="L123">
            <v>0.75</v>
          </cell>
          <cell r="M123">
            <v>0</v>
          </cell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K125">
            <v>2.2000000000000002</v>
          </cell>
          <cell r="L125">
            <v>2.2000000000000002</v>
          </cell>
          <cell r="M125">
            <v>1</v>
          </cell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K126">
            <v>5.2</v>
          </cell>
          <cell r="L126">
            <v>5.2</v>
          </cell>
          <cell r="M126">
            <v>2</v>
          </cell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K128">
            <v>2.2000000000000002</v>
          </cell>
          <cell r="L128">
            <v>2.2000000000000002</v>
          </cell>
          <cell r="M128">
            <v>1</v>
          </cell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K129">
            <v>3.2</v>
          </cell>
          <cell r="L129">
            <v>3.2</v>
          </cell>
          <cell r="M129">
            <v>2</v>
          </cell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K130">
            <v>7</v>
          </cell>
          <cell r="L130">
            <v>8.5</v>
          </cell>
          <cell r="M130">
            <v>3</v>
          </cell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K131">
            <v>2.2000000000000002</v>
          </cell>
          <cell r="L131">
            <v>2.2000000000000002</v>
          </cell>
          <cell r="M131">
            <v>1</v>
          </cell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K132">
            <v>3.2</v>
          </cell>
          <cell r="L132">
            <v>3.2</v>
          </cell>
          <cell r="M132">
            <v>2</v>
          </cell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K133">
            <v>7</v>
          </cell>
          <cell r="L133">
            <v>8.5</v>
          </cell>
          <cell r="M133">
            <v>3</v>
          </cell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K134">
            <v>5</v>
          </cell>
          <cell r="L134">
            <v>8</v>
          </cell>
          <cell r="M134">
            <v>2</v>
          </cell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K135">
            <v>7</v>
          </cell>
          <cell r="L135">
            <v>7</v>
          </cell>
          <cell r="M135">
            <v>3</v>
          </cell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K136">
            <v>7</v>
          </cell>
          <cell r="L136">
            <v>8.5</v>
          </cell>
          <cell r="M136">
            <v>3</v>
          </cell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K137">
            <v>5</v>
          </cell>
          <cell r="L137">
            <v>8</v>
          </cell>
          <cell r="M137">
            <v>2</v>
          </cell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K138">
            <v>7</v>
          </cell>
          <cell r="L138">
            <v>7</v>
          </cell>
          <cell r="M138">
            <v>3</v>
          </cell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K139">
            <v>0</v>
          </cell>
          <cell r="L139">
            <v>0.75</v>
          </cell>
          <cell r="M139">
            <v>0</v>
          </cell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K140">
            <v>0</v>
          </cell>
          <cell r="L140">
            <v>0.75</v>
          </cell>
          <cell r="M140">
            <v>0</v>
          </cell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K141">
            <v>0</v>
          </cell>
          <cell r="L141">
            <v>0.75</v>
          </cell>
          <cell r="M141">
            <v>0</v>
          </cell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K142">
            <v>0</v>
          </cell>
          <cell r="L142">
            <v>0.75</v>
          </cell>
          <cell r="M142">
            <v>0</v>
          </cell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K143">
            <v>0</v>
          </cell>
          <cell r="L143">
            <v>0.75</v>
          </cell>
          <cell r="M143">
            <v>0</v>
          </cell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K144">
            <v>0</v>
          </cell>
          <cell r="L144">
            <v>0.7</v>
          </cell>
          <cell r="M144">
            <v>0</v>
          </cell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K145">
            <v>0</v>
          </cell>
          <cell r="L145">
            <v>0.7</v>
          </cell>
          <cell r="M145">
            <v>0</v>
          </cell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K146">
            <v>0</v>
          </cell>
          <cell r="L146">
            <v>0.7</v>
          </cell>
          <cell r="M146">
            <v>0</v>
          </cell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K147">
            <v>0</v>
          </cell>
          <cell r="L147">
            <v>0.7</v>
          </cell>
          <cell r="M147">
            <v>0</v>
          </cell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K148">
            <v>0</v>
          </cell>
          <cell r="L148">
            <v>0.75</v>
          </cell>
          <cell r="M148">
            <v>0</v>
          </cell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K149">
            <v>0</v>
          </cell>
          <cell r="L149">
            <v>0.75</v>
          </cell>
          <cell r="M149">
            <v>0</v>
          </cell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K150">
            <v>0</v>
          </cell>
          <cell r="L150">
            <v>0.75</v>
          </cell>
          <cell r="M150">
            <v>0</v>
          </cell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K151">
            <v>0</v>
          </cell>
          <cell r="L151">
            <v>0.75</v>
          </cell>
          <cell r="M151">
            <v>0</v>
          </cell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K152">
            <v>0</v>
          </cell>
          <cell r="L152">
            <v>1.2</v>
          </cell>
          <cell r="M152">
            <v>0</v>
          </cell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K153">
            <v>0</v>
          </cell>
          <cell r="L153">
            <v>1.2</v>
          </cell>
          <cell r="M153">
            <v>0</v>
          </cell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K154">
            <v>0</v>
          </cell>
          <cell r="L154">
            <v>1.2</v>
          </cell>
          <cell r="M154">
            <v>0</v>
          </cell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K155">
            <v>0</v>
          </cell>
          <cell r="L155">
            <v>1.2</v>
          </cell>
          <cell r="M155">
            <v>0</v>
          </cell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K166">
            <v>2.8800000000000003</v>
          </cell>
          <cell r="L166">
            <v>2.8800000000000003</v>
          </cell>
          <cell r="M166">
            <v>2</v>
          </cell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K168">
            <v>2.8800000000000003</v>
          </cell>
          <cell r="L168">
            <v>2.8800000000000003</v>
          </cell>
          <cell r="M168">
            <v>2</v>
          </cell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K174">
            <v>7.5</v>
          </cell>
          <cell r="L174">
            <v>10.9</v>
          </cell>
          <cell r="M174">
            <v>2</v>
          </cell>
          <cell r="P174">
            <v>1</v>
          </cell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K175">
            <v>7.5</v>
          </cell>
          <cell r="L175">
            <v>10.9</v>
          </cell>
          <cell r="M175">
            <v>2</v>
          </cell>
          <cell r="P175">
            <v>1</v>
          </cell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K176">
            <v>7.5</v>
          </cell>
          <cell r="L176">
            <v>10.9</v>
          </cell>
          <cell r="M176">
            <v>2</v>
          </cell>
          <cell r="P176">
            <v>1</v>
          </cell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K177">
            <v>8</v>
          </cell>
          <cell r="L177">
            <v>10.3</v>
          </cell>
          <cell r="M177">
            <v>2</v>
          </cell>
          <cell r="P177">
            <v>1</v>
          </cell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K178">
            <v>8</v>
          </cell>
          <cell r="L178">
            <v>10.3</v>
          </cell>
          <cell r="M178">
            <v>2</v>
          </cell>
          <cell r="P178">
            <v>1</v>
          </cell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K179">
            <v>8</v>
          </cell>
          <cell r="L179">
            <v>10.3</v>
          </cell>
          <cell r="M179">
            <v>2</v>
          </cell>
          <cell r="P179">
            <v>1</v>
          </cell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K180">
            <v>8</v>
          </cell>
          <cell r="L180">
            <v>8</v>
          </cell>
          <cell r="M180">
            <v>2</v>
          </cell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K181">
            <v>8</v>
          </cell>
          <cell r="L181">
            <v>8</v>
          </cell>
          <cell r="M181">
            <v>2</v>
          </cell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K182">
            <v>8</v>
          </cell>
          <cell r="L182">
            <v>8</v>
          </cell>
          <cell r="M182">
            <v>2</v>
          </cell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K183">
            <v>8</v>
          </cell>
          <cell r="L183">
            <v>8</v>
          </cell>
          <cell r="M183">
            <v>2</v>
          </cell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K184">
            <v>8</v>
          </cell>
          <cell r="L184">
            <v>8</v>
          </cell>
          <cell r="M184">
            <v>2</v>
          </cell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K186">
            <v>3.85</v>
          </cell>
          <cell r="L186">
            <v>9.5500000000000007</v>
          </cell>
          <cell r="M186">
            <v>1</v>
          </cell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K187">
            <v>6</v>
          </cell>
          <cell r="L187">
            <v>6</v>
          </cell>
          <cell r="M187">
            <v>3</v>
          </cell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K188">
            <v>3.5</v>
          </cell>
          <cell r="L188">
            <v>7.6280000000000001</v>
          </cell>
          <cell r="M188">
            <v>2</v>
          </cell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K189">
            <v>2.0628000000000002</v>
          </cell>
          <cell r="L189">
            <v>4.9787999999999997</v>
          </cell>
          <cell r="M189">
            <v>2</v>
          </cell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L204">
            <v>4.2</v>
          </cell>
          <cell r="M204">
            <v>0</v>
          </cell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K205">
            <v>2.7</v>
          </cell>
          <cell r="L205">
            <v>5.8000000000000007</v>
          </cell>
          <cell r="M205">
            <v>2</v>
          </cell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K206">
            <v>5</v>
          </cell>
          <cell r="L206">
            <v>5.8</v>
          </cell>
          <cell r="M206">
            <v>2</v>
          </cell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K207">
            <v>3.4</v>
          </cell>
          <cell r="L207">
            <v>4.05</v>
          </cell>
          <cell r="M207">
            <v>2</v>
          </cell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K208">
            <v>2</v>
          </cell>
          <cell r="L208">
            <v>6.5</v>
          </cell>
          <cell r="M208">
            <v>1</v>
          </cell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K209">
            <v>1.5</v>
          </cell>
          <cell r="L209">
            <v>5.0999999999999996</v>
          </cell>
          <cell r="M209">
            <v>1</v>
          </cell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K210">
            <v>1</v>
          </cell>
          <cell r="L210">
            <v>3.35</v>
          </cell>
          <cell r="M210">
            <v>1</v>
          </cell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K211">
            <v>0</v>
          </cell>
          <cell r="L211">
            <v>0.8</v>
          </cell>
          <cell r="M211">
            <v>0</v>
          </cell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K212">
            <v>3.27</v>
          </cell>
          <cell r="L212">
            <v>5.5430000000000001</v>
          </cell>
          <cell r="M212">
            <v>1</v>
          </cell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K213">
            <v>0</v>
          </cell>
          <cell r="L213">
            <v>0.89999999999999991</v>
          </cell>
          <cell r="M213">
            <v>0</v>
          </cell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L214">
            <v>3.5999999999999996</v>
          </cell>
          <cell r="M214">
            <v>0</v>
          </cell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K215">
            <v>0</v>
          </cell>
          <cell r="L215">
            <v>7.5</v>
          </cell>
          <cell r="M215">
            <v>0</v>
          </cell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K216">
            <v>6.5</v>
          </cell>
          <cell r="L216">
            <v>9.6999999999999993</v>
          </cell>
          <cell r="M216">
            <v>3</v>
          </cell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K217">
            <v>5</v>
          </cell>
          <cell r="L217">
            <v>9</v>
          </cell>
          <cell r="M217">
            <v>2</v>
          </cell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K218">
            <v>3.27</v>
          </cell>
          <cell r="L218">
            <v>7.33</v>
          </cell>
          <cell r="M218">
            <v>1</v>
          </cell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K219">
            <v>0</v>
          </cell>
          <cell r="L219">
            <v>4.5</v>
          </cell>
          <cell r="M219">
            <v>0</v>
          </cell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K220">
            <v>0</v>
          </cell>
          <cell r="L220">
            <v>1.3</v>
          </cell>
          <cell r="M220">
            <v>0</v>
          </cell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K221">
            <v>5</v>
          </cell>
          <cell r="L221">
            <v>7.5</v>
          </cell>
          <cell r="M221">
            <v>2</v>
          </cell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K222">
            <v>3.75</v>
          </cell>
          <cell r="L222">
            <v>6.0974400000000006</v>
          </cell>
          <cell r="M222">
            <v>1</v>
          </cell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K223">
            <v>0</v>
          </cell>
          <cell r="L223">
            <v>1.5</v>
          </cell>
          <cell r="M223">
            <v>0</v>
          </cell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K224">
            <v>6</v>
          </cell>
          <cell r="L224">
            <v>10</v>
          </cell>
          <cell r="M224">
            <v>2</v>
          </cell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K225">
            <v>6</v>
          </cell>
          <cell r="L225">
            <v>10</v>
          </cell>
          <cell r="M225">
            <v>2</v>
          </cell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K226">
            <v>5.5</v>
          </cell>
          <cell r="L226">
            <v>7</v>
          </cell>
          <cell r="M226">
            <v>2</v>
          </cell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K227">
            <v>4.5</v>
          </cell>
          <cell r="L227">
            <v>7.62</v>
          </cell>
          <cell r="M227">
            <v>3</v>
          </cell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K228">
            <v>3.5</v>
          </cell>
          <cell r="L228">
            <v>5</v>
          </cell>
          <cell r="M228">
            <v>2</v>
          </cell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K229">
            <v>5</v>
          </cell>
          <cell r="L229">
            <v>9.02</v>
          </cell>
          <cell r="M229">
            <v>2</v>
          </cell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K230">
            <v>5</v>
          </cell>
          <cell r="L230">
            <v>9.02</v>
          </cell>
          <cell r="M230">
            <v>2</v>
          </cell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K231">
            <v>3</v>
          </cell>
          <cell r="L231">
            <v>7.1465780000000008</v>
          </cell>
          <cell r="M231">
            <v>1</v>
          </cell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L232">
            <v>3.5</v>
          </cell>
          <cell r="M232">
            <v>0</v>
          </cell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G233">
            <v>0.3</v>
          </cell>
          <cell r="H233">
            <v>0.1</v>
          </cell>
          <cell r="I233">
            <v>0.54024300000000003</v>
          </cell>
          <cell r="K233">
            <v>6</v>
          </cell>
          <cell r="L233">
            <v>8.4402430000000006</v>
          </cell>
          <cell r="M233">
            <v>3</v>
          </cell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L234">
            <v>1</v>
          </cell>
          <cell r="M234">
            <v>1</v>
          </cell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K235">
            <v>5.5</v>
          </cell>
          <cell r="L235">
            <v>7.7902430000000003</v>
          </cell>
          <cell r="M235">
            <v>3</v>
          </cell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L236">
            <v>6</v>
          </cell>
          <cell r="M236">
            <v>0</v>
          </cell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L237">
            <v>4.8</v>
          </cell>
          <cell r="M237">
            <v>0</v>
          </cell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L238">
            <v>3.8</v>
          </cell>
          <cell r="M238">
            <v>0</v>
          </cell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K239">
            <v>3.8</v>
          </cell>
          <cell r="L239">
            <v>6.9</v>
          </cell>
          <cell r="M239">
            <v>2</v>
          </cell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K240">
            <v>3.8</v>
          </cell>
          <cell r="L240">
            <v>9.8000000000000007</v>
          </cell>
          <cell r="M240">
            <v>1</v>
          </cell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K241">
            <v>6.3</v>
          </cell>
          <cell r="L241">
            <v>9.8000000000000007</v>
          </cell>
          <cell r="M241">
            <v>2</v>
          </cell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K242">
            <v>0</v>
          </cell>
          <cell r="L242">
            <v>9.7999999999999989</v>
          </cell>
          <cell r="M242">
            <v>0</v>
          </cell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K243">
            <v>5</v>
          </cell>
          <cell r="L243">
            <v>9</v>
          </cell>
          <cell r="M243">
            <v>2</v>
          </cell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K244">
            <v>3.8</v>
          </cell>
          <cell r="L244">
            <v>8.3000000000000007</v>
          </cell>
          <cell r="M244">
            <v>1</v>
          </cell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K245">
            <v>6.3</v>
          </cell>
          <cell r="L245">
            <v>9.5</v>
          </cell>
          <cell r="M245">
            <v>2</v>
          </cell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K246">
            <v>6.3</v>
          </cell>
          <cell r="L246">
            <v>10.199999999999999</v>
          </cell>
          <cell r="M246">
            <v>2</v>
          </cell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K247">
            <v>2.5</v>
          </cell>
          <cell r="L247">
            <v>9</v>
          </cell>
          <cell r="M247">
            <v>1</v>
          </cell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K248">
            <v>2.5</v>
          </cell>
          <cell r="L248">
            <v>8.25</v>
          </cell>
          <cell r="M248">
            <v>1</v>
          </cell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K249">
            <v>9.8000000000000007</v>
          </cell>
          <cell r="L249">
            <v>9.8000000000000007</v>
          </cell>
          <cell r="M249">
            <v>3</v>
          </cell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K250">
            <v>6.8</v>
          </cell>
          <cell r="L250">
            <v>6.8</v>
          </cell>
          <cell r="M250">
            <v>3</v>
          </cell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K251">
            <v>7.2</v>
          </cell>
          <cell r="L251">
            <v>9.8000000000000007</v>
          </cell>
          <cell r="M251">
            <v>3</v>
          </cell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K252">
            <v>6.3</v>
          </cell>
          <cell r="L252">
            <v>9.8000000000000007</v>
          </cell>
          <cell r="M252">
            <v>2</v>
          </cell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K253">
            <v>9.8000000000000007</v>
          </cell>
          <cell r="L253">
            <v>9.8000000000000007</v>
          </cell>
          <cell r="M253">
            <v>3</v>
          </cell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K254">
            <v>7.2</v>
          </cell>
          <cell r="L254">
            <v>9.4902429999999995</v>
          </cell>
          <cell r="M254">
            <v>3</v>
          </cell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K255">
            <v>3.5</v>
          </cell>
          <cell r="L255">
            <v>7.6</v>
          </cell>
          <cell r="M255">
            <v>1</v>
          </cell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K256">
            <v>5.3</v>
          </cell>
          <cell r="L256">
            <v>8.9499999999999993</v>
          </cell>
          <cell r="M256">
            <v>2</v>
          </cell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K257">
            <v>3.8</v>
          </cell>
          <cell r="L257">
            <v>6.8999999999999995</v>
          </cell>
          <cell r="M257">
            <v>2</v>
          </cell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K258">
            <v>0</v>
          </cell>
          <cell r="L258">
            <v>4.25</v>
          </cell>
          <cell r="M258">
            <v>0</v>
          </cell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K259">
            <v>2.7</v>
          </cell>
          <cell r="L259">
            <v>6.5</v>
          </cell>
          <cell r="M259">
            <v>1</v>
          </cell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K260">
            <v>4.5999999999999996</v>
          </cell>
          <cell r="L260">
            <v>6.8999999999999995</v>
          </cell>
          <cell r="M260">
            <v>2</v>
          </cell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K261">
            <v>0</v>
          </cell>
          <cell r="L261">
            <v>6.5</v>
          </cell>
          <cell r="M261">
            <v>0</v>
          </cell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K262">
            <v>3.7</v>
          </cell>
          <cell r="L262">
            <v>8.8000000000000007</v>
          </cell>
          <cell r="M262">
            <v>1</v>
          </cell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K263">
            <v>4.2</v>
          </cell>
          <cell r="L263">
            <v>6.45</v>
          </cell>
          <cell r="M263">
            <v>2</v>
          </cell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K265">
            <v>6.3</v>
          </cell>
          <cell r="L265">
            <v>9.5</v>
          </cell>
          <cell r="M265">
            <v>2</v>
          </cell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K266">
            <v>3.8</v>
          </cell>
          <cell r="L266">
            <v>9.5</v>
          </cell>
          <cell r="M266">
            <v>1</v>
          </cell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K267">
            <v>7.5</v>
          </cell>
          <cell r="L267">
            <v>10.5</v>
          </cell>
          <cell r="M267">
            <v>3</v>
          </cell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K268">
            <v>5</v>
          </cell>
          <cell r="L268">
            <v>6.8</v>
          </cell>
          <cell r="M268">
            <v>2</v>
          </cell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K269">
            <v>5</v>
          </cell>
          <cell r="L269">
            <v>9</v>
          </cell>
          <cell r="M269">
            <v>2</v>
          </cell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K270">
            <v>8</v>
          </cell>
          <cell r="L270">
            <v>8</v>
          </cell>
          <cell r="M270">
            <v>2</v>
          </cell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L271">
            <v>8.5</v>
          </cell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L272">
            <v>9</v>
          </cell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K273">
            <v>6.3</v>
          </cell>
          <cell r="L273">
            <v>9</v>
          </cell>
          <cell r="M273">
            <v>2</v>
          </cell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K274">
            <v>8</v>
          </cell>
          <cell r="L274">
            <v>8</v>
          </cell>
          <cell r="M274">
            <v>3</v>
          </cell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K275">
            <v>8.5</v>
          </cell>
          <cell r="L275">
            <v>8.5</v>
          </cell>
          <cell r="M275">
            <v>2</v>
          </cell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K276">
            <v>7.5</v>
          </cell>
          <cell r="L276">
            <v>7.5</v>
          </cell>
          <cell r="M276">
            <v>2</v>
          </cell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K277">
            <v>5</v>
          </cell>
          <cell r="L277">
            <v>10.5</v>
          </cell>
          <cell r="M277">
            <v>1</v>
          </cell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K278">
            <v>7.5</v>
          </cell>
          <cell r="L278">
            <v>10.5</v>
          </cell>
          <cell r="M278">
            <v>2</v>
          </cell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K279">
            <v>0</v>
          </cell>
          <cell r="L279">
            <v>10.5</v>
          </cell>
          <cell r="M279">
            <v>0</v>
          </cell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K280">
            <v>7</v>
          </cell>
          <cell r="L280">
            <v>10.5</v>
          </cell>
          <cell r="M280">
            <v>2</v>
          </cell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K281">
            <v>6.5</v>
          </cell>
          <cell r="L281">
            <v>10</v>
          </cell>
          <cell r="M281">
            <v>2</v>
          </cell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K282">
            <v>8.5</v>
          </cell>
          <cell r="L282">
            <v>11.5</v>
          </cell>
          <cell r="M282">
            <v>3</v>
          </cell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K283">
            <v>7</v>
          </cell>
          <cell r="L283">
            <v>10.5</v>
          </cell>
          <cell r="M283">
            <v>2</v>
          </cell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K284">
            <v>7</v>
          </cell>
          <cell r="L284">
            <v>10.5</v>
          </cell>
          <cell r="M284">
            <v>2</v>
          </cell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K285">
            <v>4.5</v>
          </cell>
          <cell r="L285">
            <v>6.5</v>
          </cell>
          <cell r="M285">
            <v>2</v>
          </cell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K286">
            <v>3.8</v>
          </cell>
          <cell r="L286">
            <v>8.3000000000000007</v>
          </cell>
          <cell r="M286">
            <v>1</v>
          </cell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K287">
            <v>0</v>
          </cell>
          <cell r="L287">
            <v>7.5</v>
          </cell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K288">
            <v>4.5</v>
          </cell>
          <cell r="L288">
            <v>8.5</v>
          </cell>
          <cell r="M288">
            <v>2</v>
          </cell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K289">
            <v>3</v>
          </cell>
          <cell r="L289">
            <v>3</v>
          </cell>
          <cell r="M289">
            <v>1</v>
          </cell>
          <cell r="N289">
            <v>1</v>
          </cell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K290">
            <v>3</v>
          </cell>
          <cell r="L290">
            <v>7</v>
          </cell>
          <cell r="M290">
            <v>1</v>
          </cell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K291">
            <v>7</v>
          </cell>
          <cell r="L291">
            <v>9.5</v>
          </cell>
          <cell r="M291">
            <v>2</v>
          </cell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K292">
            <v>8</v>
          </cell>
          <cell r="L292">
            <v>10.5</v>
          </cell>
          <cell r="M292">
            <v>2</v>
          </cell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K293">
            <v>2.5</v>
          </cell>
          <cell r="L293">
            <v>6.5</v>
          </cell>
          <cell r="M293">
            <v>1</v>
          </cell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G294">
            <v>1</v>
          </cell>
          <cell r="K294">
            <v>1.5</v>
          </cell>
          <cell r="L294">
            <v>4</v>
          </cell>
          <cell r="M294">
            <v>1</v>
          </cell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K295">
            <v>0</v>
          </cell>
          <cell r="L295">
            <v>4</v>
          </cell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K296">
            <v>0</v>
          </cell>
          <cell r="L296">
            <v>5.5</v>
          </cell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K297">
            <v>6</v>
          </cell>
          <cell r="L297">
            <v>7.5</v>
          </cell>
          <cell r="M297">
            <v>2</v>
          </cell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I298">
            <v>1</v>
          </cell>
          <cell r="L298">
            <v>7.4</v>
          </cell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I299">
            <v>1.5</v>
          </cell>
          <cell r="L299">
            <v>9.5</v>
          </cell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L300">
            <v>8.5</v>
          </cell>
        </row>
      </sheetData>
      <sheetData sheetId="3"/>
      <sheetData sheetId="4">
        <row r="5">
          <cell r="A5">
            <v>0</v>
          </cell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E24">
            <v>11</v>
          </cell>
          <cell r="F24" t="str">
            <v>0 -pas d'utilisation comme concentrés</v>
          </cell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H35" t="str">
            <v>ME</v>
          </cell>
        </row>
        <row r="36">
          <cell r="A36">
            <v>31</v>
          </cell>
        </row>
        <row r="37">
          <cell r="A37">
            <v>32</v>
          </cell>
        </row>
        <row r="38">
          <cell r="A38">
            <v>33</v>
          </cell>
        </row>
        <row r="39">
          <cell r="A39">
            <v>34</v>
          </cell>
        </row>
        <row r="40">
          <cell r="A40">
            <v>35</v>
          </cell>
        </row>
        <row r="41">
          <cell r="A41">
            <v>36</v>
          </cell>
        </row>
        <row r="42">
          <cell r="A42">
            <v>37</v>
          </cell>
        </row>
        <row r="43">
          <cell r="A43">
            <v>38</v>
          </cell>
        </row>
        <row r="44">
          <cell r="A44">
            <v>39</v>
          </cell>
        </row>
        <row r="45">
          <cell r="A45">
            <v>40</v>
          </cell>
        </row>
        <row r="46">
          <cell r="A46">
            <v>41</v>
          </cell>
        </row>
        <row r="47">
          <cell r="A47">
            <v>42</v>
          </cell>
        </row>
        <row r="48">
          <cell r="A48">
            <v>43</v>
          </cell>
        </row>
        <row r="49">
          <cell r="A49">
            <v>44</v>
          </cell>
        </row>
        <row r="50">
          <cell r="A50">
            <v>45</v>
          </cell>
        </row>
        <row r="51">
          <cell r="A51">
            <v>46</v>
          </cell>
        </row>
        <row r="52">
          <cell r="A52">
            <v>47</v>
          </cell>
        </row>
        <row r="53">
          <cell r="A53">
            <v>48</v>
          </cell>
        </row>
        <row r="54">
          <cell r="A54">
            <v>49</v>
          </cell>
        </row>
        <row r="55">
          <cell r="A55">
            <v>50</v>
          </cell>
        </row>
        <row r="56">
          <cell r="A56">
            <v>51</v>
          </cell>
        </row>
        <row r="57">
          <cell r="A57">
            <v>52</v>
          </cell>
        </row>
        <row r="58">
          <cell r="A58">
            <v>53</v>
          </cell>
        </row>
        <row r="59">
          <cell r="A59">
            <v>54</v>
          </cell>
        </row>
        <row r="60">
          <cell r="A60">
            <v>55</v>
          </cell>
        </row>
        <row r="61">
          <cell r="A61">
            <v>56</v>
          </cell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</row>
        <row r="9">
          <cell r="C9" t="str">
            <v>5 -</v>
          </cell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</row>
        <row r="25">
          <cell r="C25" t="str">
            <v>21 -</v>
          </cell>
        </row>
        <row r="26">
          <cell r="C26" t="str">
            <v>22 -</v>
          </cell>
        </row>
        <row r="27">
          <cell r="C27" t="str">
            <v>23 -</v>
          </cell>
        </row>
        <row r="28">
          <cell r="C28" t="str">
            <v>24 -</v>
          </cell>
        </row>
        <row r="29">
          <cell r="C29" t="str">
            <v>25 -</v>
          </cell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H12">
            <v>14</v>
          </cell>
          <cell r="I12">
            <v>21</v>
          </cell>
          <cell r="K12">
            <v>21</v>
          </cell>
          <cell r="L12">
            <v>28</v>
          </cell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H13">
            <v>10.5</v>
          </cell>
          <cell r="I13">
            <v>14</v>
          </cell>
          <cell r="K13">
            <v>3.5</v>
          </cell>
          <cell r="L13">
            <v>5.25</v>
          </cell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H14">
            <v>7</v>
          </cell>
          <cell r="I14">
            <v>10.5</v>
          </cell>
          <cell r="K14">
            <v>14</v>
          </cell>
          <cell r="L14">
            <v>21</v>
          </cell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H15">
            <v>7</v>
          </cell>
          <cell r="I15">
            <v>10.5</v>
          </cell>
          <cell r="K15">
            <v>14</v>
          </cell>
          <cell r="L15">
            <v>21</v>
          </cell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H16">
            <v>14</v>
          </cell>
          <cell r="I16">
            <v>21</v>
          </cell>
          <cell r="K16">
            <v>21</v>
          </cell>
          <cell r="L16">
            <v>28</v>
          </cell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H17">
            <v>10.5</v>
          </cell>
          <cell r="I17">
            <v>14</v>
          </cell>
          <cell r="K17">
            <v>3.5</v>
          </cell>
          <cell r="L17">
            <v>5.25</v>
          </cell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H18">
            <v>7</v>
          </cell>
          <cell r="I18">
            <v>10.5</v>
          </cell>
          <cell r="K18">
            <v>14</v>
          </cell>
          <cell r="L18">
            <v>21</v>
          </cell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H19">
            <v>7</v>
          </cell>
          <cell r="I19">
            <v>10.5</v>
          </cell>
          <cell r="K19">
            <v>14</v>
          </cell>
          <cell r="L19">
            <v>21</v>
          </cell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H20">
            <v>14</v>
          </cell>
          <cell r="I20">
            <v>21</v>
          </cell>
          <cell r="K20">
            <v>21</v>
          </cell>
          <cell r="L20">
            <v>28</v>
          </cell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H21">
            <v>10.5</v>
          </cell>
          <cell r="I21">
            <v>14</v>
          </cell>
          <cell r="K21">
            <v>3.5</v>
          </cell>
          <cell r="L21">
            <v>5.25</v>
          </cell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H22">
            <v>7</v>
          </cell>
          <cell r="I22">
            <v>10.5</v>
          </cell>
          <cell r="K22">
            <v>14</v>
          </cell>
          <cell r="L22">
            <v>21</v>
          </cell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H23">
            <v>7</v>
          </cell>
          <cell r="I23">
            <v>10.5</v>
          </cell>
          <cell r="K23">
            <v>14</v>
          </cell>
          <cell r="L23">
            <v>21</v>
          </cell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H24">
            <v>14</v>
          </cell>
          <cell r="I24">
            <v>21</v>
          </cell>
          <cell r="K24">
            <v>21</v>
          </cell>
          <cell r="L24">
            <v>28</v>
          </cell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H25">
            <v>10.5</v>
          </cell>
          <cell r="I25">
            <v>14</v>
          </cell>
          <cell r="K25">
            <v>3.5</v>
          </cell>
          <cell r="L25">
            <v>5.25</v>
          </cell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H26">
            <v>7</v>
          </cell>
          <cell r="I26">
            <v>10.5</v>
          </cell>
          <cell r="K26">
            <v>14</v>
          </cell>
          <cell r="L26">
            <v>21</v>
          </cell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H27">
            <v>7</v>
          </cell>
          <cell r="I27">
            <v>10.5</v>
          </cell>
          <cell r="K27">
            <v>14</v>
          </cell>
          <cell r="L27">
            <v>21</v>
          </cell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H28">
            <v>14</v>
          </cell>
          <cell r="I28">
            <v>21</v>
          </cell>
          <cell r="K28">
            <v>21</v>
          </cell>
          <cell r="L28">
            <v>28</v>
          </cell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H29">
            <v>10.5</v>
          </cell>
          <cell r="I29">
            <v>14</v>
          </cell>
          <cell r="K29">
            <v>3.5</v>
          </cell>
          <cell r="L29">
            <v>5.25</v>
          </cell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H30">
            <v>7</v>
          </cell>
          <cell r="I30">
            <v>10.5</v>
          </cell>
          <cell r="K30">
            <v>14</v>
          </cell>
          <cell r="L30">
            <v>21</v>
          </cell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H31">
            <v>7</v>
          </cell>
          <cell r="I31">
            <v>10.5</v>
          </cell>
          <cell r="K31">
            <v>14</v>
          </cell>
          <cell r="L31">
            <v>21</v>
          </cell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</row>
        <row r="64">
          <cell r="A64" t="str">
            <v>maïs ensil</v>
          </cell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465999884262" createdVersion="6" refreshedVersion="6" minRefreshableVersion="3" recordCount="22">
  <cacheSource type="worksheet">
    <worksheetSource ref="A1:J23" sheet="Parcellaire"/>
  </cacheSource>
  <cacheFields count="10">
    <cacheField name="Numéro_x000a_Parcelle" numFmtId="0">
      <sharedItems containsSemiMixedTypes="0" containsString="0" containsNumber="1" containsInteger="1" minValue="1" maxValue="22"/>
    </cacheField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m/>
        <s v="proche"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Blank="1" containsMixedTypes="1" containsNumber="1" containsInteger="1" minValue="17" maxValue="290" count="15">
        <n v="239"/>
        <s v="ME"/>
        <m/>
        <n v="242"/>
        <n v="266"/>
        <n v="241"/>
        <n v="290"/>
        <n v="194"/>
        <n v="17"/>
        <n v="172"/>
        <n v="265" u="1"/>
        <n v="212" u="1"/>
        <n v="271" u="1"/>
        <n v="187" u="1"/>
        <n v="28" u="1"/>
      </sharedItems>
    </cacheField>
    <cacheField name="surface" numFmtId="0">
      <sharedItems containsString="0" containsBlank="1" containsNumber="1" minValue="0.7" maxValue="6.8"/>
    </cacheField>
    <cacheField name="surface2" numFmtId="0">
      <sharedItems containsString="0" containsBlank="1" containsNumber="1" minValue="1" maxValue="2.8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">
  <r>
    <n v="1"/>
    <n v="1"/>
    <n v="2"/>
    <x v="0"/>
    <n v="3"/>
    <x v="0"/>
    <n v="0.8"/>
    <m/>
    <n v="2"/>
    <n v="0.5"/>
  </r>
  <r>
    <n v="2"/>
    <n v="1"/>
    <n v="2"/>
    <x v="0"/>
    <n v="3"/>
    <x v="0"/>
    <n v="0.9"/>
    <m/>
    <n v="3"/>
    <n v="0.5"/>
  </r>
  <r>
    <n v="3"/>
    <n v="1"/>
    <n v="2"/>
    <x v="0"/>
    <s v="ME"/>
    <x v="1"/>
    <n v="1"/>
    <m/>
    <n v="2"/>
    <n v="0"/>
  </r>
  <r>
    <n v="4"/>
    <m/>
    <m/>
    <x v="1"/>
    <m/>
    <x v="2"/>
    <m/>
    <m/>
    <m/>
    <m/>
  </r>
  <r>
    <n v="5"/>
    <n v="1"/>
    <n v="2"/>
    <x v="0"/>
    <n v="2"/>
    <x v="0"/>
    <n v="1.1000000000000001"/>
    <m/>
    <n v="3"/>
    <n v="0.5"/>
  </r>
  <r>
    <n v="6"/>
    <n v="1"/>
    <n v="2"/>
    <x v="0"/>
    <n v="3"/>
    <x v="3"/>
    <n v="1.5"/>
    <m/>
    <n v="3"/>
    <n v="0.5"/>
  </r>
  <r>
    <n v="7"/>
    <n v="1"/>
    <n v="2"/>
    <x v="2"/>
    <n v="3"/>
    <x v="3"/>
    <n v="2"/>
    <m/>
    <n v="3"/>
    <n v="0.5"/>
  </r>
  <r>
    <n v="8"/>
    <n v="1"/>
    <n v="2"/>
    <x v="2"/>
    <n v="3"/>
    <x v="4"/>
    <n v="0.7"/>
    <m/>
    <n v="3"/>
    <n v="0.5"/>
  </r>
  <r>
    <n v="9"/>
    <n v="1"/>
    <n v="2"/>
    <x v="2"/>
    <n v="3"/>
    <x v="5"/>
    <n v="2"/>
    <m/>
    <n v="3"/>
    <n v="0.5"/>
  </r>
  <r>
    <n v="10"/>
    <n v="1"/>
    <n v="2"/>
    <x v="2"/>
    <n v="2"/>
    <x v="5"/>
    <n v="2.2999999999999998"/>
    <n v="2.8"/>
    <n v="3"/>
    <n v="0.5"/>
  </r>
  <r>
    <n v="11"/>
    <n v="1"/>
    <n v="2"/>
    <x v="2"/>
    <n v="3"/>
    <x v="4"/>
    <n v="1"/>
    <n v="1"/>
    <n v="3"/>
    <n v="1"/>
  </r>
  <r>
    <n v="12"/>
    <n v="1"/>
    <n v="2"/>
    <x v="2"/>
    <n v="2"/>
    <x v="3"/>
    <n v="1.7"/>
    <n v="1.7"/>
    <n v="2"/>
    <n v="0"/>
  </r>
  <r>
    <n v="13"/>
    <n v="1"/>
    <n v="2"/>
    <x v="2"/>
    <n v="3"/>
    <x v="3"/>
    <n v="1.3"/>
    <n v="1.3"/>
    <n v="2"/>
    <n v="1"/>
  </r>
  <r>
    <n v="14"/>
    <n v="1"/>
    <n v="2"/>
    <x v="2"/>
    <n v="2"/>
    <x v="6"/>
    <n v="1"/>
    <m/>
    <n v="2"/>
    <n v="0.5"/>
  </r>
  <r>
    <n v="15"/>
    <n v="1"/>
    <n v="2"/>
    <x v="2"/>
    <n v="2"/>
    <x v="5"/>
    <n v="2"/>
    <m/>
    <n v="2"/>
    <n v="0.5"/>
  </r>
  <r>
    <n v="16"/>
    <n v="1"/>
    <n v="2"/>
    <x v="2"/>
    <n v="2"/>
    <x v="5"/>
    <n v="1.7"/>
    <m/>
    <n v="2"/>
    <n v="0.5"/>
  </r>
  <r>
    <n v="17"/>
    <n v="1"/>
    <n v="2"/>
    <x v="2"/>
    <n v="2"/>
    <x v="5"/>
    <n v="3"/>
    <m/>
    <n v="3"/>
    <n v="0.5"/>
  </r>
  <r>
    <n v="18"/>
    <n v="1"/>
    <n v="2"/>
    <x v="0"/>
    <m/>
    <x v="7"/>
    <n v="1"/>
    <m/>
    <n v="3"/>
    <n v="0.5"/>
  </r>
  <r>
    <n v="19"/>
    <n v="1"/>
    <n v="2"/>
    <x v="2"/>
    <m/>
    <x v="8"/>
    <n v="4.3"/>
    <m/>
    <n v="3"/>
    <n v="1"/>
  </r>
  <r>
    <n v="20"/>
    <n v="1"/>
    <n v="2"/>
    <x v="0"/>
    <m/>
    <x v="9"/>
    <n v="6.8"/>
    <m/>
    <n v="3"/>
    <n v="1"/>
  </r>
  <r>
    <n v="21"/>
    <n v="1"/>
    <n v="2"/>
    <x v="0"/>
    <m/>
    <x v="7"/>
    <n v="2"/>
    <m/>
    <n v="3"/>
    <n v="0.5"/>
  </r>
  <r>
    <n v="22"/>
    <n v="1"/>
    <n v="2"/>
    <x v="0"/>
    <m/>
    <x v="7"/>
    <n v="2"/>
    <m/>
    <n v="3"/>
    <n v="0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3" cacheId="48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5" firstHeaderRow="1" firstDataRow="2" firstDataCol="1"/>
  <pivotFields count="10">
    <pivotField showAll="0"/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16">
        <item x="8"/>
        <item m="1" x="14"/>
        <item x="9"/>
        <item m="1" x="13"/>
        <item m="1" x="11"/>
        <item x="0"/>
        <item m="1" x="10"/>
        <item x="4"/>
        <item m="1" x="12"/>
        <item x="2"/>
        <item x="6"/>
        <item x="7"/>
        <item x="3"/>
        <item x="5"/>
        <item x="1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11">
    <i>
      <x/>
    </i>
    <i>
      <x v="2"/>
    </i>
    <i>
      <x v="5"/>
    </i>
    <i>
      <x v="7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5" sqref="F15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6" t="s">
        <v>2</v>
      </c>
      <c r="H1" s="296"/>
      <c r="I1" s="296" t="s">
        <v>0</v>
      </c>
      <c r="J1" s="296"/>
      <c r="K1" s="296" t="s">
        <v>1</v>
      </c>
      <c r="L1" s="296"/>
      <c r="M1" s="296" t="s">
        <v>3</v>
      </c>
      <c r="N1" s="296"/>
      <c r="O1" s="296" t="s">
        <v>4</v>
      </c>
      <c r="P1" s="296"/>
      <c r="Q1" s="296" t="s">
        <v>5</v>
      </c>
      <c r="R1" s="296"/>
      <c r="S1" s="296" t="s">
        <v>6</v>
      </c>
      <c r="T1" s="296"/>
      <c r="U1" s="296" t="s">
        <v>7</v>
      </c>
      <c r="V1" s="296"/>
      <c r="W1" s="296" t="s">
        <v>8</v>
      </c>
      <c r="X1" s="296"/>
      <c r="Y1" s="296" t="s">
        <v>9</v>
      </c>
      <c r="Z1" s="296"/>
      <c r="AA1" s="296" t="s">
        <v>10</v>
      </c>
      <c r="AB1" s="296"/>
      <c r="AC1" s="296" t="s">
        <v>11</v>
      </c>
      <c r="AD1" s="296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49.730399999999989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156.8681046512209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0.35025029565217397</v>
      </c>
      <c r="J5" s="143">
        <f>CdTrp1!E215+CdTrp2!E215+CdTrp3!E215+CdTrp4!E215</f>
        <v>0.35025029565217397</v>
      </c>
      <c r="K5" s="143">
        <f>CdTrp1!F215+CdTrp2!F215+CdTrp3!F215+CdTrp4!F215</f>
        <v>0.38777711304347828</v>
      </c>
      <c r="L5" s="143">
        <f>CdTrp1!G215+CdTrp2!G215+CdTrp3!G215+CdTrp4!G215</f>
        <v>5.8186343015652184</v>
      </c>
      <c r="M5" s="143">
        <f>CdTrp1!H215+CdTrp2!H215+CdTrp3!H215+CdTrp4!H215</f>
        <v>8.006711835652176</v>
      </c>
      <c r="N5" s="143">
        <f>CdTrp1!I215+CdTrp2!I215+CdTrp3!I215+CdTrp4!I215</f>
        <v>7.9838588504347836</v>
      </c>
      <c r="O5" s="143">
        <f>CdTrp1!J215+CdTrp2!J215+CdTrp3!J215+CdTrp4!J215</f>
        <v>6.5079109881739141</v>
      </c>
      <c r="P5" s="143">
        <f>CdTrp1!K215+CdTrp2!K215+CdTrp3!K215+CdTrp4!K215</f>
        <v>5.5896995280000006</v>
      </c>
      <c r="Q5" s="143">
        <f>CdTrp1!L215+CdTrp2!L215+CdTrp3!L215+CdTrp4!L215</f>
        <v>5.409386640000001</v>
      </c>
      <c r="R5" s="143">
        <f>CdTrp1!M215+CdTrp2!M215+CdTrp3!M215+CdTrp4!M215</f>
        <v>1.0937804347826088</v>
      </c>
      <c r="S5" s="143">
        <f>CdTrp1!N215+CdTrp2!N215+CdTrp3!N215+CdTrp4!N215</f>
        <v>1.1302397826086958</v>
      </c>
      <c r="T5" s="143">
        <f>CdTrp1!O215+CdTrp2!O215+CdTrp3!O215+CdTrp4!O215</f>
        <v>3.4607655326086957</v>
      </c>
      <c r="U5" s="143">
        <f>CdTrp1!P215+CdTrp2!P215+CdTrp3!P215+CdTrp4!P215</f>
        <v>3.4607655326086957</v>
      </c>
      <c r="V5" s="143">
        <f>CdTrp1!Q215+CdTrp2!Q215+CdTrp3!Q215+CdTrp4!Q215</f>
        <v>3.4607655326086957</v>
      </c>
      <c r="W5" s="143">
        <f>CdTrp1!R215+CdTrp2!R215+CdTrp3!R215+CdTrp4!R215</f>
        <v>1.0937804347826088</v>
      </c>
      <c r="X5" s="143">
        <f>CdTrp1!S215+CdTrp2!S215+CdTrp3!S215+CdTrp4!S215</f>
        <v>1.0937804347826088</v>
      </c>
      <c r="Y5" s="143">
        <f>CdTrp1!T215+CdTrp2!T215+CdTrp3!T215+CdTrp4!T215</f>
        <v>1.8988649307478269</v>
      </c>
      <c r="Z5" s="143">
        <f>CdTrp1!U215+CdTrp2!U215+CdTrp3!U215+CdTrp4!U215</f>
        <v>4.2762400787826094</v>
      </c>
      <c r="AA5" s="143">
        <f>CdTrp1!V215+CdTrp2!V215+CdTrp3!V215+CdTrp4!V215</f>
        <v>1.2967500000000001</v>
      </c>
      <c r="AB5" s="143">
        <f>CdTrp1!W215+CdTrp2!W215+CdTrp3!W215+CdTrp4!W215</f>
        <v>1.270815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154.78711243596524</v>
      </c>
      <c r="AG5" t="s">
        <v>222</v>
      </c>
    </row>
    <row r="6" spans="1:53" x14ac:dyDescent="0.25">
      <c r="B6" s="14" t="s">
        <v>292</v>
      </c>
      <c r="C6" s="143">
        <f>SUM(Troupeau!B68:E68)</f>
        <v>11.97</v>
      </c>
      <c r="D6" t="s">
        <v>247</v>
      </c>
      <c r="F6" s="38" t="s">
        <v>218</v>
      </c>
      <c r="G6" s="143">
        <f>CdTrp1!B216+CdTrp2!B216+CdTrp3!B216+CdTrp4!B216</f>
        <v>0.93215652173913055</v>
      </c>
      <c r="H6" s="143">
        <f>CdTrp1!C216+CdTrp2!C216+CdTrp3!C216+CdTrp4!C216</f>
        <v>0.93215652173913055</v>
      </c>
      <c r="I6" s="143">
        <f>CdTrp1!D216+CdTrp2!D216+CdTrp3!D216+CdTrp4!D216</f>
        <v>0.84194782608695662</v>
      </c>
      <c r="J6" s="143">
        <f>CdTrp1!E216+CdTrp2!E216+CdTrp3!E216+CdTrp4!E216</f>
        <v>0.84194782608695662</v>
      </c>
      <c r="K6" s="143">
        <f>CdTrp1!F216+CdTrp2!F216+CdTrp3!F216+CdTrp4!F216</f>
        <v>1.5100935652173912</v>
      </c>
      <c r="L6" s="143">
        <f>CdTrp1!G216+CdTrp2!G216+CdTrp3!G216+CdTrp4!G216</f>
        <v>1.5100935652173912</v>
      </c>
      <c r="M6" s="143">
        <f>CdTrp1!H216+CdTrp2!H216+CdTrp3!H216+CdTrp4!H216</f>
        <v>1.4613808695652175</v>
      </c>
      <c r="N6" s="143">
        <f>CdTrp1!I216+CdTrp2!I216+CdTrp3!I216+CdTrp4!I216</f>
        <v>1.4613808695652175</v>
      </c>
      <c r="O6" s="143">
        <f>CdTrp1!J216+CdTrp2!J216+CdTrp3!J216+CdTrp4!J216</f>
        <v>3.6169017499999994</v>
      </c>
      <c r="P6" s="143">
        <f>CdTrp1!K216+CdTrp2!K216+CdTrp3!K216+CdTrp4!K216</f>
        <v>3.6169017499999994</v>
      </c>
      <c r="Q6" s="143">
        <f>CdTrp1!L216+CdTrp2!L216+CdTrp3!L216+CdTrp4!L216</f>
        <v>3.5002275000000003</v>
      </c>
      <c r="R6" s="143">
        <f>CdTrp1!M216+CdTrp2!M216+CdTrp3!M216+CdTrp4!M216</f>
        <v>3.5002275000000003</v>
      </c>
      <c r="S6" s="143">
        <f>CdTrp1!N216+CdTrp2!N216+CdTrp3!N216+CdTrp4!N216</f>
        <v>3.6169017499999994</v>
      </c>
      <c r="T6" s="143">
        <f>CdTrp1!O216+CdTrp2!O216+CdTrp3!O216+CdTrp4!O216</f>
        <v>1.286376</v>
      </c>
      <c r="U6" s="143">
        <f>CdTrp1!P216+CdTrp2!P216+CdTrp3!P216+CdTrp4!P216</f>
        <v>1.286376</v>
      </c>
      <c r="V6" s="143">
        <f>CdTrp1!Q216+CdTrp2!Q216+CdTrp3!Q216+CdTrp4!Q216</f>
        <v>1.286376</v>
      </c>
      <c r="W6" s="143">
        <f>CdTrp1!R216+CdTrp2!R216+CdTrp3!R216+CdTrp4!R216</f>
        <v>3.1635</v>
      </c>
      <c r="X6" s="143">
        <f>CdTrp1!S216+CdTrp2!S216+CdTrp3!S216+CdTrp4!S216</f>
        <v>3.1635</v>
      </c>
      <c r="Y6" s="143">
        <f>CdTrp1!T216+CdTrp2!T216+CdTrp3!T216+CdTrp4!T216</f>
        <v>0</v>
      </c>
      <c r="Z6" s="143">
        <f>CdTrp1!U216+CdTrp2!U216+CdTrp3!U216+CdTrp4!U216</f>
        <v>0.22371756521739136</v>
      </c>
      <c r="AA6" s="143">
        <f>CdTrp1!V216+CdTrp2!V216+CdTrp3!V216+CdTrp4!V216</f>
        <v>1.6144372695652174</v>
      </c>
      <c r="AB6" s="143">
        <f>CdTrp1!W216+CdTrp2!W216+CdTrp3!W216+CdTrp4!W216</f>
        <v>1.6417288695652175</v>
      </c>
      <c r="AC6" s="143">
        <f>CdTrp1!X216+CdTrp2!X216+CdTrp3!X216+CdTrp4!X216</f>
        <v>0.22371756521739136</v>
      </c>
      <c r="AD6" s="143">
        <f>CdTrp1!Y216+CdTrp2!Y216+CdTrp3!Y216+CdTrp4!Y216</f>
        <v>0.93215652173913055</v>
      </c>
      <c r="AE6" s="153"/>
      <c r="AF6" s="154"/>
    </row>
    <row r="7" spans="1:53" x14ac:dyDescent="0.25">
      <c r="B7" s="14" t="s">
        <v>294</v>
      </c>
      <c r="C7" s="144">
        <f>ROUNDUP(C4-C6-0.9*C5,1)</f>
        <v>144.9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0.70843895652173916</v>
      </c>
      <c r="L7" s="143">
        <f>CdTrp1!G217+CdTrp2!G217+CdTrp3!G217+CdTrp4!G217</f>
        <v>0.70843895652173916</v>
      </c>
      <c r="M7" s="143">
        <f>CdTrp1!H217+CdTrp2!H217+CdTrp3!H217+CdTrp4!H217</f>
        <v>0.6855860869565219</v>
      </c>
      <c r="N7" s="143">
        <f>CdTrp1!I217+CdTrp2!I217+CdTrp3!I217+CdTrp4!I217</f>
        <v>0.6855860869565219</v>
      </c>
      <c r="O7" s="143">
        <f>CdTrp1!J217+CdTrp2!J217+CdTrp3!J217+CdTrp4!J217</f>
        <v>0.70843895652173916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2.5836367199999999</v>
      </c>
      <c r="Z7" s="143">
        <f>CdTrp1!U217+CdTrp2!U217+CdTrp3!U217+CdTrp4!U217</f>
        <v>2.0413223965217391</v>
      </c>
      <c r="AA7" s="143">
        <f>CdTrp1!V217+CdTrp2!V217+CdTrp3!V217+CdTrp4!V217</f>
        <v>0.6855860869565219</v>
      </c>
      <c r="AB7" s="143">
        <f>CdTrp1!W217+CdTrp2!W217+CdTrp3!W217+CdTrp4!W217</f>
        <v>0.6855860869565219</v>
      </c>
      <c r="AC7" s="143">
        <f>CdTrp1!X217+CdTrp2!X217+CdTrp3!X217+CdTrp4!X217</f>
        <v>0.70843895652173916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0.93215652173913055</v>
      </c>
      <c r="H8" s="143">
        <f t="shared" ref="H8:AD8" si="0">SUM(H5:H7)</f>
        <v>0.93215652173913055</v>
      </c>
      <c r="I8" s="143">
        <f t="shared" si="0"/>
        <v>1.1921981217391306</v>
      </c>
      <c r="J8" s="143">
        <f t="shared" si="0"/>
        <v>1.1921981217391306</v>
      </c>
      <c r="K8" s="143">
        <f t="shared" si="0"/>
        <v>2.6063096347826087</v>
      </c>
      <c r="L8" s="143">
        <f t="shared" si="0"/>
        <v>8.0371668233043483</v>
      </c>
      <c r="M8" s="143">
        <f t="shared" si="0"/>
        <v>10.153678792173917</v>
      </c>
      <c r="N8" s="143">
        <f t="shared" si="0"/>
        <v>10.130825806956524</v>
      </c>
      <c r="O8" s="143">
        <f t="shared" si="0"/>
        <v>10.833251694695653</v>
      </c>
      <c r="P8" s="143">
        <f t="shared" si="0"/>
        <v>9.2066012780000008</v>
      </c>
      <c r="Q8" s="143">
        <f t="shared" si="0"/>
        <v>8.9096141400000022</v>
      </c>
      <c r="R8" s="143">
        <f t="shared" si="0"/>
        <v>4.594007934782609</v>
      </c>
      <c r="S8" s="143">
        <f t="shared" si="0"/>
        <v>4.747141532608695</v>
      </c>
      <c r="T8" s="143">
        <f t="shared" si="0"/>
        <v>4.7471415326086959</v>
      </c>
      <c r="U8" s="143">
        <f t="shared" si="0"/>
        <v>4.7471415326086959</v>
      </c>
      <c r="V8" s="143">
        <f t="shared" si="0"/>
        <v>4.7471415326086959</v>
      </c>
      <c r="W8" s="143">
        <f t="shared" si="0"/>
        <v>4.2572804347826088</v>
      </c>
      <c r="X8" s="143">
        <f t="shared" si="0"/>
        <v>4.2572804347826088</v>
      </c>
      <c r="Y8" s="143">
        <f t="shared" si="0"/>
        <v>4.4825016507478264</v>
      </c>
      <c r="Z8" s="143">
        <f t="shared" si="0"/>
        <v>6.5412800405217402</v>
      </c>
      <c r="AA8" s="143">
        <f t="shared" si="0"/>
        <v>3.596773356521739</v>
      </c>
      <c r="AB8" s="143">
        <f t="shared" si="0"/>
        <v>3.5981299565217393</v>
      </c>
      <c r="AC8" s="143">
        <f t="shared" si="0"/>
        <v>0.93215652173913055</v>
      </c>
      <c r="AD8" s="143">
        <f t="shared" si="0"/>
        <v>0.93215652173913055</v>
      </c>
      <c r="AE8" s="153"/>
      <c r="AF8" s="144">
        <f>SUM(G8:AD8)</f>
        <v>116.3062904394435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5.3945077565217394</v>
      </c>
      <c r="S9" s="143">
        <f>CdTrp1!N218+CdTrp2!N218+CdTrp3!N218+CdTrp4!N218</f>
        <v>5.5743246817391308</v>
      </c>
      <c r="T9" s="143">
        <f>CdTrp1!O218+CdTrp2!O218+CdTrp3!O218+CdTrp4!O218</f>
        <v>5.5743246817391308</v>
      </c>
      <c r="U9" s="143">
        <f>CdTrp1!P218+CdTrp2!P218+CdTrp3!P218+CdTrp4!P218</f>
        <v>5.5743246817391308</v>
      </c>
      <c r="V9" s="143">
        <f>CdTrp1!Q218+CdTrp2!Q218+CdTrp3!Q218+CdTrp4!Q218</f>
        <v>5.5743246817391308</v>
      </c>
      <c r="W9" s="143">
        <f>CdTrp1!R218+CdTrp2!R218+CdTrp3!R218+CdTrp4!R218</f>
        <v>5.3945077565217394</v>
      </c>
      <c r="X9" s="143">
        <f>CdTrp1!S218+CdTrp2!S218+CdTrp3!S218+CdTrp4!S218</f>
        <v>5.3945077565217394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38.48082199652174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21.7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21.7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9.6999999999999993</v>
      </c>
      <c r="R14" s="145">
        <f>CdTrp1!AV54+CdTrp2!AV54+CdTrp3!AV54+CdTrp4!AV54</f>
        <v>0</v>
      </c>
      <c r="S14" s="145">
        <f>CdTrp1!AW54+CdTrp2!AW54+CdTrp3!AW54+CdTrp4!AW54</f>
        <v>3.4</v>
      </c>
      <c r="T14" s="145">
        <f>CdTrp1!AX54+CdTrp2!AX54+CdTrp3!AX54+CdTrp4!AX54</f>
        <v>6.7</v>
      </c>
      <c r="U14" s="145">
        <f>CdTrp1!AY54+CdTrp2!AY54+CdTrp3!AY54+CdTrp4!AY54</f>
        <v>5.3</v>
      </c>
      <c r="V14" s="145">
        <f>CdTrp1!AZ54+CdTrp2!AZ54+CdTrp3!AZ54+CdTrp4!AZ54</f>
        <v>2.2000000000000002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57.5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26.5</v>
      </c>
      <c r="H18" s="158">
        <f>G18/G17</f>
        <v>0.46086956521739131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21.5</v>
      </c>
      <c r="H19" s="158">
        <f>G19/G17</f>
        <v>0.37391304347826088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6</v>
      </c>
      <c r="H20" s="158">
        <f>G20/G17</f>
        <v>0.10434782608695652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9.6999999999999993</v>
      </c>
      <c r="D21" s="83"/>
      <c r="E21" s="5" t="s">
        <v>457</v>
      </c>
      <c r="F21" s="157">
        <v>4</v>
      </c>
      <c r="G21" s="157">
        <f>CdTrp1!AC81+CdTrp2!AC81+CdTrp3!AC81+CdTrp4!AC81</f>
        <v>0</v>
      </c>
      <c r="H21" s="158">
        <f>G21/G17</f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3.4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6.7</v>
      </c>
    </row>
    <row r="25" spans="2:9" x14ac:dyDescent="0.25">
      <c r="B25" s="19" t="str">
        <f>[1]Conc!C19</f>
        <v>15 -concentré bovin allaitant</v>
      </c>
      <c r="C25" s="144">
        <f>U14</f>
        <v>5.3</v>
      </c>
    </row>
    <row r="26" spans="2:9" x14ac:dyDescent="0.25">
      <c r="B26" s="19" t="str">
        <f>[1]Conc!C20</f>
        <v>16 -correcteur N bovin allaitant</v>
      </c>
      <c r="C26" s="144">
        <f>V14</f>
        <v>2.2000000000000002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zoomScale="80" zoomScaleNormal="80" workbookViewId="0">
      <selection activeCell="R12" sqref="R12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2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7" t="s">
        <v>250</v>
      </c>
      <c r="AT2" s="297"/>
      <c r="AU2" s="296" t="s">
        <v>251</v>
      </c>
      <c r="AV2" s="296"/>
      <c r="AW2" s="296" t="s">
        <v>252</v>
      </c>
      <c r="AX2" s="296"/>
      <c r="AY2" s="296" t="s">
        <v>253</v>
      </c>
      <c r="AZ2" s="296"/>
      <c r="BA2" s="296" t="s">
        <v>254</v>
      </c>
      <c r="BB2" s="296"/>
      <c r="BC2" s="296" t="s">
        <v>255</v>
      </c>
      <c r="BD2" s="296"/>
      <c r="BE2" s="296" t="s">
        <v>256</v>
      </c>
      <c r="BF2" s="296"/>
      <c r="BG2" s="296" t="s">
        <v>257</v>
      </c>
      <c r="BH2" s="296"/>
      <c r="BI2" s="296" t="s">
        <v>258</v>
      </c>
      <c r="BJ2" s="296"/>
      <c r="BK2" s="296" t="s">
        <v>259</v>
      </c>
      <c r="BL2" s="296"/>
      <c r="BM2" s="296" t="s">
        <v>260</v>
      </c>
      <c r="BN2" s="296"/>
      <c r="BO2" s="296" t="s">
        <v>261</v>
      </c>
      <c r="BP2" s="296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0.93215652173913055</v>
      </c>
      <c r="AT5" s="13">
        <f>'Conduite Trp'!H8</f>
        <v>0.93215652173913055</v>
      </c>
      <c r="AU5" s="13">
        <f>'Conduite Trp'!I8</f>
        <v>1.1921981217391306</v>
      </c>
      <c r="AV5" s="13">
        <f>'Conduite Trp'!J8</f>
        <v>1.1921981217391306</v>
      </c>
      <c r="AW5" s="13">
        <f>'Conduite Trp'!K8</f>
        <v>2.6063096347826087</v>
      </c>
      <c r="AX5" s="13">
        <f>'Conduite Trp'!L8</f>
        <v>8.0371668233043483</v>
      </c>
      <c r="AY5" s="13">
        <f>'Conduite Trp'!M8</f>
        <v>10.153678792173917</v>
      </c>
      <c r="AZ5" s="13">
        <f>'Conduite Trp'!N8</f>
        <v>10.130825806956524</v>
      </c>
      <c r="BA5" s="13">
        <f>'Conduite Trp'!O8</f>
        <v>10.833251694695653</v>
      </c>
      <c r="BB5" s="13">
        <f>'Conduite Trp'!P8</f>
        <v>9.2066012780000008</v>
      </c>
      <c r="BC5" s="13">
        <f>'Conduite Trp'!Q8</f>
        <v>8.9096141400000022</v>
      </c>
      <c r="BD5" s="13">
        <f>'Conduite Trp'!R8</f>
        <v>4.594007934782609</v>
      </c>
      <c r="BE5" s="13">
        <f>'Conduite Trp'!S8</f>
        <v>4.747141532608695</v>
      </c>
      <c r="BF5" s="13">
        <f>'Conduite Trp'!T8</f>
        <v>4.7471415326086959</v>
      </c>
      <c r="BG5" s="13">
        <f>'Conduite Trp'!U8</f>
        <v>4.7471415326086959</v>
      </c>
      <c r="BH5" s="13">
        <f>'Conduite Trp'!V8</f>
        <v>4.7471415326086959</v>
      </c>
      <c r="BI5" s="13">
        <f>'Conduite Trp'!W8</f>
        <v>4.2572804347826088</v>
      </c>
      <c r="BJ5" s="13">
        <f>'Conduite Trp'!X8</f>
        <v>4.2572804347826088</v>
      </c>
      <c r="BK5" s="13">
        <f>'Conduite Trp'!Y8</f>
        <v>4.4825016507478264</v>
      </c>
      <c r="BL5" s="13">
        <f>'Conduite Trp'!Z8</f>
        <v>6.5412800405217402</v>
      </c>
      <c r="BM5" s="13">
        <f>'Conduite Trp'!AA8</f>
        <v>3.596773356521739</v>
      </c>
      <c r="BN5" s="13">
        <f>'Conduite Trp'!AB8</f>
        <v>3.5981299565217393</v>
      </c>
      <c r="BO5" s="13">
        <f>'Conduite Trp'!AC8</f>
        <v>0.93215652173913055</v>
      </c>
      <c r="BP5" s="13">
        <f>'Conduite Trp'!AD8</f>
        <v>0.93215652173913055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90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18.7</v>
      </c>
      <c r="P7">
        <v>1</v>
      </c>
      <c r="Q7" s="39">
        <v>266</v>
      </c>
      <c r="R7" s="39">
        <v>2.7</v>
      </c>
      <c r="S7" s="291" t="str">
        <f>VLOOKUP($Q7,[1]MEP!$A$5:$D$300,3)</f>
        <v>PP EXCELLENTE PATUREE</v>
      </c>
      <c r="T7" s="76" t="str">
        <f>VLOOKUP($Q7,[1]MEP!$A$5:$D$300,4)</f>
        <v>zone 1</v>
      </c>
      <c r="U7" s="76" t="str">
        <f>VLOOKUP($Q7,[1]MEP!$A$4:$K$300,2)</f>
        <v>P</v>
      </c>
      <c r="V7" s="76">
        <f>VLOOKUP($Q7,[1]MEP!$A$4:$K$300,5)</f>
        <v>3.3</v>
      </c>
      <c r="W7" s="76">
        <f>VLOOKUP($Q7,[1]MEP!$A$4:$K$300,6)</f>
        <v>3</v>
      </c>
      <c r="X7" s="76">
        <f>VLOOKUP($Q7,[1]MEP!$A$4:$K$300,7)</f>
        <v>2.2999999999999998</v>
      </c>
      <c r="Y7" s="76">
        <f>VLOOKUP($Q7,[1]MEP!$A$4:$K$300,8)</f>
        <v>0.5</v>
      </c>
      <c r="Z7" s="76">
        <f>VLOOKUP($Q7,[1]MEP!$A$4:$K$300,9)</f>
        <v>0.7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8.91</v>
      </c>
      <c r="AF7" s="61">
        <f t="shared" ref="AF7:AF26" si="1">$R7*W7</f>
        <v>8.1000000000000014</v>
      </c>
      <c r="AG7" s="61">
        <f t="shared" ref="AG7:AG26" si="2">$R7*X7</f>
        <v>6.21</v>
      </c>
      <c r="AH7" s="61">
        <f t="shared" ref="AH7:AH26" si="3">$R7*Y7</f>
        <v>1.35</v>
      </c>
      <c r="AI7" s="61">
        <f t="shared" ref="AI7:AI26" si="4">$R7*Z7</f>
        <v>1.89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10.153678792173917</v>
      </c>
      <c r="AZ7" s="61">
        <f t="shared" si="7"/>
        <v>10.130825806956524</v>
      </c>
      <c r="BA7" s="61">
        <f t="shared" si="7"/>
        <v>10.833251694695653</v>
      </c>
      <c r="BB7" s="61">
        <f t="shared" si="7"/>
        <v>9.2066012780000008</v>
      </c>
      <c r="BC7" s="61">
        <f t="shared" si="7"/>
        <v>8.9096141400000022</v>
      </c>
      <c r="BD7" s="61">
        <f t="shared" si="7"/>
        <v>4.594007934782609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53.827979646608711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49.730399999999989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18.7</v>
      </c>
      <c r="P8">
        <v>2</v>
      </c>
      <c r="Q8" s="39">
        <v>241</v>
      </c>
      <c r="R8" s="39">
        <v>11</v>
      </c>
      <c r="S8" s="291" t="str">
        <f>VLOOKUP($Q8,[1]MEP!$A$5:$D$300,3)</f>
        <v>PP excellente 2 coupes estivales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1.5</v>
      </c>
      <c r="W8" s="76">
        <f>VLOOKUP($Q8,[1]MEP!$A$4:$K$300,6)</f>
        <v>0</v>
      </c>
      <c r="X8" s="76">
        <f>VLOOKUP($Q8,[1]MEP!$A$4:$K$300,7)</f>
        <v>0.75</v>
      </c>
      <c r="Y8" s="76">
        <f>VLOOKUP($Q8,[1]MEP!$A$4:$K$300,8)</f>
        <v>0.75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5</v>
      </c>
      <c r="AE8" s="61">
        <f t="shared" si="0"/>
        <v>16.5</v>
      </c>
      <c r="AF8" s="61">
        <f t="shared" si="1"/>
        <v>0</v>
      </c>
      <c r="AG8" s="61">
        <f t="shared" si="2"/>
        <v>8.25</v>
      </c>
      <c r="AH8" s="61">
        <f t="shared" si="3"/>
        <v>8.25</v>
      </c>
      <c r="AI8" s="61">
        <f t="shared" si="4"/>
        <v>11</v>
      </c>
      <c r="AJ8" s="61">
        <f t="shared" si="5"/>
        <v>0</v>
      </c>
      <c r="AK8" s="141"/>
      <c r="AL8" s="61">
        <f t="shared" si="6"/>
        <v>55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4.747141532608695</v>
      </c>
      <c r="BF8" s="61">
        <f t="shared" si="8"/>
        <v>4.7471415326086959</v>
      </c>
      <c r="BG8" s="61">
        <f t="shared" si="8"/>
        <v>4.7471415326086959</v>
      </c>
      <c r="BH8" s="61">
        <f t="shared" si="8"/>
        <v>4.7471415326086959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18.988566130434783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49.730399999999989</v>
      </c>
      <c r="G9" s="81"/>
      <c r="H9" s="61">
        <f>SUM(L34:L43)</f>
        <v>0</v>
      </c>
      <c r="I9" s="81"/>
      <c r="J9" s="81"/>
      <c r="K9" s="93">
        <f>H9-F9</f>
        <v>-49.730399999999989</v>
      </c>
      <c r="L9" s="81"/>
      <c r="M9" s="100"/>
      <c r="P9">
        <v>3</v>
      </c>
      <c r="Q9" s="39">
        <v>290</v>
      </c>
      <c r="R9" s="39"/>
      <c r="S9" s="291" t="str">
        <f>VLOOKUP($Q9,[1]MEP!$A$5:$D$300,3)</f>
        <v>PP EXCELLENTE 1  COUPE ESTIVALE</v>
      </c>
      <c r="T9" s="76" t="str">
        <f>VLOOKUP($Q9,[1]MEP!$A$5:$D$300,4)</f>
        <v>zone 1</v>
      </c>
      <c r="U9" s="76" t="str">
        <f>VLOOKUP($Q9,[1]MEP!$A$4:$K$300,2)</f>
        <v>F/P</v>
      </c>
      <c r="V9" s="76">
        <f>VLOOKUP($Q9,[1]MEP!$A$4:$K$300,5)</f>
        <v>3.5</v>
      </c>
      <c r="W9" s="76">
        <f>VLOOKUP($Q9,[1]MEP!$A$4:$K$300,6)</f>
        <v>0</v>
      </c>
      <c r="X9" s="76">
        <f>VLOOKUP($Q9,[1]MEP!$A$4:$K$300,7)</f>
        <v>1</v>
      </c>
      <c r="Y9" s="76">
        <f>VLOOKUP($Q9,[1]MEP!$A$4:$K$300,8)</f>
        <v>0.7</v>
      </c>
      <c r="Z9" s="76">
        <f>VLOOKUP($Q9,[1]MEP!$A$4:$K$300,9)</f>
        <v>0.5</v>
      </c>
      <c r="AA9" s="76">
        <f>VLOOKUP($Q9,[1]MEP!$A$4:$K$300,10)</f>
        <v>0</v>
      </c>
      <c r="AC9" s="76">
        <f>VLOOKUP($Q9,[1]MEP!$A$4:$K$300,11)</f>
        <v>3.8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4.2572804347826088</v>
      </c>
      <c r="BJ9" s="61">
        <f t="shared" si="10"/>
        <v>4.2572804347826088</v>
      </c>
      <c r="BK9" s="61">
        <f t="shared" si="10"/>
        <v>4.4825016507478264</v>
      </c>
      <c r="BL9" s="61">
        <f t="shared" si="10"/>
        <v>6.5412800405217402</v>
      </c>
      <c r="BM9" s="61">
        <f t="shared" si="10"/>
        <v>3.596773356521739</v>
      </c>
      <c r="BN9" s="61">
        <f t="shared" si="10"/>
        <v>3.5981299565217393</v>
      </c>
      <c r="BO9" s="61">
        <f t="shared" si="10"/>
        <v>0</v>
      </c>
      <c r="BP9" s="61">
        <f t="shared" si="10"/>
        <v>0</v>
      </c>
      <c r="BR9" s="61">
        <f t="shared" si="9"/>
        <v>26.733245873878261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11.97</v>
      </c>
      <c r="G10" s="81"/>
      <c r="H10" s="61">
        <f>SUM(M34:M43)</f>
        <v>13</v>
      </c>
      <c r="I10" s="81"/>
      <c r="J10" s="81"/>
      <c r="K10" s="93">
        <f>H10-F10</f>
        <v>1.0299999999999994</v>
      </c>
      <c r="L10" s="81"/>
      <c r="M10" s="100"/>
      <c r="P10">
        <v>4</v>
      </c>
      <c r="Q10" s="39">
        <v>242</v>
      </c>
      <c r="R10" s="39">
        <v>3.3</v>
      </c>
      <c r="S10" s="291" t="str">
        <f>VLOOKUP($Q10,[1]MEP!$A$5:$D$300,3)</f>
        <v>PP bonne 1 coupe estivales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1.5</v>
      </c>
      <c r="W10" s="76">
        <f>VLOOKUP($Q10,[1]MEP!$A$4:$K$300,6)</f>
        <v>0</v>
      </c>
      <c r="X10" s="76">
        <f>VLOOKUP($Q10,[1]MEP!$A$4:$K$300,7)</f>
        <v>0.75</v>
      </c>
      <c r="Y10" s="76">
        <f>VLOOKUP($Q10,[1]MEP!$A$4:$K$300,8)</f>
        <v>0.75</v>
      </c>
      <c r="Z10" s="76">
        <f>VLOOKUP($Q10,[1]MEP!$A$4:$K$300,9)</f>
        <v>1.06</v>
      </c>
      <c r="AA10" s="76">
        <f>VLOOKUP($Q10,[1]MEP!$A$4:$K$300,10)</f>
        <v>0</v>
      </c>
      <c r="AC10" s="76">
        <f>VLOOKUP($Q10,[1]MEP!$A$4:$K$300,11)</f>
        <v>3.27</v>
      </c>
      <c r="AE10" s="61">
        <f t="shared" si="0"/>
        <v>4.9499999999999993</v>
      </c>
      <c r="AF10" s="61">
        <f t="shared" si="1"/>
        <v>0</v>
      </c>
      <c r="AG10" s="61">
        <f t="shared" si="2"/>
        <v>2.4749999999999996</v>
      </c>
      <c r="AH10" s="61">
        <f t="shared" si="3"/>
        <v>2.4749999999999996</v>
      </c>
      <c r="AI10" s="61">
        <f t="shared" si="4"/>
        <v>3.4979999999999998</v>
      </c>
      <c r="AJ10" s="61">
        <f t="shared" si="5"/>
        <v>0</v>
      </c>
      <c r="AK10" s="141"/>
      <c r="AL10" s="61">
        <f t="shared" si="6"/>
        <v>10.790999999999999</v>
      </c>
      <c r="AQ10" s="32"/>
      <c r="AR10" s="70">
        <v>4</v>
      </c>
      <c r="AS10" s="61">
        <f>IF(AS$4=4,AS$5,0)</f>
        <v>0.93215652173913055</v>
      </c>
      <c r="AT10" s="61">
        <f t="shared" ref="AT10:BP10" si="11">IF(AT$4=4,AT$5,0)</f>
        <v>0.93215652173913055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0.93215652173913055</v>
      </c>
      <c r="BP10" s="61">
        <f t="shared" si="11"/>
        <v>0.93215652173913055</v>
      </c>
      <c r="BR10" s="61">
        <f t="shared" si="9"/>
        <v>3.7286260869565222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239</v>
      </c>
      <c r="R11" s="39">
        <v>1.7</v>
      </c>
      <c r="S11" s="291" t="str">
        <f>VLOOKUP($Q11,[1]MEP!$A$5:$D$300,3)</f>
        <v>PP bonnne P prélèvement étalé</v>
      </c>
      <c r="T11" s="76" t="str">
        <f>VLOOKUP($Q11,[1]MEP!$A$5:$D$300,4)</f>
        <v>zone 1</v>
      </c>
      <c r="U11" s="76" t="str">
        <f>VLOOKUP($Q11,[1]MEP!$A$4:$K$300,2)</f>
        <v>P</v>
      </c>
      <c r="V11" s="76">
        <f>VLOOKUP($Q11,[1]MEP!$A$4:$K$300,5)</f>
        <v>3</v>
      </c>
      <c r="W11" s="76">
        <f>VLOOKUP($Q11,[1]MEP!$A$4:$K$300,6)</f>
        <v>2</v>
      </c>
      <c r="X11" s="76">
        <f>VLOOKUP($Q11,[1]MEP!$A$4:$K$300,7)</f>
        <v>1.5</v>
      </c>
      <c r="Y11" s="76">
        <f>VLOOKUP($Q11,[1]MEP!$A$4:$K$300,8)</f>
        <v>0.5</v>
      </c>
      <c r="Z11" s="76">
        <f>VLOOKUP($Q11,[1]MEP!$A$4:$K$300,9)</f>
        <v>0.5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5.0999999999999996</v>
      </c>
      <c r="AF11" s="61">
        <f t="shared" si="1"/>
        <v>3.4</v>
      </c>
      <c r="AG11" s="61">
        <f t="shared" si="2"/>
        <v>2.5499999999999998</v>
      </c>
      <c r="AH11" s="61">
        <f t="shared" si="3"/>
        <v>0.85</v>
      </c>
      <c r="AI11" s="61">
        <f t="shared" si="4"/>
        <v>0.85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1.1921981217391306</v>
      </c>
      <c r="AV11" s="61">
        <f t="shared" si="12"/>
        <v>1.1921981217391306</v>
      </c>
      <c r="AW11" s="61">
        <f t="shared" si="12"/>
        <v>2.6063096347826087</v>
      </c>
      <c r="AX11" s="61">
        <f t="shared" si="12"/>
        <v>8.0371668233043483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13.027872701565219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 s="3">
        <f>+O8+O30-5</f>
        <v>23</v>
      </c>
      <c r="P12">
        <v>6</v>
      </c>
      <c r="Q12" s="39"/>
      <c r="R12" s="39"/>
      <c r="S12" s="291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21.7</v>
      </c>
      <c r="G13" s="81"/>
      <c r="H13" s="61">
        <f>F61</f>
        <v>0</v>
      </c>
      <c r="I13" s="81"/>
      <c r="J13" s="81"/>
      <c r="K13" s="93">
        <f>H13-F13</f>
        <v>-21.7</v>
      </c>
      <c r="L13" s="81"/>
      <c r="M13" s="100"/>
      <c r="O13" s="3"/>
      <c r="P13">
        <v>7</v>
      </c>
      <c r="Q13" s="39"/>
      <c r="R13" s="39"/>
      <c r="S13" s="291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291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N15" s="3"/>
      <c r="P15">
        <v>9</v>
      </c>
      <c r="Q15" s="39"/>
      <c r="R15" s="39"/>
      <c r="S15" s="291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</v>
      </c>
      <c r="AT15" s="13">
        <f>'Conduite Trp'!H5</f>
        <v>0</v>
      </c>
      <c r="AU15" s="13">
        <f>'Conduite Trp'!I5</f>
        <v>0.35025029565217397</v>
      </c>
      <c r="AV15" s="13">
        <f>'Conduite Trp'!J5</f>
        <v>0.35025029565217397</v>
      </c>
      <c r="AW15" s="13">
        <f>'Conduite Trp'!K5</f>
        <v>0.38777711304347828</v>
      </c>
      <c r="AX15" s="13">
        <f>'Conduite Trp'!L5</f>
        <v>5.8186343015652184</v>
      </c>
      <c r="AY15" s="13">
        <f>'Conduite Trp'!M5</f>
        <v>8.006711835652176</v>
      </c>
      <c r="AZ15" s="13">
        <f>'Conduite Trp'!N5</f>
        <v>7.9838588504347836</v>
      </c>
      <c r="BA15" s="13">
        <f>'Conduite Trp'!O5</f>
        <v>6.5079109881739141</v>
      </c>
      <c r="BB15" s="13">
        <f>'Conduite Trp'!P5</f>
        <v>5.5896995280000006</v>
      </c>
      <c r="BC15" s="13">
        <f>'Conduite Trp'!Q5</f>
        <v>5.409386640000001</v>
      </c>
      <c r="BD15" s="13">
        <f>'Conduite Trp'!R5</f>
        <v>1.0937804347826088</v>
      </c>
      <c r="BE15" s="13">
        <f>'Conduite Trp'!S5</f>
        <v>1.1302397826086958</v>
      </c>
      <c r="BF15" s="13">
        <f>'Conduite Trp'!T5</f>
        <v>3.4607655326086957</v>
      </c>
      <c r="BG15" s="13">
        <f>'Conduite Trp'!U5</f>
        <v>3.4607655326086957</v>
      </c>
      <c r="BH15" s="13">
        <f>'Conduite Trp'!V5</f>
        <v>3.4607655326086957</v>
      </c>
      <c r="BI15" s="13">
        <f>'Conduite Trp'!W5</f>
        <v>1.0937804347826088</v>
      </c>
      <c r="BJ15" s="13">
        <f>'Conduite Trp'!X5</f>
        <v>1.0937804347826088</v>
      </c>
      <c r="BK15" s="13">
        <f>'Conduite Trp'!Y5</f>
        <v>1.8988649307478269</v>
      </c>
      <c r="BL15" s="13">
        <f>'Conduite Trp'!Z5</f>
        <v>4.2762400787826094</v>
      </c>
      <c r="BM15" s="13">
        <f>'Conduite Trp'!AA5</f>
        <v>1.2967500000000001</v>
      </c>
      <c r="BN15" s="13">
        <f>'Conduite Trp'!AB5</f>
        <v>1.270815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1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0.93215652173913055</v>
      </c>
      <c r="AT16" s="13">
        <f>'Conduite Trp'!H6</f>
        <v>0.93215652173913055</v>
      </c>
      <c r="AU16" s="13">
        <f>'Conduite Trp'!I6</f>
        <v>0.84194782608695662</v>
      </c>
      <c r="AV16" s="13">
        <f>'Conduite Trp'!J6</f>
        <v>0.84194782608695662</v>
      </c>
      <c r="AW16" s="13">
        <f>'Conduite Trp'!K6</f>
        <v>1.5100935652173912</v>
      </c>
      <c r="AX16" s="13">
        <f>'Conduite Trp'!L6</f>
        <v>1.5100935652173912</v>
      </c>
      <c r="AY16" s="13">
        <f>'Conduite Trp'!M6</f>
        <v>1.4613808695652175</v>
      </c>
      <c r="AZ16" s="13">
        <f>'Conduite Trp'!N6</f>
        <v>1.4613808695652175</v>
      </c>
      <c r="BA16" s="13">
        <f>'Conduite Trp'!O6</f>
        <v>3.6169017499999994</v>
      </c>
      <c r="BB16" s="13">
        <f>'Conduite Trp'!P6</f>
        <v>3.6169017499999994</v>
      </c>
      <c r="BC16" s="13">
        <f>'Conduite Trp'!Q6</f>
        <v>3.5002275000000003</v>
      </c>
      <c r="BD16" s="13">
        <f>'Conduite Trp'!R6</f>
        <v>3.5002275000000003</v>
      </c>
      <c r="BE16" s="13">
        <f>'Conduite Trp'!S6</f>
        <v>3.6169017499999994</v>
      </c>
      <c r="BF16" s="13">
        <f>'Conduite Trp'!T6</f>
        <v>1.286376</v>
      </c>
      <c r="BG16" s="13">
        <f>'Conduite Trp'!U6</f>
        <v>1.286376</v>
      </c>
      <c r="BH16" s="13">
        <f>'Conduite Trp'!V6</f>
        <v>1.286376</v>
      </c>
      <c r="BI16" s="13">
        <f>'Conduite Trp'!W6</f>
        <v>3.1635</v>
      </c>
      <c r="BJ16" s="13">
        <f>'Conduite Trp'!X6</f>
        <v>3.1635</v>
      </c>
      <c r="BK16" s="13">
        <f>'Conduite Trp'!Y6</f>
        <v>0</v>
      </c>
      <c r="BL16" s="13">
        <f>'Conduite Trp'!Z6</f>
        <v>0.22371756521739136</v>
      </c>
      <c r="BM16" s="13">
        <f>'Conduite Trp'!AA6</f>
        <v>1.6144372695652174</v>
      </c>
      <c r="BN16" s="13">
        <f>'Conduite Trp'!AB6</f>
        <v>1.6417288695652175</v>
      </c>
      <c r="BO16" s="13">
        <f>'Conduite Trp'!AC6</f>
        <v>0.22371756521739136</v>
      </c>
      <c r="BP16" s="13">
        <f>'Conduite Trp'!AD6</f>
        <v>0.93215652173913055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1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0.70843895652173916</v>
      </c>
      <c r="AX17" s="13">
        <f>'Conduite Trp'!L7</f>
        <v>0.70843895652173916</v>
      </c>
      <c r="AY17" s="13">
        <f>'Conduite Trp'!M7</f>
        <v>0.6855860869565219</v>
      </c>
      <c r="AZ17" s="13">
        <f>'Conduite Trp'!N7</f>
        <v>0.6855860869565219</v>
      </c>
      <c r="BA17" s="13">
        <f>'Conduite Trp'!O7</f>
        <v>0.70843895652173916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2.5836367199999999</v>
      </c>
      <c r="BL17" s="13">
        <f>'Conduite Trp'!Z7</f>
        <v>2.0413223965217391</v>
      </c>
      <c r="BM17" s="13">
        <f>'Conduite Trp'!AA7</f>
        <v>0.6855860869565219</v>
      </c>
      <c r="BN17" s="13">
        <f>'Conduite Trp'!AB7</f>
        <v>0.6855860869565219</v>
      </c>
      <c r="BO17" s="13">
        <f>'Conduite Trp'!AC7</f>
        <v>0.70843895652173916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1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O19" s="3"/>
      <c r="P19">
        <v>13</v>
      </c>
      <c r="Q19" s="39"/>
      <c r="R19" s="39"/>
      <c r="S19" s="291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8.006711835652176</v>
      </c>
      <c r="AZ19" s="61">
        <f t="shared" si="15"/>
        <v>7.9838588504347836</v>
      </c>
      <c r="BA19" s="61">
        <f t="shared" si="15"/>
        <v>6.5079109881739141</v>
      </c>
      <c r="BB19" s="61">
        <f t="shared" si="15"/>
        <v>5.5896995280000006</v>
      </c>
      <c r="BC19" s="61">
        <f t="shared" si="15"/>
        <v>5.409386640000001</v>
      </c>
      <c r="BD19" s="61">
        <f t="shared" si="15"/>
        <v>1.0937804347826088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34.591348277043487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1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1.1302397826086958</v>
      </c>
      <c r="BF20" s="61">
        <f t="shared" si="16"/>
        <v>3.4607655326086957</v>
      </c>
      <c r="BG20" s="61">
        <f t="shared" si="16"/>
        <v>3.4607655326086957</v>
      </c>
      <c r="BH20" s="61">
        <f t="shared" si="16"/>
        <v>3.4607655326086957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11.512536380434783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1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1.0937804347826088</v>
      </c>
      <c r="BJ21" s="61">
        <f t="shared" si="18"/>
        <v>1.0937804347826088</v>
      </c>
      <c r="BK21" s="61">
        <f t="shared" si="18"/>
        <v>1.8988649307478269</v>
      </c>
      <c r="BL21" s="61">
        <f t="shared" si="18"/>
        <v>4.2762400787826094</v>
      </c>
      <c r="BM21" s="61">
        <f t="shared" si="18"/>
        <v>1.2967500000000001</v>
      </c>
      <c r="BN21" s="61">
        <f t="shared" si="18"/>
        <v>1.270815</v>
      </c>
      <c r="BO21" s="61">
        <f t="shared" si="18"/>
        <v>0</v>
      </c>
      <c r="BP21" s="61">
        <f t="shared" si="18"/>
        <v>0</v>
      </c>
      <c r="BR21" s="61">
        <f t="shared" si="17"/>
        <v>10.930230879095655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1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1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0.35025029565217397</v>
      </c>
      <c r="AV23" s="61">
        <f t="shared" si="20"/>
        <v>0.35025029565217397</v>
      </c>
      <c r="AW23" s="61">
        <f t="shared" si="20"/>
        <v>0.38777711304347828</v>
      </c>
      <c r="AX23" s="61">
        <f t="shared" si="20"/>
        <v>5.8186343015652184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6.9069120059130444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54.91</v>
      </c>
      <c r="E24" s="61">
        <f t="shared" si="21"/>
        <v>21.175000000000001</v>
      </c>
      <c r="F24" s="61">
        <f t="shared" si="21"/>
        <v>36.465000000000003</v>
      </c>
      <c r="G24" s="61">
        <f t="shared" si="21"/>
        <v>17.056000000000001</v>
      </c>
      <c r="H24" s="61">
        <f t="shared" si="21"/>
        <v>25.509000000000004</v>
      </c>
      <c r="I24" s="61">
        <f t="shared" si="21"/>
        <v>0</v>
      </c>
      <c r="J24" s="63"/>
      <c r="K24" s="61">
        <f>AL27+AL49+AL71</f>
        <v>99.540999999999997</v>
      </c>
      <c r="L24" s="52"/>
      <c r="M24" s="100"/>
      <c r="P24">
        <v>18</v>
      </c>
      <c r="Q24" s="39"/>
      <c r="R24" s="39"/>
      <c r="S24" s="291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53.827979646608711</v>
      </c>
      <c r="E25" s="61">
        <f>BR8</f>
        <v>18.988566130434783</v>
      </c>
      <c r="F25" s="61">
        <f>BR9</f>
        <v>26.733245873878261</v>
      </c>
      <c r="G25" s="61">
        <f>BR10</f>
        <v>3.7286260869565222</v>
      </c>
      <c r="H25" s="61">
        <f>BR11</f>
        <v>13.027872701565219</v>
      </c>
      <c r="I25" s="61">
        <f>BR12</f>
        <v>0</v>
      </c>
      <c r="J25" s="63"/>
      <c r="K25" s="76">
        <f>'Conduite Trp'!C7</f>
        <v>144.9</v>
      </c>
      <c r="L25" s="63"/>
      <c r="M25" s="100"/>
      <c r="P25">
        <v>19</v>
      </c>
      <c r="Q25" s="39"/>
      <c r="R25" s="39"/>
      <c r="S25" s="291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1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1.082020353391286</v>
      </c>
      <c r="E27" s="93">
        <f t="shared" si="23"/>
        <v>2.1864338695652172</v>
      </c>
      <c r="F27" s="93">
        <f t="shared" si="23"/>
        <v>9.7317541261217428</v>
      </c>
      <c r="G27" s="93">
        <f t="shared" si="23"/>
        <v>13.327373913043479</v>
      </c>
      <c r="H27" s="93">
        <f t="shared" si="23"/>
        <v>12.481127298434785</v>
      </c>
      <c r="I27" s="93">
        <f t="shared" si="23"/>
        <v>0</v>
      </c>
      <c r="J27" s="63"/>
      <c r="K27" s="93">
        <f>K24-K25</f>
        <v>-45.359000000000009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35.46</v>
      </c>
      <c r="AF27" s="75">
        <f t="shared" ref="AF27:AJ27" si="24">SUM(AF7:AF26)</f>
        <v>11.500000000000002</v>
      </c>
      <c r="AG27" s="75">
        <f t="shared" si="24"/>
        <v>19.485000000000003</v>
      </c>
      <c r="AH27" s="75">
        <f t="shared" si="24"/>
        <v>12.924999999999999</v>
      </c>
      <c r="AI27" s="75">
        <f t="shared" si="24"/>
        <v>17.238000000000003</v>
      </c>
      <c r="AJ27" s="75">
        <f t="shared" si="24"/>
        <v>0</v>
      </c>
      <c r="AK27"/>
      <c r="AL27" s="75">
        <f>SUM(AL7:AL26)</f>
        <v>65.790999999999997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1.4613808695652175</v>
      </c>
      <c r="AZ27" s="61">
        <f t="shared" si="25"/>
        <v>1.4613808695652175</v>
      </c>
      <c r="BA27" s="61">
        <f t="shared" si="25"/>
        <v>3.6169017499999994</v>
      </c>
      <c r="BB27" s="61">
        <f t="shared" si="25"/>
        <v>3.6169017499999994</v>
      </c>
      <c r="BC27" s="61">
        <f t="shared" si="25"/>
        <v>3.5002275000000003</v>
      </c>
      <c r="BD27" s="61">
        <f t="shared" si="25"/>
        <v>3.5002275000000003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17.157020239130436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3.6169017499999994</v>
      </c>
      <c r="BF28" s="61">
        <f t="shared" si="26"/>
        <v>1.286376</v>
      </c>
      <c r="BG28" s="61">
        <f t="shared" si="26"/>
        <v>1.286376</v>
      </c>
      <c r="BH28" s="61">
        <f t="shared" si="26"/>
        <v>1.286376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7.4760297499999986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9.3000000000000007</v>
      </c>
      <c r="P29">
        <v>1</v>
      </c>
      <c r="Q29" s="39">
        <v>239</v>
      </c>
      <c r="R29" s="39">
        <v>4.3</v>
      </c>
      <c r="S29" s="291" t="str">
        <f>VLOOKUP($Q29,[1]MEP!$A$5:$D$300,3)</f>
        <v>PP bonnne P prélèvement étalé</v>
      </c>
      <c r="T29" s="76" t="str">
        <f>VLOOKUP($Q29,[1]MEP!$A$5:$D$300,4)</f>
        <v>zone 1</v>
      </c>
      <c r="U29" s="76" t="str">
        <f>VLOOKUP($Q29,[1]MEP!$A$4:$K$300,2)</f>
        <v>P</v>
      </c>
      <c r="V29" s="76">
        <f>VLOOKUP($Q29,[1]MEP!$A$4:$K$300,5)</f>
        <v>3</v>
      </c>
      <c r="W29" s="76">
        <f>VLOOKUP($Q29,[1]MEP!$A$4:$K$300,6)</f>
        <v>2</v>
      </c>
      <c r="X29" s="76">
        <f>VLOOKUP($Q29,[1]MEP!$A$4:$K$300,7)</f>
        <v>1.5</v>
      </c>
      <c r="Y29" s="76">
        <f>VLOOKUP($Q29,[1]MEP!$A$4:$K$300,8)</f>
        <v>0.5</v>
      </c>
      <c r="Z29" s="76">
        <f>VLOOKUP($Q29,[1]MEP!$A$4:$K$300,9)</f>
        <v>0.5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12.899999999999999</v>
      </c>
      <c r="AF29" s="61">
        <f t="shared" ref="AF29:AF48" si="29">$R29*W29</f>
        <v>8.6</v>
      </c>
      <c r="AG29" s="61">
        <f t="shared" ref="AG29:AG48" si="30">$R29*X29</f>
        <v>6.4499999999999993</v>
      </c>
      <c r="AH29" s="61">
        <f t="shared" ref="AH29:AH48" si="31">$R29*Y29</f>
        <v>2.15</v>
      </c>
      <c r="AI29" s="61">
        <f t="shared" ref="AI29:AI48" si="32">$R29*Z29</f>
        <v>2.15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3.1635</v>
      </c>
      <c r="BJ29" s="61">
        <f t="shared" si="35"/>
        <v>3.1635</v>
      </c>
      <c r="BK29" s="61">
        <f t="shared" si="35"/>
        <v>0</v>
      </c>
      <c r="BL29" s="61">
        <f t="shared" si="35"/>
        <v>0.22371756521739136</v>
      </c>
      <c r="BM29" s="61">
        <f t="shared" si="35"/>
        <v>1.6144372695652174</v>
      </c>
      <c r="BN29" s="61">
        <f t="shared" si="35"/>
        <v>1.6417288695652175</v>
      </c>
      <c r="BO29" s="61">
        <f t="shared" si="35"/>
        <v>0</v>
      </c>
      <c r="BP29" s="61">
        <f t="shared" si="35"/>
        <v>0</v>
      </c>
      <c r="BR29" s="61">
        <f t="shared" si="27"/>
        <v>9.8068837043478254</v>
      </c>
    </row>
    <row r="30" spans="2:72" ht="15" customHeight="1" x14ac:dyDescent="0.25">
      <c r="N30" s="17" t="s">
        <v>89</v>
      </c>
      <c r="O30" s="286">
        <f>SUM(R29:R48)</f>
        <v>9.3000000000000007</v>
      </c>
      <c r="P30">
        <v>2</v>
      </c>
      <c r="Q30" s="39">
        <v>242</v>
      </c>
      <c r="R30" s="39"/>
      <c r="S30" s="291" t="str">
        <f>VLOOKUP($Q30,[1]MEP!$A$5:$D$300,3)</f>
        <v>PP bonne 1 coupe estivales</v>
      </c>
      <c r="T30" s="76" t="str">
        <f>VLOOKUP($Q30,[1]MEP!$A$5:$D$300,4)</f>
        <v>zone 1</v>
      </c>
      <c r="U30" s="76" t="str">
        <f>VLOOKUP($Q30,[1]MEP!$A$4:$K$300,2)</f>
        <v>F/P</v>
      </c>
      <c r="V30" s="76">
        <f>VLOOKUP($Q30,[1]MEP!$A$4:$K$300,5)</f>
        <v>1.5</v>
      </c>
      <c r="W30" s="76">
        <f>VLOOKUP($Q30,[1]MEP!$A$4:$K$300,6)</f>
        <v>0</v>
      </c>
      <c r="X30" s="76">
        <f>VLOOKUP($Q30,[1]MEP!$A$4:$K$300,7)</f>
        <v>0.75</v>
      </c>
      <c r="Y30" s="76">
        <f>VLOOKUP($Q30,[1]MEP!$A$4:$K$300,8)</f>
        <v>0.75</v>
      </c>
      <c r="Z30" s="76">
        <f>VLOOKUP($Q30,[1]MEP!$A$4:$K$300,9)</f>
        <v>1.06</v>
      </c>
      <c r="AA30" s="76">
        <f>VLOOKUP($Q30,[1]MEP!$A$4:$K$300,10)</f>
        <v>0</v>
      </c>
      <c r="AC30" s="76">
        <f>VLOOKUP($Q30,[1]MEP!$A$4:$K$300,11)</f>
        <v>3.27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0.93215652173913055</v>
      </c>
      <c r="AT30" s="61">
        <f t="shared" ref="AT30:BP30" si="36">IF(AT$4=4,AT$16,0)</f>
        <v>0.93215652173913055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0.22371756521739136</v>
      </c>
      <c r="BP30" s="61">
        <f t="shared" si="36"/>
        <v>0.93215652173913055</v>
      </c>
      <c r="BR30" s="61">
        <f t="shared" si="27"/>
        <v>3.0201871304347829</v>
      </c>
    </row>
    <row r="31" spans="2:72" ht="15" customHeight="1" x14ac:dyDescent="0.25">
      <c r="D31" s="43" t="s">
        <v>311</v>
      </c>
      <c r="P31">
        <v>3</v>
      </c>
      <c r="Q31" s="39">
        <v>194</v>
      </c>
      <c r="R31" s="39">
        <v>5</v>
      </c>
      <c r="S31" s="291" t="str">
        <f>VLOOKUP($Q31,[1]MEP!$A$5:$D$300,3)</f>
        <v>PT Excellente 2 coupes avec deprimage</v>
      </c>
      <c r="T31" s="76" t="str">
        <f>VLOOKUP($Q31,[1]MEP!$A$5:$D$300,4)</f>
        <v>zone 1</v>
      </c>
      <c r="U31" s="76" t="str">
        <f>VLOOKUP($Q31,[1]MEP!$A$4:$K$300,2)</f>
        <v>F/P</v>
      </c>
      <c r="V31" s="76">
        <f>VLOOKUP($Q31,[1]MEP!$A$4:$K$300,5)</f>
        <v>0.88000000000000012</v>
      </c>
      <c r="W31" s="76">
        <f>VLOOKUP($Q31,[1]MEP!$A$4:$K$300,6)</f>
        <v>0</v>
      </c>
      <c r="X31" s="76">
        <f>VLOOKUP($Q31,[1]MEP!$A$4:$K$300,7)</f>
        <v>0.82799999999999996</v>
      </c>
      <c r="Y31" s="76">
        <f>VLOOKUP($Q31,[1]MEP!$A$4:$K$300,8)</f>
        <v>0.20699999999999999</v>
      </c>
      <c r="Z31" s="76">
        <f>VLOOKUP($Q31,[1]MEP!$A$4:$K$300,9)</f>
        <v>1.0349999999999999</v>
      </c>
      <c r="AA31" s="76">
        <f>VLOOKUP($Q31,[1]MEP!$A$4:$K$300,10)</f>
        <v>0</v>
      </c>
      <c r="AC31" s="76">
        <f>VLOOKUP($Q31,[1]MEP!$A$4:$K$300,11)</f>
        <v>6.75</v>
      </c>
      <c r="AE31" s="61">
        <f t="shared" si="28"/>
        <v>4.4000000000000004</v>
      </c>
      <c r="AF31" s="61">
        <f t="shared" si="29"/>
        <v>0</v>
      </c>
      <c r="AG31" s="61">
        <f t="shared" si="30"/>
        <v>4.1399999999999997</v>
      </c>
      <c r="AH31" s="61">
        <f t="shared" si="31"/>
        <v>1.0349999999999999</v>
      </c>
      <c r="AI31" s="61">
        <f t="shared" si="32"/>
        <v>5.1749999999999998</v>
      </c>
      <c r="AJ31" s="61">
        <f t="shared" si="33"/>
        <v>0</v>
      </c>
      <c r="AK31"/>
      <c r="AL31" s="61">
        <f t="shared" si="34"/>
        <v>33.75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0.84194782608695662</v>
      </c>
      <c r="AV31" s="61">
        <f t="shared" si="37"/>
        <v>0.84194782608695662</v>
      </c>
      <c r="AW31" s="61">
        <f t="shared" si="37"/>
        <v>1.5100935652173912</v>
      </c>
      <c r="AX31" s="61">
        <f t="shared" si="37"/>
        <v>1.5100935652173912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4.7040827826086957</v>
      </c>
    </row>
    <row r="32" spans="2:72" x14ac:dyDescent="0.25">
      <c r="D32" s="68" t="s">
        <v>267</v>
      </c>
      <c r="E32" s="68" t="s">
        <v>18</v>
      </c>
      <c r="F32" s="296" t="s">
        <v>276</v>
      </c>
      <c r="G32" s="296"/>
      <c r="H32" s="82"/>
      <c r="I32" s="68" t="s">
        <v>280</v>
      </c>
      <c r="J32" s="82" t="s">
        <v>280</v>
      </c>
      <c r="K32" s="296" t="s">
        <v>278</v>
      </c>
      <c r="L32" s="296"/>
      <c r="M32" s="82"/>
      <c r="P32">
        <v>4</v>
      </c>
      <c r="Q32" s="39"/>
      <c r="R32" s="39"/>
      <c r="S32" s="291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91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1 </v>
      </c>
      <c r="D34" s="39">
        <v>6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13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13</v>
      </c>
      <c r="P34">
        <v>6</v>
      </c>
      <c r="Q34" s="39"/>
      <c r="R34" s="39"/>
      <c r="S34" s="291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91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0.6855860869565219</v>
      </c>
      <c r="AZ35" s="61">
        <f t="shared" si="43"/>
        <v>0.6855860869565219</v>
      </c>
      <c r="BA35" s="61">
        <f t="shared" si="43"/>
        <v>0.70843895652173916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2.0796111304347829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91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1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2.5836367199999999</v>
      </c>
      <c r="BL37" s="61">
        <f t="shared" si="46"/>
        <v>2.0413223965217391</v>
      </c>
      <c r="BM37" s="61">
        <f t="shared" si="46"/>
        <v>0.6855860869565219</v>
      </c>
      <c r="BN37" s="61">
        <f t="shared" si="46"/>
        <v>0.6855860869565219</v>
      </c>
      <c r="BO37" s="61">
        <f t="shared" si="46"/>
        <v>0</v>
      </c>
      <c r="BP37" s="61">
        <f t="shared" si="46"/>
        <v>0</v>
      </c>
      <c r="BR37" s="61">
        <f t="shared" si="45"/>
        <v>5.9961312904347821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1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0.70843895652173916</v>
      </c>
      <c r="BP38" s="61">
        <f t="shared" si="47"/>
        <v>0</v>
      </c>
      <c r="BR38" s="61">
        <f t="shared" si="45"/>
        <v>0.70843895652173916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1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0.70843895652173916</v>
      </c>
      <c r="AX39" s="61">
        <f t="shared" si="48"/>
        <v>0.70843895652173916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1.4168779130434783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1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1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1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1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1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1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1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1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1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17.299999999999997</v>
      </c>
      <c r="AF49" s="75">
        <f t="shared" ref="AF49" si="50">SUM(AF29:AF48)</f>
        <v>8.6</v>
      </c>
      <c r="AG49" s="75">
        <f t="shared" ref="AG49" si="51">SUM(AG29:AG48)</f>
        <v>10.59</v>
      </c>
      <c r="AH49" s="75">
        <f t="shared" ref="AH49" si="52">SUM(AH29:AH48)</f>
        <v>3.1849999999999996</v>
      </c>
      <c r="AI49" s="75">
        <f t="shared" ref="AI49" si="53">SUM(AI29:AI48)</f>
        <v>7.3249999999999993</v>
      </c>
      <c r="AJ49" s="75">
        <f t="shared" ref="AJ49" si="54">SUM(AJ29:AJ48)</f>
        <v>0</v>
      </c>
      <c r="AK49"/>
      <c r="AL49" s="75">
        <f>SUM(AL29:AL48)</f>
        <v>33.75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11.1</v>
      </c>
      <c r="P51">
        <v>1</v>
      </c>
      <c r="Q51" s="39">
        <v>17</v>
      </c>
      <c r="R51" s="39">
        <v>4.3</v>
      </c>
      <c r="S51" s="291" t="str">
        <f>VLOOKUP($Q51,[1]MEP!$A$5:$D$300,3)</f>
        <v>landes privées</v>
      </c>
      <c r="T51" s="76" t="str">
        <f>VLOOKUP($Q51,[1]MEP!$A$5:$D$300,4)</f>
        <v>zone 1</v>
      </c>
      <c r="U51" s="76" t="str">
        <f>VLOOKUP($Q51,[1]MEP!$A$4:$K$300,2)</f>
        <v>P</v>
      </c>
      <c r="V51" s="76">
        <f>VLOOKUP($Q51,[1]MEP!$A$4:$K$300,5)</f>
        <v>0.5</v>
      </c>
      <c r="W51" s="76">
        <f>VLOOKUP($Q51,[1]MEP!$A$4:$K$300,6)</f>
        <v>0.25</v>
      </c>
      <c r="X51" s="76">
        <f>VLOOKUP($Q51,[1]MEP!$A$4:$K$300,7)</f>
        <v>0.3</v>
      </c>
      <c r="Y51" s="76">
        <f>VLOOKUP($Q51,[1]MEP!$A$4:$K$300,8)</f>
        <v>0.22</v>
      </c>
      <c r="Z51" s="76">
        <f>VLOOKUP($Q51,[1]MEP!$A$4:$K$300,9)</f>
        <v>0.22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2.15</v>
      </c>
      <c r="AF51" s="61">
        <f t="shared" ref="AF51:AF70" si="61">$R51*W51</f>
        <v>1.075</v>
      </c>
      <c r="AG51" s="61">
        <f t="shared" ref="AG51:AG70" si="62">$R51*X51</f>
        <v>1.2899999999999998</v>
      </c>
      <c r="AH51" s="61">
        <f t="shared" ref="AH51:AH70" si="63">$R51*Y51</f>
        <v>0.94599999999999995</v>
      </c>
      <c r="AI51" s="61">
        <f t="shared" ref="AI51:AI70" si="64">$R51*Z51</f>
        <v>0.94599999999999995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11.1</v>
      </c>
      <c r="P52">
        <v>2</v>
      </c>
      <c r="Q52" s="39">
        <v>172</v>
      </c>
      <c r="R52" s="39">
        <v>6.8</v>
      </c>
      <c r="S52" s="291" t="str">
        <f>VLOOKUP($Q52,[1]MEP!$A$5:$D$300,3)</f>
        <v xml:space="preserve">landes privées </v>
      </c>
      <c r="T52" s="76" t="str">
        <f>VLOOKUP($Q52,[1]MEP!$A$5:$D$300,4)</f>
        <v>zone 1</v>
      </c>
      <c r="U52" s="76" t="str">
        <f>VLOOKUP($Q52,[1]MEP!$A$4:$K$300,2)</f>
        <v>P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0.75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5.0999999999999996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1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1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1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1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1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1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1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1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1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1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1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1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1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1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1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1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1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1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2.15</v>
      </c>
      <c r="AF71" s="75">
        <f t="shared" si="68"/>
        <v>1.075</v>
      </c>
      <c r="AG71" s="75">
        <f t="shared" si="68"/>
        <v>6.39</v>
      </c>
      <c r="AH71" s="75">
        <f t="shared" si="68"/>
        <v>0.94599999999999995</v>
      </c>
      <c r="AI71" s="75">
        <f t="shared" si="68"/>
        <v>0.94599999999999995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35.46</v>
      </c>
      <c r="E72" s="61">
        <f t="shared" ref="E72:H72" si="69">AF27</f>
        <v>11.500000000000002</v>
      </c>
      <c r="F72" s="61">
        <f t="shared" si="69"/>
        <v>19.485000000000003</v>
      </c>
      <c r="G72" s="61">
        <f t="shared" si="69"/>
        <v>12.924999999999999</v>
      </c>
      <c r="H72" s="61">
        <f t="shared" si="69"/>
        <v>17.238000000000003</v>
      </c>
      <c r="I72" s="61">
        <f t="shared" ref="I72" si="70">AJ75+AJ97+AJ119</f>
        <v>0</v>
      </c>
      <c r="J72" s="63"/>
      <c r="K72" s="61">
        <f>+K24</f>
        <v>99.540999999999997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34.591348277043487</v>
      </c>
      <c r="E73" s="61">
        <f>BR20</f>
        <v>11.512536380434783</v>
      </c>
      <c r="F73" s="61">
        <f>BR21</f>
        <v>10.930230879095655</v>
      </c>
      <c r="G73" s="61">
        <f>BR22</f>
        <v>0</v>
      </c>
      <c r="H73" s="61">
        <f>BR23</f>
        <v>6.9069120059130444</v>
      </c>
      <c r="I73" s="61">
        <f>BR60</f>
        <v>0</v>
      </c>
      <c r="J73" s="63"/>
      <c r="K73" s="76">
        <f>+K25</f>
        <v>144.9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0.86865172295651405</v>
      </c>
      <c r="E75" s="93">
        <f t="shared" ref="E75:I75" si="71">E72-E73</f>
        <v>-1.2536380434781336E-2</v>
      </c>
      <c r="F75" s="93">
        <f t="shared" si="71"/>
        <v>8.5547691209043482</v>
      </c>
      <c r="G75" s="93">
        <f t="shared" si="71"/>
        <v>12.924999999999999</v>
      </c>
      <c r="H75" s="93">
        <f t="shared" si="71"/>
        <v>10.331087994086959</v>
      </c>
      <c r="I75" s="93">
        <f t="shared" si="71"/>
        <v>0</v>
      </c>
      <c r="J75" s="63"/>
      <c r="K75" s="93">
        <f>+K27</f>
        <v>-45.359000000000009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17.299999999999997</v>
      </c>
      <c r="E82" s="61">
        <f t="shared" ref="E82:H82" si="72">AF49</f>
        <v>8.6</v>
      </c>
      <c r="F82" s="61">
        <f t="shared" si="72"/>
        <v>10.59</v>
      </c>
      <c r="G82" s="61">
        <f t="shared" si="72"/>
        <v>3.1849999999999996</v>
      </c>
      <c r="H82" s="61">
        <f t="shared" si="72"/>
        <v>7.3249999999999993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17.157020239130436</v>
      </c>
      <c r="E83" s="61">
        <f>BR28</f>
        <v>7.4760297499999986</v>
      </c>
      <c r="F83" s="61">
        <f>BR29</f>
        <v>9.8068837043478254</v>
      </c>
      <c r="G83" s="61">
        <f>BR30</f>
        <v>3.0201871304347829</v>
      </c>
      <c r="H83" s="61">
        <f>BR31</f>
        <v>4.7040827826086957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0.14297976086956155</v>
      </c>
      <c r="E85" s="93">
        <f t="shared" ref="E85:H85" si="73">E82-E83</f>
        <v>1.1239702500000011</v>
      </c>
      <c r="F85" s="93">
        <f t="shared" si="73"/>
        <v>0.78311629565217444</v>
      </c>
      <c r="G85" s="93">
        <f t="shared" si="73"/>
        <v>0.16481286956521668</v>
      </c>
      <c r="H85" s="93">
        <f t="shared" si="73"/>
        <v>2.6209172173913036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2.15</v>
      </c>
      <c r="E92" s="61">
        <f t="shared" ref="E92:I92" si="74">AF71</f>
        <v>1.075</v>
      </c>
      <c r="F92" s="61">
        <f t="shared" si="74"/>
        <v>6.39</v>
      </c>
      <c r="G92" s="61">
        <f t="shared" si="74"/>
        <v>0.94599999999999995</v>
      </c>
      <c r="H92" s="61">
        <f t="shared" si="74"/>
        <v>0.94599999999999995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2.0796111304347829</v>
      </c>
      <c r="E93" s="61">
        <f>BR36</f>
        <v>0</v>
      </c>
      <c r="F93" s="61">
        <f>BR37</f>
        <v>5.9961312904347821</v>
      </c>
      <c r="G93" s="61">
        <f>BR38</f>
        <v>0.70843895652173916</v>
      </c>
      <c r="H93" s="61">
        <f>BR39</f>
        <v>1.4168779130434783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7.038886956521706E-2</v>
      </c>
      <c r="E95" s="93">
        <f t="shared" ref="E95:H95" si="75">E92-E93</f>
        <v>1.075</v>
      </c>
      <c r="F95" s="93">
        <f t="shared" si="75"/>
        <v>0.39386870956521758</v>
      </c>
      <c r="G95" s="93">
        <f t="shared" si="75"/>
        <v>0.23756104347826079</v>
      </c>
      <c r="H95" s="93">
        <f t="shared" si="75"/>
        <v>-0.47087791304347837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B22" sqref="B22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3" t="s">
        <v>1446</v>
      </c>
      <c r="B3" s="293" t="s">
        <v>1442</v>
      </c>
    </row>
    <row r="4" spans="1:5" x14ac:dyDescent="0.25">
      <c r="A4" s="293" t="s">
        <v>1445</v>
      </c>
      <c r="B4" t="s">
        <v>487</v>
      </c>
      <c r="C4" t="s">
        <v>450</v>
      </c>
      <c r="D4" t="s">
        <v>1443</v>
      </c>
      <c r="E4" t="s">
        <v>1444</v>
      </c>
    </row>
    <row r="5" spans="1:5" x14ac:dyDescent="0.25">
      <c r="A5" s="15">
        <v>17</v>
      </c>
      <c r="B5" s="294"/>
      <c r="C5" s="294">
        <v>4.3</v>
      </c>
      <c r="D5" s="294"/>
      <c r="E5" s="294">
        <v>4.3</v>
      </c>
    </row>
    <row r="6" spans="1:5" x14ac:dyDescent="0.25">
      <c r="A6" s="15">
        <v>172</v>
      </c>
      <c r="B6" s="294">
        <v>6.8</v>
      </c>
      <c r="C6" s="294"/>
      <c r="D6" s="294"/>
      <c r="E6" s="294">
        <v>6.8</v>
      </c>
    </row>
    <row r="7" spans="1:5" x14ac:dyDescent="0.25">
      <c r="A7" s="15">
        <v>239</v>
      </c>
      <c r="B7" s="294">
        <v>2.8000000000000003</v>
      </c>
      <c r="C7" s="294"/>
      <c r="D7" s="294"/>
      <c r="E7" s="294">
        <v>2.8000000000000003</v>
      </c>
    </row>
    <row r="8" spans="1:5" x14ac:dyDescent="0.25">
      <c r="A8" s="15">
        <v>266</v>
      </c>
      <c r="B8" s="294"/>
      <c r="C8" s="294">
        <v>1.7</v>
      </c>
      <c r="D8" s="294"/>
      <c r="E8" s="294">
        <v>1.7</v>
      </c>
    </row>
    <row r="9" spans="1:5" x14ac:dyDescent="0.25">
      <c r="A9" s="15" t="s">
        <v>1443</v>
      </c>
      <c r="B9" s="294"/>
      <c r="C9" s="294"/>
      <c r="D9" s="294"/>
      <c r="E9" s="294"/>
    </row>
    <row r="10" spans="1:5" x14ac:dyDescent="0.25">
      <c r="A10" s="15">
        <v>290</v>
      </c>
      <c r="B10" s="294"/>
      <c r="C10" s="294">
        <v>1</v>
      </c>
      <c r="D10" s="294"/>
      <c r="E10" s="294">
        <v>1</v>
      </c>
    </row>
    <row r="11" spans="1:5" x14ac:dyDescent="0.25">
      <c r="A11" s="15">
        <v>194</v>
      </c>
      <c r="B11" s="294">
        <v>5</v>
      </c>
      <c r="C11" s="294"/>
      <c r="D11" s="294"/>
      <c r="E11" s="294">
        <v>5</v>
      </c>
    </row>
    <row r="12" spans="1:5" x14ac:dyDescent="0.25">
      <c r="A12" s="15">
        <v>242</v>
      </c>
      <c r="B12" s="294">
        <v>1.5</v>
      </c>
      <c r="C12" s="294">
        <v>5</v>
      </c>
      <c r="D12" s="294"/>
      <c r="E12" s="294">
        <v>6.5</v>
      </c>
    </row>
    <row r="13" spans="1:5" x14ac:dyDescent="0.25">
      <c r="A13" s="15">
        <v>241</v>
      </c>
      <c r="B13" s="294"/>
      <c r="C13" s="294">
        <v>11</v>
      </c>
      <c r="D13" s="294"/>
      <c r="E13" s="294">
        <v>11</v>
      </c>
    </row>
    <row r="14" spans="1:5" x14ac:dyDescent="0.25">
      <c r="A14" s="15" t="s">
        <v>543</v>
      </c>
      <c r="B14" s="294">
        <v>1</v>
      </c>
      <c r="C14" s="294"/>
      <c r="D14" s="294"/>
      <c r="E14" s="294">
        <v>1</v>
      </c>
    </row>
    <row r="15" spans="1:5" x14ac:dyDescent="0.25">
      <c r="A15" s="15" t="s">
        <v>1444</v>
      </c>
      <c r="B15" s="294">
        <v>17.100000000000001</v>
      </c>
      <c r="C15" s="294">
        <v>23</v>
      </c>
      <c r="D15" s="294"/>
      <c r="E15" s="294">
        <v>40.1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tabSelected="1" zoomScale="80" workbookViewId="0">
      <selection activeCell="O2" sqref="O2:Q23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487</v>
      </c>
      <c r="E2" s="9">
        <v>3</v>
      </c>
      <c r="F2" s="9">
        <v>239</v>
      </c>
      <c r="G2" s="292">
        <v>0.8</v>
      </c>
      <c r="H2" s="292"/>
      <c r="I2" s="9">
        <v>2</v>
      </c>
      <c r="J2" s="9">
        <v>0.5</v>
      </c>
      <c r="K2" s="8">
        <f>IF(B2=2,0,IF(I2=$Y$11,G2*$AB$11,IF(I2=$Y$12,G2*$AB$12,IF(I2=$Y$13,G2*$AB$13,""))))</f>
        <v>0.8</v>
      </c>
      <c r="L2" s="8">
        <f t="shared" ref="L2:L33" si="0">IF(J2=$Y$6,K2*$AA$6,IF(J2=$Y$7,K2*$AA$7,IF(J2=$Y$8,K2*$AA$8,"")))</f>
        <v>0.88000000000000012</v>
      </c>
      <c r="M2" s="10">
        <f>IF(I2=$Y$11,SQRT(L2*10000),SQRT(Parcellaire!L2*10000)/$AC$12)</f>
        <v>66.332495807108003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298.49623113198606</v>
      </c>
      <c r="U2" s="10">
        <f t="shared" ref="U2:U39" si="5">IF(C2=2,Q2*M2,0)</f>
        <v>198.99748742132402</v>
      </c>
      <c r="V2" s="27">
        <f t="shared" ref="V2:V39" si="6">O2*M2</f>
        <v>397.99497484264805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487</v>
      </c>
      <c r="E3" s="9">
        <v>3</v>
      </c>
      <c r="F3" s="9">
        <v>239</v>
      </c>
      <c r="G3" s="292">
        <v>0.9</v>
      </c>
      <c r="H3" s="292"/>
      <c r="I3" s="9">
        <v>3</v>
      </c>
      <c r="J3" s="9">
        <v>0.5</v>
      </c>
      <c r="K3" s="8">
        <f t="shared" ref="K3:K24" si="7">IF(B3=2,0,IF(I3=$Y$11,G3*$AB$11,IF(I3=$Y$12,G3*$AB$12,IF(I3=$Y$13,G3*$AB$13,""))))</f>
        <v>0.9900000000000001</v>
      </c>
      <c r="L3" s="8">
        <f t="shared" ref="L3:L24" si="8">IF(J3=$Y$6,K3*$AA$6,IF(J3=$Y$7,K3*$AA$7,IF(J3=$Y$8,K3*$AA$8,"")))</f>
        <v>1.0890000000000002</v>
      </c>
      <c r="M3" s="10">
        <f>IF(I3=$Y$11,SQRT(L3*10000),SQRT(Parcellaire!L3*10000)/$AC$12)</f>
        <v>73.79024325749306</v>
      </c>
      <c r="N3" s="10">
        <f t="shared" ref="N3:N24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332.05609465871879</v>
      </c>
      <c r="U3" s="10">
        <f>IF(C3=2,Q3*M3,0)</f>
        <v>221.37072977247919</v>
      </c>
      <c r="V3" s="27">
        <f t="shared" si="6"/>
        <v>442.74145954495839</v>
      </c>
      <c r="W3" s="3"/>
      <c r="X3" s="3"/>
    </row>
    <row r="4" spans="1:29" ht="15" customHeight="1" x14ac:dyDescent="0.25">
      <c r="A4" s="8">
        <v>3</v>
      </c>
      <c r="B4" s="9">
        <v>2</v>
      </c>
      <c r="C4" s="9">
        <v>2</v>
      </c>
      <c r="D4" s="9" t="s">
        <v>487</v>
      </c>
      <c r="E4" s="9" t="s">
        <v>543</v>
      </c>
      <c r="F4" s="9"/>
      <c r="G4" s="292">
        <v>1</v>
      </c>
      <c r="H4" s="292"/>
      <c r="I4" s="9">
        <v>2</v>
      </c>
      <c r="J4" s="9">
        <v>0</v>
      </c>
      <c r="K4" s="8">
        <f t="shared" si="7"/>
        <v>0</v>
      </c>
      <c r="L4" s="8">
        <f t="shared" si="8"/>
        <v>0</v>
      </c>
      <c r="M4" s="10">
        <f>IF(I4=$Y$11,SQRT(L4*10000),SQRT(Parcellaire!L4*10000)/$AC$12)</f>
        <v>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0</v>
      </c>
      <c r="U4" s="10">
        <f>IF(C4=2,Q4*M4,0)</f>
        <v>0</v>
      </c>
      <c r="V4" s="27">
        <f t="shared" si="6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/>
      <c r="C5" s="9"/>
      <c r="D5" s="9"/>
      <c r="E5" s="9"/>
      <c r="F5" s="9"/>
      <c r="G5" s="292"/>
      <c r="H5" s="292"/>
      <c r="I5" s="9"/>
      <c r="J5" s="9"/>
      <c r="K5" s="8" t="str">
        <f t="shared" si="7"/>
        <v/>
      </c>
      <c r="L5" s="8" t="e">
        <f t="shared" si="8"/>
        <v>#VALUE!</v>
      </c>
      <c r="M5" s="10" t="e">
        <f>IF(I5=$Y$11,SQRT(L5*10000),SQRT(Parcellaire!L5*10000)/$AC$12)</f>
        <v>#VALUE!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 t="e">
        <f t="shared" si="4"/>
        <v>#VALUE!</v>
      </c>
      <c r="U5" s="10">
        <f t="shared" si="5"/>
        <v>0</v>
      </c>
      <c r="V5" s="27" t="e">
        <f t="shared" si="6"/>
        <v>#VALUE!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1</v>
      </c>
      <c r="C6" s="9">
        <v>2</v>
      </c>
      <c r="D6" s="9" t="s">
        <v>487</v>
      </c>
      <c r="E6" s="9">
        <v>2</v>
      </c>
      <c r="F6" s="9">
        <v>239</v>
      </c>
      <c r="G6" s="292">
        <v>1.1000000000000001</v>
      </c>
      <c r="H6" s="292"/>
      <c r="I6" s="9">
        <v>3</v>
      </c>
      <c r="J6" s="9">
        <v>0.5</v>
      </c>
      <c r="K6" s="8">
        <f t="shared" si="7"/>
        <v>1.2100000000000002</v>
      </c>
      <c r="L6" s="8">
        <f t="shared" si="8"/>
        <v>1.3310000000000004</v>
      </c>
      <c r="M6" s="10">
        <f>IF(I6=$Y$11,SQRT(L6*10000),SQRT(Parcellaire!L6*10000)/$AC$12)</f>
        <v>81.5781833580523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367.10182511123537</v>
      </c>
      <c r="U6" s="10">
        <f t="shared" si="5"/>
        <v>244.73455007415691</v>
      </c>
      <c r="V6" s="27">
        <f t="shared" si="6"/>
        <v>489.46910014831383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1</v>
      </c>
      <c r="C7" s="9">
        <v>2</v>
      </c>
      <c r="D7" s="9" t="s">
        <v>487</v>
      </c>
      <c r="E7" s="9">
        <v>3</v>
      </c>
      <c r="F7" s="9">
        <v>242</v>
      </c>
      <c r="G7" s="292">
        <v>1.5</v>
      </c>
      <c r="H7" s="292"/>
      <c r="I7" s="9">
        <v>3</v>
      </c>
      <c r="J7" s="9">
        <v>0.5</v>
      </c>
      <c r="K7" s="8">
        <f t="shared" si="7"/>
        <v>1.6500000000000001</v>
      </c>
      <c r="L7" s="8">
        <f t="shared" si="8"/>
        <v>1.8150000000000004</v>
      </c>
      <c r="M7" s="10">
        <f>IF(I7=$Y$11,SQRT(L7*10000),SQRT(Parcellaire!L7*10000)/$AC$12)</f>
        <v>95.262794416288244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428.68257487329714</v>
      </c>
      <c r="U7" s="10">
        <f t="shared" si="5"/>
        <v>285.78838324886476</v>
      </c>
      <c r="V7" s="27">
        <f t="shared" si="6"/>
        <v>571.57676649772952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450</v>
      </c>
      <c r="E8" s="9">
        <v>3</v>
      </c>
      <c r="F8" s="9">
        <v>242</v>
      </c>
      <c r="G8" s="292">
        <v>2</v>
      </c>
      <c r="H8" s="292"/>
      <c r="I8" s="9">
        <v>3</v>
      </c>
      <c r="J8" s="9">
        <v>0.5</v>
      </c>
      <c r="K8" s="8">
        <f t="shared" si="7"/>
        <v>2.2000000000000002</v>
      </c>
      <c r="L8" s="8">
        <f t="shared" si="8"/>
        <v>2.4200000000000004</v>
      </c>
      <c r="M8" s="10">
        <f>IF(I8=$Y$11,SQRT(L8*10000),SQRT(Parcellaire!L8*10000)/$AC$12)</f>
        <v>110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495</v>
      </c>
      <c r="U8" s="10">
        <f t="shared" ref="U8:U9" si="13">IF(C8=2,Q8*M8,0)</f>
        <v>330</v>
      </c>
      <c r="V8" s="27">
        <f t="shared" ref="V8:V9" si="14">O8*M8</f>
        <v>660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450</v>
      </c>
      <c r="E9" s="9">
        <v>3</v>
      </c>
      <c r="F9" s="9">
        <v>266</v>
      </c>
      <c r="G9" s="292">
        <v>0.7</v>
      </c>
      <c r="H9" s="292"/>
      <c r="I9" s="9">
        <v>3</v>
      </c>
      <c r="J9" s="9">
        <v>0.5</v>
      </c>
      <c r="K9" s="8">
        <f t="shared" si="7"/>
        <v>0.77</v>
      </c>
      <c r="L9" s="8">
        <f t="shared" si="8"/>
        <v>0.84700000000000009</v>
      </c>
      <c r="M9" s="10">
        <f>IF(I9=$Y$11,SQRT(L9*10000),SQRT(Parcellaire!L9*10000)/$AC$12)</f>
        <v>65.076877614095778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292.84594926343095</v>
      </c>
      <c r="U9" s="10">
        <f t="shared" si="13"/>
        <v>195.23063284228732</v>
      </c>
      <c r="V9" s="27">
        <f t="shared" si="14"/>
        <v>390.46126568457464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>
        <v>3</v>
      </c>
      <c r="F10" s="9">
        <v>241</v>
      </c>
      <c r="G10" s="292">
        <v>2</v>
      </c>
      <c r="H10" s="292"/>
      <c r="I10" s="9">
        <v>3</v>
      </c>
      <c r="J10" s="9">
        <v>0.5</v>
      </c>
      <c r="K10" s="8">
        <f t="shared" si="7"/>
        <v>2.2000000000000002</v>
      </c>
      <c r="L10" s="8">
        <f t="shared" si="8"/>
        <v>2.4200000000000004</v>
      </c>
      <c r="M10" s="10">
        <f>IF(I10=$Y$11,SQRT(L10*10000),SQRT(Parcellaire!L10*10000)/$AC$12)</f>
        <v>110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495</v>
      </c>
      <c r="U10" s="10">
        <f t="shared" si="5"/>
        <v>330</v>
      </c>
      <c r="V10" s="27">
        <f t="shared" si="6"/>
        <v>660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>
        <v>2</v>
      </c>
      <c r="F11" s="9">
        <v>241</v>
      </c>
      <c r="G11" s="292">
        <v>3.3</v>
      </c>
      <c r="H11" s="292">
        <v>2.2999999999999998</v>
      </c>
      <c r="I11" s="9">
        <v>3</v>
      </c>
      <c r="J11" s="9">
        <v>0.5</v>
      </c>
      <c r="K11" s="8">
        <f t="shared" si="7"/>
        <v>3.63</v>
      </c>
      <c r="L11" s="8">
        <f t="shared" si="8"/>
        <v>3.9930000000000003</v>
      </c>
      <c r="M11" s="10">
        <f>IF(I11=$Y$11,SQRT(L11*10000),SQRT(Parcellaire!L11*10000)/$AC$12)</f>
        <v>141.29755836531641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635.83901264392387</v>
      </c>
      <c r="U11" s="10">
        <f t="shared" si="5"/>
        <v>423.89267509594924</v>
      </c>
      <c r="V11" s="27">
        <f t="shared" si="6"/>
        <v>847.78535019189849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>
        <v>3</v>
      </c>
      <c r="F12" s="9">
        <v>266</v>
      </c>
      <c r="G12" s="292"/>
      <c r="H12" s="292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6</v>
      </c>
      <c r="P12" s="26"/>
      <c r="Q12" s="155">
        <v>3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>
        <v>2</v>
      </c>
      <c r="F13" s="9">
        <v>242</v>
      </c>
      <c r="G13" s="292">
        <v>3</v>
      </c>
      <c r="H13" s="292">
        <v>1.7</v>
      </c>
      <c r="I13" s="9">
        <v>2</v>
      </c>
      <c r="J13" s="9">
        <v>0</v>
      </c>
      <c r="K13" s="8">
        <f t="shared" si="7"/>
        <v>3</v>
      </c>
      <c r="L13" s="8">
        <f t="shared" si="8"/>
        <v>3</v>
      </c>
      <c r="M13" s="10">
        <f>IF(I13=$Y$11,SQRT(L13*10000),SQRT(Parcellaire!L13*10000)/$AC$12)</f>
        <v>122.4744871391589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551.13519212621509</v>
      </c>
      <c r="U13" s="10">
        <f t="shared" si="5"/>
        <v>367.42346141747669</v>
      </c>
      <c r="V13" s="27">
        <f t="shared" si="6"/>
        <v>734.84692283495338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>
        <v>3</v>
      </c>
      <c r="F14" s="9">
        <v>242</v>
      </c>
      <c r="G14" s="292"/>
      <c r="H14" s="292">
        <v>1.3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>
        <v>2</v>
      </c>
      <c r="F15" s="9">
        <v>290</v>
      </c>
      <c r="G15" s="292">
        <v>1</v>
      </c>
      <c r="H15" s="292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>
        <v>2</v>
      </c>
      <c r="F16" s="9">
        <v>241</v>
      </c>
      <c r="G16" s="292">
        <v>2</v>
      </c>
      <c r="H16" s="292"/>
      <c r="I16" s="9">
        <v>2</v>
      </c>
      <c r="J16" s="9">
        <v>0.5</v>
      </c>
      <c r="K16" s="8">
        <f t="shared" si="7"/>
        <v>2</v>
      </c>
      <c r="L16" s="8">
        <f t="shared" si="8"/>
        <v>2.2000000000000002</v>
      </c>
      <c r="M16" s="10">
        <f>IF(I16=$Y$11,SQRT(L16*10000),SQRT(Parcellaire!L16*10000)/$AC$12)</f>
        <v>104.88088481701514</v>
      </c>
      <c r="N16" s="10">
        <f t="shared" si="9"/>
        <v>6</v>
      </c>
      <c r="O16" s="24">
        <v>6</v>
      </c>
      <c r="P16" s="26"/>
      <c r="Q16" s="155">
        <v>3</v>
      </c>
      <c r="R16" s="10">
        <f t="shared" si="2"/>
        <v>0</v>
      </c>
      <c r="S16" s="10">
        <f t="shared" si="3"/>
        <v>0</v>
      </c>
      <c r="T16" s="10">
        <f t="shared" si="4"/>
        <v>471.9639816765681</v>
      </c>
      <c r="U16" s="10">
        <f t="shared" si="5"/>
        <v>314.64265445104542</v>
      </c>
      <c r="V16" s="27">
        <f t="shared" si="6"/>
        <v>629.28530890209083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>
        <v>2</v>
      </c>
      <c r="F17" s="9">
        <v>241</v>
      </c>
      <c r="G17" s="292">
        <v>1.7</v>
      </c>
      <c r="H17" s="292"/>
      <c r="I17" s="9">
        <v>2</v>
      </c>
      <c r="J17" s="9">
        <v>0.5</v>
      </c>
      <c r="K17" s="8">
        <f t="shared" si="7"/>
        <v>1.7</v>
      </c>
      <c r="L17" s="8">
        <f t="shared" si="8"/>
        <v>1.87</v>
      </c>
      <c r="M17" s="10">
        <f>IF(I17=$Y$11,SQRT(L17*10000),SQRT(Parcellaire!L17*10000)/$AC$12)</f>
        <v>96.695398029068585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435.12929113080861</v>
      </c>
      <c r="U17" s="10">
        <f t="shared" si="5"/>
        <v>290.08619408720574</v>
      </c>
      <c r="V17" s="27">
        <f t="shared" si="6"/>
        <v>580.17238817441148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450</v>
      </c>
      <c r="E18" s="9">
        <v>2</v>
      </c>
      <c r="F18" s="9">
        <v>241</v>
      </c>
      <c r="G18" s="292">
        <v>3</v>
      </c>
      <c r="H18" s="292"/>
      <c r="I18" s="9">
        <v>3</v>
      </c>
      <c r="J18" s="9">
        <v>0.5</v>
      </c>
      <c r="K18" s="8">
        <f t="shared" si="7"/>
        <v>3.3000000000000003</v>
      </c>
      <c r="L18" s="8">
        <f t="shared" si="8"/>
        <v>3.6300000000000008</v>
      </c>
      <c r="M18" s="10">
        <f>IF(I18=$Y$11,SQRT(L18*10000),SQRT(Parcellaire!L18*10000)/$AC$12)</f>
        <v>134.7219358530748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606.24871133883653</v>
      </c>
      <c r="U18" s="10">
        <f t="shared" si="5"/>
        <v>404.16580755922439</v>
      </c>
      <c r="V18" s="27">
        <f t="shared" si="6"/>
        <v>808.33161511844878</v>
      </c>
      <c r="W18" s="3"/>
      <c r="X18" s="3"/>
      <c r="Y18" s="8">
        <v>2</v>
      </c>
      <c r="Z18" s="138" t="s">
        <v>335</v>
      </c>
      <c r="AA18" s="136">
        <f>T66</f>
        <v>9365.1215451202352</v>
      </c>
      <c r="AB18" t="s">
        <v>42</v>
      </c>
    </row>
    <row r="19" spans="1:28" ht="15" customHeight="1" x14ac:dyDescent="0.25">
      <c r="A19" s="8">
        <v>18</v>
      </c>
      <c r="B19" s="9">
        <v>1</v>
      </c>
      <c r="C19" s="9">
        <v>2</v>
      </c>
      <c r="D19" s="9" t="s">
        <v>487</v>
      </c>
      <c r="E19" s="9"/>
      <c r="F19" s="9">
        <v>194</v>
      </c>
      <c r="G19" s="9">
        <v>1</v>
      </c>
      <c r="H19" s="9"/>
      <c r="I19" s="9">
        <v>3</v>
      </c>
      <c r="J19" s="9">
        <v>0.5</v>
      </c>
      <c r="K19" s="8">
        <f t="shared" si="7"/>
        <v>1.1000000000000001</v>
      </c>
      <c r="L19" s="8">
        <f t="shared" si="8"/>
        <v>1.2100000000000002</v>
      </c>
      <c r="M19" s="10">
        <f>IF(I19=$Y$11,SQRT(L19*10000),SQRT(Parcellaire!L19*10000)/$AC$12)</f>
        <v>77.781745930520231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350.01785668734101</v>
      </c>
      <c r="U19" s="10">
        <f t="shared" si="5"/>
        <v>233.34523779156069</v>
      </c>
      <c r="V19" s="27">
        <f t="shared" si="6"/>
        <v>466.69047558312138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1</v>
      </c>
      <c r="C20" s="9">
        <v>2</v>
      </c>
      <c r="D20" s="9" t="s">
        <v>450</v>
      </c>
      <c r="E20" s="9"/>
      <c r="F20" s="9">
        <v>17</v>
      </c>
      <c r="G20" s="9">
        <v>4.3</v>
      </c>
      <c r="H20" s="9"/>
      <c r="I20" s="9">
        <v>3</v>
      </c>
      <c r="J20" s="9">
        <v>1</v>
      </c>
      <c r="K20" s="8">
        <f t="shared" si="7"/>
        <v>4.7300000000000004</v>
      </c>
      <c r="L20" s="8">
        <f t="shared" si="8"/>
        <v>5.6760000000000002</v>
      </c>
      <c r="M20" s="10">
        <f>IF(I20=$Y$11,SQRT(L20*10000),SQRT(Parcellaire!L20*10000)/$AC$12)</f>
        <v>168.46364592991569</v>
      </c>
      <c r="N20" s="10">
        <f t="shared" si="9"/>
        <v>6</v>
      </c>
      <c r="O20" s="24">
        <v>6</v>
      </c>
      <c r="P20" s="26"/>
      <c r="Q20" s="155">
        <v>0</v>
      </c>
      <c r="R20" s="10">
        <f t="shared" si="2"/>
        <v>0</v>
      </c>
      <c r="S20" s="10">
        <f t="shared" si="3"/>
        <v>0</v>
      </c>
      <c r="T20" s="10">
        <f t="shared" si="4"/>
        <v>1010.7818755794941</v>
      </c>
      <c r="U20" s="10">
        <f t="shared" si="5"/>
        <v>0</v>
      </c>
      <c r="V20" s="27">
        <f t="shared" si="6"/>
        <v>1010.7818755794941</v>
      </c>
      <c r="W20" s="3"/>
      <c r="X20" s="3"/>
      <c r="Z20" s="20"/>
      <c r="AA20" s="136">
        <f>AA18+AA19</f>
        <v>9365.1215451202352</v>
      </c>
      <c r="AB20" t="s">
        <v>44</v>
      </c>
    </row>
    <row r="21" spans="1:28" ht="15" customHeight="1" x14ac:dyDescent="0.25">
      <c r="A21" s="8">
        <v>20</v>
      </c>
      <c r="B21" s="9">
        <v>1</v>
      </c>
      <c r="C21" s="9">
        <v>2</v>
      </c>
      <c r="D21" s="9" t="s">
        <v>487</v>
      </c>
      <c r="E21" s="9"/>
      <c r="F21" s="9">
        <v>172</v>
      </c>
      <c r="G21" s="9">
        <v>6.8</v>
      </c>
      <c r="H21" s="9"/>
      <c r="I21" s="9">
        <v>3</v>
      </c>
      <c r="J21" s="9">
        <v>1</v>
      </c>
      <c r="K21" s="8">
        <f t="shared" si="7"/>
        <v>7.48</v>
      </c>
      <c r="L21" s="8">
        <f t="shared" si="8"/>
        <v>8.9760000000000009</v>
      </c>
      <c r="M21" s="10">
        <f>IF(I21=$Y$11,SQRT(L21*10000),SQRT(Parcellaire!L21*10000)/$AC$12)</f>
        <v>211.84900282984577</v>
      </c>
      <c r="N21" s="10">
        <f t="shared" si="9"/>
        <v>6</v>
      </c>
      <c r="O21" s="24">
        <v>6</v>
      </c>
      <c r="P21" s="26"/>
      <c r="Q21" s="155">
        <v>0</v>
      </c>
      <c r="R21" s="10">
        <f t="shared" si="2"/>
        <v>0</v>
      </c>
      <c r="S21" s="10">
        <f t="shared" si="3"/>
        <v>0</v>
      </c>
      <c r="T21" s="10">
        <f t="shared" si="4"/>
        <v>1271.0940169790747</v>
      </c>
      <c r="U21" s="10">
        <f t="shared" si="5"/>
        <v>0</v>
      </c>
      <c r="V21" s="27">
        <f t="shared" si="6"/>
        <v>1271.0940169790747</v>
      </c>
      <c r="W21" s="3"/>
      <c r="X21" s="3"/>
      <c r="Z21" s="20"/>
    </row>
    <row r="22" spans="1:28" ht="15" customHeight="1" x14ac:dyDescent="0.25">
      <c r="A22" s="8">
        <v>21</v>
      </c>
      <c r="B22" s="9">
        <v>1</v>
      </c>
      <c r="C22" s="9">
        <v>2</v>
      </c>
      <c r="D22" s="9" t="s">
        <v>487</v>
      </c>
      <c r="E22" s="9"/>
      <c r="F22" s="9">
        <v>194</v>
      </c>
      <c r="G22" s="9">
        <v>2</v>
      </c>
      <c r="H22" s="9"/>
      <c r="I22" s="9">
        <v>3</v>
      </c>
      <c r="J22" s="9">
        <v>0.5</v>
      </c>
      <c r="K22" s="8">
        <f t="shared" si="7"/>
        <v>2.2000000000000002</v>
      </c>
      <c r="L22" s="8">
        <f t="shared" si="8"/>
        <v>2.4200000000000004</v>
      </c>
      <c r="M22" s="10">
        <f>IF(I22=$Y$11,SQRT(L22*10000),SQRT(Parcellaire!L22*10000)/$AC$12)</f>
        <v>110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2"/>
        <v>0</v>
      </c>
      <c r="S22" s="10">
        <f t="shared" si="3"/>
        <v>0</v>
      </c>
      <c r="T22" s="10">
        <f t="shared" si="4"/>
        <v>495</v>
      </c>
      <c r="U22" s="10">
        <f t="shared" si="5"/>
        <v>330</v>
      </c>
      <c r="V22" s="27">
        <f t="shared" si="6"/>
        <v>660</v>
      </c>
      <c r="W22" s="3"/>
      <c r="X22" s="3"/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487</v>
      </c>
      <c r="E23" s="9"/>
      <c r="F23" s="9">
        <v>194</v>
      </c>
      <c r="G23" s="9">
        <v>2</v>
      </c>
      <c r="H23" s="9"/>
      <c r="I23" s="9">
        <v>3</v>
      </c>
      <c r="J23" s="9">
        <v>0.5</v>
      </c>
      <c r="K23" s="8">
        <f t="shared" si="7"/>
        <v>2.2000000000000002</v>
      </c>
      <c r="L23" s="8">
        <f t="shared" si="8"/>
        <v>2.4200000000000004</v>
      </c>
      <c r="M23" s="10">
        <f>IF(I23=$Y$11,SQRT(L23*10000),SQRT(Parcellaire!L23*10000)/$AC$12)</f>
        <v>110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2"/>
        <v>0</v>
      </c>
      <c r="S23" s="10">
        <f t="shared" si="3"/>
        <v>0</v>
      </c>
      <c r="T23" s="10">
        <f t="shared" si="4"/>
        <v>495</v>
      </c>
      <c r="U23" s="10">
        <f t="shared" si="5"/>
        <v>330</v>
      </c>
      <c r="V23" s="27">
        <f t="shared" si="6"/>
        <v>660</v>
      </c>
      <c r="W23" s="3"/>
      <c r="X23" s="3"/>
      <c r="Z23" t="s">
        <v>323</v>
      </c>
    </row>
    <row r="24" spans="1:28" ht="15" customHeight="1" x14ac:dyDescent="0.25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7"/>
        <v/>
      </c>
      <c r="L24" s="8" t="e">
        <f t="shared" si="8"/>
        <v>#VALUE!</v>
      </c>
      <c r="M24" s="10" t="e">
        <f>IF(I24=$Y$11,SQRT(L24*10000),SQRT(Parcellaire!L24*10000)/$AC$12)</f>
        <v>#VALUE!</v>
      </c>
      <c r="N24" s="10">
        <f t="shared" si="9"/>
        <v>6</v>
      </c>
      <c r="O24" s="24">
        <v>6</v>
      </c>
      <c r="P24" s="26"/>
      <c r="Q24" s="155">
        <f t="shared" ref="Q24:Q65" si="15">O24-P24</f>
        <v>6</v>
      </c>
      <c r="R24" s="10">
        <f t="shared" si="2"/>
        <v>0</v>
      </c>
      <c r="S24" s="10">
        <f t="shared" si="3"/>
        <v>0</v>
      </c>
      <c r="T24" s="10" t="e">
        <f t="shared" si="4"/>
        <v>#VALUE!</v>
      </c>
      <c r="U24" s="10">
        <f t="shared" si="5"/>
        <v>0</v>
      </c>
      <c r="V24" s="27" t="e">
        <f t="shared" si="6"/>
        <v>#VALUE!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6" si="16">IF(I25=$Y$11,G25*$AB$11,IF(I25=$Y$12,G25*$AB$12,IF(I25=$Y$13,G25*$AB$13,"")))</f>
        <v/>
      </c>
      <c r="L25" s="8" t="e">
        <f t="shared" si="0"/>
        <v>#VALUE!</v>
      </c>
      <c r="M25" s="10" t="e">
        <f>IF(I25=$Y$11,SQRT(L25*10000),SQRT(Parcellaire!L25*10000)/$AC$12)</f>
        <v>#VALUE!</v>
      </c>
      <c r="N25" s="10">
        <f t="shared" si="1"/>
        <v>6</v>
      </c>
      <c r="O25" s="24"/>
      <c r="P25" s="26"/>
      <c r="Q25" s="155">
        <f t="shared" si="15"/>
        <v>0</v>
      </c>
      <c r="R25" s="10">
        <f t="shared" si="2"/>
        <v>0</v>
      </c>
      <c r="S25" s="10">
        <f t="shared" si="3"/>
        <v>0</v>
      </c>
      <c r="T25" s="10" t="e">
        <f t="shared" si="4"/>
        <v>#VALUE!</v>
      </c>
      <c r="U25" s="10">
        <f t="shared" si="5"/>
        <v>0</v>
      </c>
      <c r="V25" s="27" t="e">
        <f t="shared" si="6"/>
        <v>#VALUE!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6"/>
        <v/>
      </c>
      <c r="L26" s="8" t="e">
        <f t="shared" si="0"/>
        <v>#VALUE!</v>
      </c>
      <c r="M26" s="10" t="e">
        <f>IF(I26=$Y$11,SQRT(L26*10000),SQRT(Parcellaire!L26*10000)/$AC$12)</f>
        <v>#VALUE!</v>
      </c>
      <c r="N26" s="10">
        <f t="shared" si="1"/>
        <v>6</v>
      </c>
      <c r="O26" s="24"/>
      <c r="P26" s="26"/>
      <c r="Q26" s="155">
        <f t="shared" si="15"/>
        <v>0</v>
      </c>
      <c r="R26" s="10">
        <f t="shared" si="2"/>
        <v>0</v>
      </c>
      <c r="S26" s="10">
        <f t="shared" si="3"/>
        <v>0</v>
      </c>
      <c r="T26" s="10" t="e">
        <f t="shared" si="4"/>
        <v>#VALUE!</v>
      </c>
      <c r="U26" s="10">
        <f t="shared" si="5"/>
        <v>0</v>
      </c>
      <c r="V26" s="27" t="e">
        <f t="shared" si="6"/>
        <v>#VALUE!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6"/>
        <v/>
      </c>
      <c r="L27" s="8" t="e">
        <f t="shared" si="0"/>
        <v>#VALUE!</v>
      </c>
      <c r="M27" s="10" t="e">
        <f>IF(I27=$Y$11,SQRT(L27*10000),SQRT(Parcellaire!L27*10000)/$AC$12)</f>
        <v>#VALUE!</v>
      </c>
      <c r="N27" s="10">
        <f t="shared" si="1"/>
        <v>6</v>
      </c>
      <c r="O27" s="24"/>
      <c r="P27" s="26"/>
      <c r="Q27" s="155">
        <f t="shared" si="15"/>
        <v>0</v>
      </c>
      <c r="R27" s="10">
        <f t="shared" si="2"/>
        <v>0</v>
      </c>
      <c r="S27" s="10">
        <f t="shared" si="3"/>
        <v>0</v>
      </c>
      <c r="T27" s="10" t="e">
        <f t="shared" si="4"/>
        <v>#VALUE!</v>
      </c>
      <c r="U27" s="10">
        <f t="shared" si="5"/>
        <v>0</v>
      </c>
      <c r="V27" s="27" t="e">
        <f t="shared" si="6"/>
        <v>#VALUE!</v>
      </c>
      <c r="W27" s="3"/>
      <c r="X27" s="3"/>
      <c r="Z27" t="s">
        <v>17</v>
      </c>
    </row>
    <row r="28" spans="1:28" ht="15" customHeight="1" x14ac:dyDescent="0.25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6"/>
        <v/>
      </c>
      <c r="L28" s="8" t="e">
        <f t="shared" si="0"/>
        <v>#VALUE!</v>
      </c>
      <c r="M28" s="10" t="e">
        <f>IF(I28=$Y$11,SQRT(L28*10000),SQRT(Parcellaire!L28*10000)/$AC$12)</f>
        <v>#VALUE!</v>
      </c>
      <c r="N28" s="10">
        <f t="shared" si="1"/>
        <v>6</v>
      </c>
      <c r="O28" s="24"/>
      <c r="P28" s="26"/>
      <c r="Q28" s="155">
        <f t="shared" si="15"/>
        <v>0</v>
      </c>
      <c r="R28" s="10">
        <f t="shared" si="2"/>
        <v>0</v>
      </c>
      <c r="S28" s="10">
        <f t="shared" si="3"/>
        <v>0</v>
      </c>
      <c r="T28" s="10" t="e">
        <f t="shared" si="4"/>
        <v>#VALUE!</v>
      </c>
      <c r="U28" s="10">
        <f t="shared" si="5"/>
        <v>0</v>
      </c>
      <c r="V28" s="27" t="e">
        <f t="shared" si="6"/>
        <v>#VALUE!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6"/>
        <v/>
      </c>
      <c r="L29" s="8" t="e">
        <f t="shared" si="0"/>
        <v>#VALUE!</v>
      </c>
      <c r="M29" s="10" t="e">
        <f>IF(I29=$Y$11,SQRT(L29*10000),SQRT(Parcellaire!L29*10000)/$AC$12)</f>
        <v>#VALUE!</v>
      </c>
      <c r="N29" s="10">
        <f t="shared" si="1"/>
        <v>6</v>
      </c>
      <c r="O29" s="24"/>
      <c r="P29" s="26"/>
      <c r="Q29" s="155">
        <f t="shared" si="15"/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6"/>
        <v/>
      </c>
      <c r="L30" s="8" t="e">
        <f t="shared" si="0"/>
        <v>#VALUE!</v>
      </c>
      <c r="M30" s="10" t="e">
        <f>IF(I30=$Y$11,SQRT(L30*10000),SQRT(Parcellaire!L30*10000)/$AC$12)</f>
        <v>#VALUE!</v>
      </c>
      <c r="N30" s="10">
        <f t="shared" si="1"/>
        <v>6</v>
      </c>
      <c r="O30" s="24"/>
      <c r="P30" s="26"/>
      <c r="Q30" s="155">
        <f t="shared" si="15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6"/>
        <v/>
      </c>
      <c r="L31" s="8" t="e">
        <f t="shared" si="0"/>
        <v>#VALUE!</v>
      </c>
      <c r="M31" s="10" t="e">
        <f>IF(I31=$Y$11,SQRT(L31*10000),SQRT(Parcellaire!L31*10000)/$AC$12)</f>
        <v>#VALUE!</v>
      </c>
      <c r="N31" s="10">
        <f t="shared" si="1"/>
        <v>6</v>
      </c>
      <c r="O31" s="24"/>
      <c r="P31" s="26"/>
      <c r="Q31" s="155">
        <f t="shared" si="15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6"/>
        <v/>
      </c>
      <c r="L32" s="8" t="e">
        <f t="shared" si="0"/>
        <v>#VALUE!</v>
      </c>
      <c r="M32" s="10" t="e">
        <f>IF(I32=$Y$11,SQRT(L32*10000),SQRT(Parcellaire!L32*10000)/$AC$12)</f>
        <v>#VALUE!</v>
      </c>
      <c r="N32" s="10">
        <f t="shared" si="1"/>
        <v>6</v>
      </c>
      <c r="O32" s="24"/>
      <c r="P32" s="26"/>
      <c r="Q32" s="155">
        <f t="shared" si="15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6"/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si="15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6"/>
        <v/>
      </c>
      <c r="L34" s="8" t="e">
        <f t="shared" ref="L34:L65" si="17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15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6"/>
        <v/>
      </c>
      <c r="L35" s="8" t="e">
        <f t="shared" si="17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15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6"/>
        <v/>
      </c>
      <c r="L36" s="8" t="e">
        <f t="shared" si="17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15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18">IF(I37=$Y$11,G37*$AB$11,IF(I37=$Y$12,G37*$AB$12,IF(I37=$Y$13,G37*$AB$13,"")))</f>
        <v/>
      </c>
      <c r="L37" s="8" t="e">
        <f t="shared" si="17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15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8"/>
        <v/>
      </c>
      <c r="L38" s="8" t="e">
        <f t="shared" si="17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15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7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15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7"/>
        <v>#VALUE!</v>
      </c>
      <c r="M40" s="10" t="e">
        <f>IF(I40=$Y$11,SQRT(L40*10000),SQRT(Parcellaire!L40*10000)/$AC$12)</f>
        <v>#VALUE!</v>
      </c>
      <c r="N40" s="10">
        <f t="shared" ref="N40:N59" si="19">IF(I40=1,4,6)</f>
        <v>6</v>
      </c>
      <c r="O40" s="24"/>
      <c r="P40" s="26"/>
      <c r="Q40" s="155">
        <f t="shared" si="15"/>
        <v>0</v>
      </c>
      <c r="R40" s="10">
        <f t="shared" ref="R40:R59" si="20">IF(C40=1,O40*M40,0)</f>
        <v>0</v>
      </c>
      <c r="S40" s="10">
        <f t="shared" ref="S40:S59" si="21">IF(C40=1,P40*M40,0)</f>
        <v>0</v>
      </c>
      <c r="T40" s="10" t="e">
        <f t="shared" si="4"/>
        <v>#VALUE!</v>
      </c>
      <c r="U40" s="10">
        <f t="shared" ref="U40:U59" si="22">IF(C40=2,Q40*M40,0)</f>
        <v>0</v>
      </c>
      <c r="V40" s="27" t="e">
        <f t="shared" ref="V40:V59" si="23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7"/>
        <v>#VALUE!</v>
      </c>
      <c r="M41" s="10" t="e">
        <f>IF(I41=$Y$11,SQRT(L41*10000),SQRT(Parcellaire!L41*10000)/$AC$12)</f>
        <v>#VALUE!</v>
      </c>
      <c r="N41" s="10">
        <f t="shared" si="19"/>
        <v>6</v>
      </c>
      <c r="O41" s="24"/>
      <c r="P41" s="26"/>
      <c r="Q41" s="155">
        <f t="shared" si="15"/>
        <v>0</v>
      </c>
      <c r="R41" s="10">
        <f t="shared" si="20"/>
        <v>0</v>
      </c>
      <c r="S41" s="10">
        <f t="shared" si="21"/>
        <v>0</v>
      </c>
      <c r="T41" s="10" t="e">
        <f t="shared" si="4"/>
        <v>#VALUE!</v>
      </c>
      <c r="U41" s="10">
        <f t="shared" si="22"/>
        <v>0</v>
      </c>
      <c r="V41" s="27" t="e">
        <f t="shared" si="23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7"/>
        <v>#VALUE!</v>
      </c>
      <c r="M42" s="10" t="e">
        <f>IF(I42=$Y$11,SQRT(L42*10000),SQRT(Parcellaire!L42*10000)/$AC$12)</f>
        <v>#VALUE!</v>
      </c>
      <c r="N42" s="10">
        <f t="shared" si="19"/>
        <v>6</v>
      </c>
      <c r="O42" s="24"/>
      <c r="P42" s="26"/>
      <c r="Q42" s="155">
        <f t="shared" si="15"/>
        <v>0</v>
      </c>
      <c r="R42" s="10">
        <f t="shared" si="20"/>
        <v>0</v>
      </c>
      <c r="S42" s="10">
        <f t="shared" si="21"/>
        <v>0</v>
      </c>
      <c r="T42" s="10" t="e">
        <f t="shared" si="4"/>
        <v>#VALUE!</v>
      </c>
      <c r="U42" s="10">
        <f t="shared" si="22"/>
        <v>0</v>
      </c>
      <c r="V42" s="27" t="e">
        <f t="shared" si="23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7"/>
        <v>#VALUE!</v>
      </c>
      <c r="M43" s="10" t="e">
        <f>IF(I43=$Y$11,SQRT(L43*10000),SQRT(Parcellaire!L43*10000)/$AC$12)</f>
        <v>#VALUE!</v>
      </c>
      <c r="N43" s="10">
        <f t="shared" si="19"/>
        <v>6</v>
      </c>
      <c r="O43" s="24"/>
      <c r="P43" s="26"/>
      <c r="Q43" s="155">
        <f t="shared" si="15"/>
        <v>0</v>
      </c>
      <c r="R43" s="10">
        <f t="shared" si="20"/>
        <v>0</v>
      </c>
      <c r="S43" s="10">
        <f t="shared" si="21"/>
        <v>0</v>
      </c>
      <c r="T43" s="10" t="e">
        <f t="shared" si="4"/>
        <v>#VALUE!</v>
      </c>
      <c r="U43" s="10">
        <f t="shared" si="22"/>
        <v>0</v>
      </c>
      <c r="V43" s="27" t="e">
        <f t="shared" si="23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7"/>
        <v>#VALUE!</v>
      </c>
      <c r="M44" s="10" t="e">
        <f>IF(I44=$Y$11,SQRT(L44*10000),SQRT(Parcellaire!L44*10000)/$AC$12)</f>
        <v>#VALUE!</v>
      </c>
      <c r="N44" s="10">
        <f t="shared" si="19"/>
        <v>6</v>
      </c>
      <c r="O44" s="24"/>
      <c r="P44" s="26"/>
      <c r="Q44" s="155">
        <f t="shared" si="15"/>
        <v>0</v>
      </c>
      <c r="R44" s="10">
        <f t="shared" si="20"/>
        <v>0</v>
      </c>
      <c r="S44" s="10">
        <f t="shared" si="21"/>
        <v>0</v>
      </c>
      <c r="T44" s="10" t="e">
        <f t="shared" si="4"/>
        <v>#VALUE!</v>
      </c>
      <c r="U44" s="10">
        <f t="shared" si="22"/>
        <v>0</v>
      </c>
      <c r="V44" s="27" t="e">
        <f t="shared" si="23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7"/>
        <v>#VALUE!</v>
      </c>
      <c r="M45" s="10" t="e">
        <f>IF(I45=$Y$11,SQRT(L45*10000),SQRT(Parcellaire!L45*10000)/$AC$12)</f>
        <v>#VALUE!</v>
      </c>
      <c r="N45" s="10">
        <f t="shared" si="19"/>
        <v>6</v>
      </c>
      <c r="O45" s="24"/>
      <c r="P45" s="26"/>
      <c r="Q45" s="155">
        <f t="shared" si="15"/>
        <v>0</v>
      </c>
      <c r="R45" s="10">
        <f t="shared" si="20"/>
        <v>0</v>
      </c>
      <c r="S45" s="10">
        <f t="shared" si="21"/>
        <v>0</v>
      </c>
      <c r="T45" s="10" t="e">
        <f t="shared" si="4"/>
        <v>#VALUE!</v>
      </c>
      <c r="U45" s="10">
        <f t="shared" si="22"/>
        <v>0</v>
      </c>
      <c r="V45" s="27" t="e">
        <f t="shared" si="23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7"/>
        <v>#VALUE!</v>
      </c>
      <c r="M46" s="10" t="e">
        <f>IF(I46=$Y$11,SQRT(L46*10000),SQRT(Parcellaire!L46*10000)/$AC$12)</f>
        <v>#VALUE!</v>
      </c>
      <c r="N46" s="10">
        <f t="shared" si="19"/>
        <v>6</v>
      </c>
      <c r="O46" s="24"/>
      <c r="P46" s="26"/>
      <c r="Q46" s="155">
        <f t="shared" si="15"/>
        <v>0</v>
      </c>
      <c r="R46" s="10">
        <f t="shared" si="20"/>
        <v>0</v>
      </c>
      <c r="S46" s="10">
        <f t="shared" si="21"/>
        <v>0</v>
      </c>
      <c r="T46" s="10" t="e">
        <f t="shared" si="4"/>
        <v>#VALUE!</v>
      </c>
      <c r="U46" s="10">
        <f t="shared" si="22"/>
        <v>0</v>
      </c>
      <c r="V46" s="27" t="e">
        <f t="shared" si="23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7"/>
        <v>#VALUE!</v>
      </c>
      <c r="M47" s="10" t="e">
        <f>IF(I47=$Y$11,SQRT(L47*10000),SQRT(Parcellaire!L47*10000)/$AC$12)</f>
        <v>#VALUE!</v>
      </c>
      <c r="N47" s="10">
        <f t="shared" si="19"/>
        <v>6</v>
      </c>
      <c r="O47" s="24"/>
      <c r="P47" s="26"/>
      <c r="Q47" s="155">
        <f t="shared" si="15"/>
        <v>0</v>
      </c>
      <c r="R47" s="10">
        <f t="shared" si="20"/>
        <v>0</v>
      </c>
      <c r="S47" s="10">
        <f t="shared" si="21"/>
        <v>0</v>
      </c>
      <c r="T47" s="10" t="e">
        <f t="shared" si="4"/>
        <v>#VALUE!</v>
      </c>
      <c r="U47" s="10">
        <f t="shared" si="22"/>
        <v>0</v>
      </c>
      <c r="V47" s="27" t="e">
        <f t="shared" si="23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7"/>
        <v>#VALUE!</v>
      </c>
      <c r="M48" s="10" t="e">
        <f>IF(I48=$Y$11,SQRT(L48*10000),SQRT(Parcellaire!L48*10000)/$AC$12)</f>
        <v>#VALUE!</v>
      </c>
      <c r="N48" s="10">
        <f t="shared" si="19"/>
        <v>6</v>
      </c>
      <c r="O48" s="24"/>
      <c r="P48" s="26"/>
      <c r="Q48" s="155">
        <f t="shared" si="15"/>
        <v>0</v>
      </c>
      <c r="R48" s="10">
        <f t="shared" si="20"/>
        <v>0</v>
      </c>
      <c r="S48" s="10">
        <f t="shared" si="21"/>
        <v>0</v>
      </c>
      <c r="T48" s="10" t="e">
        <f t="shared" si="4"/>
        <v>#VALUE!</v>
      </c>
      <c r="U48" s="10">
        <f t="shared" si="22"/>
        <v>0</v>
      </c>
      <c r="V48" s="27" t="e">
        <f t="shared" si="23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7"/>
        <v>#VALUE!</v>
      </c>
      <c r="M49" s="10" t="e">
        <f>IF(I49=$Y$11,SQRT(L49*10000),SQRT(Parcellaire!L49*10000)/$AC$12)</f>
        <v>#VALUE!</v>
      </c>
      <c r="N49" s="10">
        <f t="shared" si="19"/>
        <v>6</v>
      </c>
      <c r="O49" s="24"/>
      <c r="P49" s="26"/>
      <c r="Q49" s="155">
        <f t="shared" si="15"/>
        <v>0</v>
      </c>
      <c r="R49" s="10">
        <f t="shared" si="20"/>
        <v>0</v>
      </c>
      <c r="S49" s="10">
        <f t="shared" si="21"/>
        <v>0</v>
      </c>
      <c r="T49" s="10" t="e">
        <f t="shared" si="4"/>
        <v>#VALUE!</v>
      </c>
      <c r="U49" s="10">
        <f t="shared" si="22"/>
        <v>0</v>
      </c>
      <c r="V49" s="27" t="e">
        <f t="shared" si="23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7"/>
        <v>#VALUE!</v>
      </c>
      <c r="M50" s="10" t="e">
        <f>IF(I50=$Y$11,SQRT(L50*10000),SQRT(Parcellaire!L50*10000)/$AC$12)</f>
        <v>#VALUE!</v>
      </c>
      <c r="N50" s="10">
        <f t="shared" si="19"/>
        <v>6</v>
      </c>
      <c r="O50" s="24"/>
      <c r="P50" s="26"/>
      <c r="Q50" s="155">
        <f t="shared" si="15"/>
        <v>0</v>
      </c>
      <c r="R50" s="10">
        <f t="shared" si="20"/>
        <v>0</v>
      </c>
      <c r="S50" s="10">
        <f t="shared" si="21"/>
        <v>0</v>
      </c>
      <c r="T50" s="10" t="e">
        <f t="shared" si="4"/>
        <v>#VALUE!</v>
      </c>
      <c r="U50" s="10">
        <f t="shared" si="22"/>
        <v>0</v>
      </c>
      <c r="V50" s="27" t="e">
        <f t="shared" si="23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7"/>
        <v>#VALUE!</v>
      </c>
      <c r="M51" s="10" t="e">
        <f>IF(I51=$Y$11,SQRT(L51*10000),SQRT(Parcellaire!L51*10000)/$AC$12)</f>
        <v>#VALUE!</v>
      </c>
      <c r="N51" s="10">
        <f t="shared" si="19"/>
        <v>6</v>
      </c>
      <c r="O51" s="24"/>
      <c r="P51" s="26"/>
      <c r="Q51" s="155">
        <f t="shared" si="15"/>
        <v>0</v>
      </c>
      <c r="R51" s="10">
        <f t="shared" si="20"/>
        <v>0</v>
      </c>
      <c r="S51" s="10">
        <f t="shared" si="21"/>
        <v>0</v>
      </c>
      <c r="T51" s="10" t="e">
        <f t="shared" si="4"/>
        <v>#VALUE!</v>
      </c>
      <c r="U51" s="10">
        <f t="shared" si="22"/>
        <v>0</v>
      </c>
      <c r="V51" s="27" t="e">
        <f t="shared" si="23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7"/>
        <v>#VALUE!</v>
      </c>
      <c r="M52" s="10" t="e">
        <f>IF(I52=$Y$11,SQRT(L52*10000),SQRT(Parcellaire!L52*10000)/$AC$12)</f>
        <v>#VALUE!</v>
      </c>
      <c r="N52" s="10">
        <f t="shared" si="19"/>
        <v>6</v>
      </c>
      <c r="O52" s="24"/>
      <c r="P52" s="26"/>
      <c r="Q52" s="155">
        <f t="shared" si="15"/>
        <v>0</v>
      </c>
      <c r="R52" s="10">
        <f t="shared" si="20"/>
        <v>0</v>
      </c>
      <c r="S52" s="10">
        <f t="shared" si="21"/>
        <v>0</v>
      </c>
      <c r="T52" s="10" t="e">
        <f t="shared" si="4"/>
        <v>#VALUE!</v>
      </c>
      <c r="U52" s="10">
        <f t="shared" si="22"/>
        <v>0</v>
      </c>
      <c r="V52" s="27" t="e">
        <f t="shared" si="23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7"/>
        <v>#VALUE!</v>
      </c>
      <c r="M53" s="10" t="e">
        <f>IF(I53=$Y$11,SQRT(L53*10000),SQRT(Parcellaire!L53*10000)/$AC$12)</f>
        <v>#VALUE!</v>
      </c>
      <c r="N53" s="10">
        <f t="shared" si="19"/>
        <v>6</v>
      </c>
      <c r="O53" s="24"/>
      <c r="P53" s="26"/>
      <c r="Q53" s="155">
        <f t="shared" si="15"/>
        <v>0</v>
      </c>
      <c r="R53" s="10">
        <f t="shared" si="20"/>
        <v>0</v>
      </c>
      <c r="S53" s="10">
        <f t="shared" si="21"/>
        <v>0</v>
      </c>
      <c r="T53" s="10" t="e">
        <f t="shared" si="4"/>
        <v>#VALUE!</v>
      </c>
      <c r="U53" s="10">
        <f t="shared" si="22"/>
        <v>0</v>
      </c>
      <c r="V53" s="27" t="e">
        <f t="shared" si="23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7"/>
        <v>#VALUE!</v>
      </c>
      <c r="M54" s="10" t="e">
        <f>IF(I54=$Y$11,SQRT(L54*10000),SQRT(Parcellaire!L54*10000)/$AC$12)</f>
        <v>#VALUE!</v>
      </c>
      <c r="N54" s="10">
        <f t="shared" si="19"/>
        <v>6</v>
      </c>
      <c r="O54" s="24"/>
      <c r="P54" s="26"/>
      <c r="Q54" s="155">
        <f t="shared" si="15"/>
        <v>0</v>
      </c>
      <c r="R54" s="10">
        <f t="shared" si="20"/>
        <v>0</v>
      </c>
      <c r="S54" s="10">
        <f t="shared" si="21"/>
        <v>0</v>
      </c>
      <c r="T54" s="10" t="e">
        <f t="shared" si="4"/>
        <v>#VALUE!</v>
      </c>
      <c r="U54" s="10">
        <f t="shared" si="22"/>
        <v>0</v>
      </c>
      <c r="V54" s="27" t="e">
        <f t="shared" si="23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7"/>
        <v>#VALUE!</v>
      </c>
      <c r="M55" s="10" t="e">
        <f>IF(I55=$Y$11,SQRT(L55*10000),SQRT(Parcellaire!L55*10000)/$AC$12)</f>
        <v>#VALUE!</v>
      </c>
      <c r="N55" s="10">
        <f t="shared" si="19"/>
        <v>6</v>
      </c>
      <c r="O55" s="24"/>
      <c r="P55" s="26"/>
      <c r="Q55" s="155">
        <f t="shared" si="15"/>
        <v>0</v>
      </c>
      <c r="R55" s="10">
        <f t="shared" si="20"/>
        <v>0</v>
      </c>
      <c r="S55" s="10">
        <f t="shared" si="21"/>
        <v>0</v>
      </c>
      <c r="T55" s="10" t="e">
        <f t="shared" si="4"/>
        <v>#VALUE!</v>
      </c>
      <c r="U55" s="10">
        <f t="shared" si="22"/>
        <v>0</v>
      </c>
      <c r="V55" s="27" t="e">
        <f t="shared" si="23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7"/>
        <v>#VALUE!</v>
      </c>
      <c r="M56" s="10" t="e">
        <f>IF(I56=$Y$11,SQRT(L56*10000),SQRT(Parcellaire!L56*10000)/$AC$12)</f>
        <v>#VALUE!</v>
      </c>
      <c r="N56" s="10">
        <f t="shared" si="19"/>
        <v>6</v>
      </c>
      <c r="O56" s="24"/>
      <c r="P56" s="26"/>
      <c r="Q56" s="155">
        <f t="shared" si="15"/>
        <v>0</v>
      </c>
      <c r="R56" s="10">
        <f t="shared" si="20"/>
        <v>0</v>
      </c>
      <c r="S56" s="10">
        <f t="shared" si="21"/>
        <v>0</v>
      </c>
      <c r="T56" s="10" t="e">
        <f t="shared" si="4"/>
        <v>#VALUE!</v>
      </c>
      <c r="U56" s="10">
        <f t="shared" si="22"/>
        <v>0</v>
      </c>
      <c r="V56" s="27" t="e">
        <f t="shared" si="23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7"/>
        <v>#VALUE!</v>
      </c>
      <c r="M57" s="10" t="e">
        <f>IF(I57=$Y$11,SQRT(L57*10000),SQRT(Parcellaire!L57*10000)/$AC$12)</f>
        <v>#VALUE!</v>
      </c>
      <c r="N57" s="10">
        <f t="shared" si="19"/>
        <v>6</v>
      </c>
      <c r="O57" s="24"/>
      <c r="P57" s="26"/>
      <c r="Q57" s="155">
        <f t="shared" si="15"/>
        <v>0</v>
      </c>
      <c r="R57" s="10">
        <f t="shared" si="20"/>
        <v>0</v>
      </c>
      <c r="S57" s="10">
        <f t="shared" si="21"/>
        <v>0</v>
      </c>
      <c r="T57" s="10" t="e">
        <f t="shared" si="4"/>
        <v>#VALUE!</v>
      </c>
      <c r="U57" s="10">
        <f t="shared" si="22"/>
        <v>0</v>
      </c>
      <c r="V57" s="27" t="e">
        <f t="shared" si="23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7"/>
        <v>#VALUE!</v>
      </c>
      <c r="M58" s="10" t="e">
        <f>IF(I58=$Y$11,SQRT(L58*10000),SQRT(Parcellaire!L58*10000)/$AC$12)</f>
        <v>#VALUE!</v>
      </c>
      <c r="N58" s="10">
        <f t="shared" si="19"/>
        <v>6</v>
      </c>
      <c r="O58" s="24"/>
      <c r="P58" s="26"/>
      <c r="Q58" s="155">
        <f t="shared" si="15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7"/>
        <v>#VALUE!</v>
      </c>
      <c r="M59" s="10" t="e">
        <f>IF(I59=$Y$11,SQRT(L59*10000),SQRT(Parcellaire!L59*10000)/$AC$12)</f>
        <v>#VALUE!</v>
      </c>
      <c r="N59" s="10">
        <f t="shared" si="19"/>
        <v>6</v>
      </c>
      <c r="O59" s="24"/>
      <c r="P59" s="26"/>
      <c r="Q59" s="155">
        <f t="shared" si="15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7"/>
        <v>#VALUE!</v>
      </c>
      <c r="M60" s="10" t="e">
        <f>IF(I60=$Y$11,SQRT(L60*10000),SQRT(Parcellaire!L60*10000)/$AC$12)</f>
        <v>#VALUE!</v>
      </c>
      <c r="N60" s="10">
        <f t="shared" ref="N60:N65" si="24">IF(I60=1,4,6)</f>
        <v>6</v>
      </c>
      <c r="O60" s="24"/>
      <c r="P60" s="26"/>
      <c r="Q60" s="155">
        <f t="shared" si="15"/>
        <v>0</v>
      </c>
      <c r="R60" s="10">
        <f t="shared" ref="R60:R65" si="25">IF(C60=1,O60*M60,0)</f>
        <v>0</v>
      </c>
      <c r="S60" s="10">
        <f t="shared" ref="S60:S65" si="26">IF(C60=1,P60*M60,0)</f>
        <v>0</v>
      </c>
      <c r="T60" s="10" t="e">
        <f t="shared" si="4"/>
        <v>#VALUE!</v>
      </c>
      <c r="U60" s="10">
        <f t="shared" ref="U60:U65" si="27">IF(C60=2,Q60*M60,0)</f>
        <v>0</v>
      </c>
      <c r="V60" s="27" t="e">
        <f t="shared" ref="V60:V65" si="28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7"/>
        <v>#VALUE!</v>
      </c>
      <c r="M61" s="10" t="e">
        <f>IF(I61=$Y$11,SQRT(L61*10000),SQRT(Parcellaire!L61*10000)/$AC$12)</f>
        <v>#VALUE!</v>
      </c>
      <c r="N61" s="10">
        <f t="shared" si="24"/>
        <v>6</v>
      </c>
      <c r="O61" s="24"/>
      <c r="P61" s="26"/>
      <c r="Q61" s="155">
        <f t="shared" si="15"/>
        <v>0</v>
      </c>
      <c r="R61" s="10">
        <f t="shared" si="25"/>
        <v>0</v>
      </c>
      <c r="S61" s="10">
        <f t="shared" si="26"/>
        <v>0</v>
      </c>
      <c r="T61" s="10" t="e">
        <f t="shared" si="4"/>
        <v>#VALUE!</v>
      </c>
      <c r="U61" s="10">
        <f t="shared" si="27"/>
        <v>0</v>
      </c>
      <c r="V61" s="27" t="e">
        <f t="shared" si="28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7"/>
        <v>#VALUE!</v>
      </c>
      <c r="M62" s="10" t="e">
        <f>IF(I62=$Y$11,SQRT(L62*10000),SQRT(Parcellaire!L62*10000)/$AC$12)</f>
        <v>#VALUE!</v>
      </c>
      <c r="N62" s="10">
        <f t="shared" si="24"/>
        <v>6</v>
      </c>
      <c r="O62" s="24"/>
      <c r="P62" s="26"/>
      <c r="Q62" s="155">
        <f t="shared" si="15"/>
        <v>0</v>
      </c>
      <c r="R62" s="10">
        <f t="shared" si="25"/>
        <v>0</v>
      </c>
      <c r="S62" s="10">
        <f t="shared" si="26"/>
        <v>0</v>
      </c>
      <c r="T62" s="10" t="e">
        <f t="shared" si="4"/>
        <v>#VALUE!</v>
      </c>
      <c r="U62" s="10">
        <f t="shared" si="27"/>
        <v>0</v>
      </c>
      <c r="V62" s="27" t="e">
        <f t="shared" si="28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7"/>
        <v>#VALUE!</v>
      </c>
      <c r="M63" s="10" t="e">
        <f>IF(I63=$Y$11,SQRT(L63*10000),SQRT(Parcellaire!L63*10000)/$AC$12)</f>
        <v>#VALUE!</v>
      </c>
      <c r="N63" s="10">
        <f t="shared" si="24"/>
        <v>6</v>
      </c>
      <c r="O63" s="24"/>
      <c r="P63" s="26"/>
      <c r="Q63" s="155">
        <f t="shared" si="15"/>
        <v>0</v>
      </c>
      <c r="R63" s="10">
        <f t="shared" si="25"/>
        <v>0</v>
      </c>
      <c r="S63" s="10">
        <f t="shared" si="26"/>
        <v>0</v>
      </c>
      <c r="T63" s="10" t="e">
        <f t="shared" si="4"/>
        <v>#VALUE!</v>
      </c>
      <c r="U63" s="10">
        <f t="shared" si="27"/>
        <v>0</v>
      </c>
      <c r="V63" s="27" t="e">
        <f t="shared" si="28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18"/>
        <v/>
      </c>
      <c r="L64" s="8" t="e">
        <f t="shared" si="17"/>
        <v>#VALUE!</v>
      </c>
      <c r="M64" s="10" t="e">
        <f>IF(I64=$Y$11,SQRT(L64*10000),SQRT(Parcellaire!L64*10000)/$AC$12)</f>
        <v>#VALUE!</v>
      </c>
      <c r="N64" s="10">
        <f t="shared" si="24"/>
        <v>6</v>
      </c>
      <c r="O64" s="24"/>
      <c r="P64" s="26"/>
      <c r="Q64" s="155">
        <f t="shared" si="15"/>
        <v>0</v>
      </c>
      <c r="R64" s="10">
        <f t="shared" si="25"/>
        <v>0</v>
      </c>
      <c r="S64" s="10">
        <f t="shared" si="26"/>
        <v>0</v>
      </c>
      <c r="T64" s="10" t="e">
        <f t="shared" si="4"/>
        <v>#VALUE!</v>
      </c>
      <c r="U64" s="10">
        <f t="shared" si="27"/>
        <v>0</v>
      </c>
      <c r="V64" s="27" t="e">
        <f t="shared" si="28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18"/>
        <v/>
      </c>
      <c r="L65" s="8" t="e">
        <f t="shared" si="17"/>
        <v>#VALUE!</v>
      </c>
      <c r="M65" s="10" t="e">
        <f>IF(I65=$Y$11,SQRT(L65*10000),SQRT(Parcellaire!L65*10000)/$AC$12)</f>
        <v>#VALUE!</v>
      </c>
      <c r="N65" s="10">
        <f t="shared" si="24"/>
        <v>6</v>
      </c>
      <c r="O65" s="24"/>
      <c r="P65" s="26"/>
      <c r="Q65" s="155">
        <f t="shared" si="15"/>
        <v>0</v>
      </c>
      <c r="R65" s="10">
        <f t="shared" si="25"/>
        <v>0</v>
      </c>
      <c r="S65" s="10">
        <f t="shared" si="26"/>
        <v>0</v>
      </c>
      <c r="T65" s="10" t="e">
        <f t="shared" si="4"/>
        <v>#VALUE!</v>
      </c>
      <c r="U65" s="10">
        <f t="shared" si="27"/>
        <v>0</v>
      </c>
      <c r="V65" s="27" t="e">
        <f t="shared" si="28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39.1</v>
      </c>
      <c r="H66" s="170"/>
      <c r="I66" s="170">
        <f>SUMIF(Parcellaire!$B$2:$B$65,1,Parcellaire!I2:I65)</f>
        <v>54</v>
      </c>
      <c r="J66" s="170">
        <f>SUMIF(Parcellaire!$B$2:$B$65,1,Parcellaire!J2:J65)</f>
        <v>11.5</v>
      </c>
      <c r="K66" s="170">
        <f>SUMIF(Parcellaire!$B$2:$B$65,1,Parcellaire!K2:K65)</f>
        <v>42.160000000000011</v>
      </c>
      <c r="L66" s="170">
        <f>SUMIF(Parcellaire!$B$2:$B$65,1,Parcellaire!L2:L65)</f>
        <v>47.297000000000011</v>
      </c>
      <c r="M66" s="170">
        <f>SUMIF(Parcellaire!$B$2:$B$65,1,Parcellaire!M2:M65)</f>
        <v>1954.3672382179097</v>
      </c>
      <c r="N66" s="170">
        <f>SUMIF(Parcellaire!$B$2:$B$65,1,Parcellaire!N2:N65)</f>
        <v>120</v>
      </c>
      <c r="O66" s="170">
        <f>SUMIF(Parcellaire!$B$2:$B$65,1,Parcellaire!O2:O65)</f>
        <v>114</v>
      </c>
      <c r="P66" s="170">
        <f>SUMIF(Parcellaire!$B$2:$B$65,1,Parcellaire!P2:P65)</f>
        <v>0</v>
      </c>
      <c r="Q66" s="170">
        <f>SUMIF(Parcellaire!$B$2:$B$65,1,Parcellaire!Q2:Q65)</f>
        <v>51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9365.1215451202352</v>
      </c>
      <c r="U66" s="170">
        <f>SUMIF(Parcellaire!$B$2:$B$65,1,Parcellaire!U2:U65)</f>
        <v>4722.1637683744448</v>
      </c>
      <c r="V66" s="170">
        <f>SUMIF(Parcellaire!$B$2:$B$65,1,Parcellaire!V2:V65)</f>
        <v>11726.203429307458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6" t="s">
        <v>2</v>
      </c>
      <c r="C64" s="296"/>
      <c r="D64" s="296" t="s">
        <v>0</v>
      </c>
      <c r="E64" s="296"/>
      <c r="F64" s="296" t="s">
        <v>1</v>
      </c>
      <c r="G64" s="296"/>
      <c r="H64" s="296" t="s">
        <v>3</v>
      </c>
      <c r="I64" s="296"/>
      <c r="J64" s="296" t="s">
        <v>4</v>
      </c>
      <c r="K64" s="296"/>
      <c r="L64" s="296" t="s">
        <v>5</v>
      </c>
      <c r="M64" s="296"/>
      <c r="N64" s="296" t="s">
        <v>6</v>
      </c>
      <c r="O64" s="296"/>
      <c r="P64" s="296" t="s">
        <v>7</v>
      </c>
      <c r="Q64" s="296"/>
      <c r="R64" s="296" t="s">
        <v>8</v>
      </c>
      <c r="S64" s="296"/>
      <c r="T64" s="296" t="s">
        <v>9</v>
      </c>
      <c r="U64" s="296"/>
      <c r="V64" s="296" t="s">
        <v>10</v>
      </c>
      <c r="W64" s="296"/>
      <c r="X64" s="296" t="s">
        <v>11</v>
      </c>
      <c r="Y64" s="296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6" t="s">
        <v>2</v>
      </c>
      <c r="C90" s="296"/>
      <c r="D90" s="296" t="s">
        <v>0</v>
      </c>
      <c r="E90" s="296"/>
      <c r="F90" s="296" t="s">
        <v>1</v>
      </c>
      <c r="G90" s="296"/>
      <c r="H90" s="296" t="s">
        <v>3</v>
      </c>
      <c r="I90" s="296"/>
      <c r="J90" s="296" t="s">
        <v>4</v>
      </c>
      <c r="K90" s="296"/>
      <c r="L90" s="296" t="s">
        <v>5</v>
      </c>
      <c r="M90" s="296"/>
      <c r="N90" s="296" t="s">
        <v>6</v>
      </c>
      <c r="O90" s="296"/>
      <c r="P90" s="296" t="s">
        <v>7</v>
      </c>
      <c r="Q90" s="296"/>
      <c r="R90" s="296" t="s">
        <v>8</v>
      </c>
      <c r="S90" s="296"/>
      <c r="T90" s="296" t="s">
        <v>9</v>
      </c>
      <c r="U90" s="296"/>
      <c r="V90" s="296" t="s">
        <v>10</v>
      </c>
      <c r="W90" s="296"/>
      <c r="X90" s="296" t="s">
        <v>11</v>
      </c>
      <c r="Y90" s="296"/>
      <c r="AC90" t="s">
        <v>429</v>
      </c>
      <c r="AD90" s="296" t="s">
        <v>2</v>
      </c>
      <c r="AE90" s="296"/>
      <c r="AF90" s="296" t="s">
        <v>0</v>
      </c>
      <c r="AG90" s="296"/>
      <c r="AH90" s="296" t="s">
        <v>1</v>
      </c>
      <c r="AI90" s="296"/>
      <c r="AJ90" s="296" t="s">
        <v>3</v>
      </c>
      <c r="AK90" s="296"/>
      <c r="AL90" s="296" t="s">
        <v>4</v>
      </c>
      <c r="AM90" s="296"/>
      <c r="AN90" s="296" t="s">
        <v>5</v>
      </c>
      <c r="AO90" s="296"/>
      <c r="AP90" s="296" t="s">
        <v>6</v>
      </c>
      <c r="AQ90" s="296"/>
      <c r="AR90" s="296" t="s">
        <v>7</v>
      </c>
      <c r="AS90" s="296"/>
      <c r="AT90" s="296" t="s">
        <v>8</v>
      </c>
      <c r="AU90" s="296"/>
      <c r="AV90" s="296" t="s">
        <v>9</v>
      </c>
      <c r="AW90" s="296"/>
      <c r="AX90" s="296" t="s">
        <v>10</v>
      </c>
      <c r="AY90" s="296"/>
      <c r="AZ90" s="296" t="s">
        <v>11</v>
      </c>
      <c r="BA90" s="296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6" t="s">
        <v>2</v>
      </c>
      <c r="C117" s="296"/>
      <c r="D117" s="296" t="s">
        <v>0</v>
      </c>
      <c r="E117" s="296"/>
      <c r="F117" s="296" t="s">
        <v>1</v>
      </c>
      <c r="G117" s="296"/>
      <c r="H117" s="296" t="s">
        <v>3</v>
      </c>
      <c r="I117" s="296"/>
      <c r="J117" s="296" t="s">
        <v>4</v>
      </c>
      <c r="K117" s="296"/>
      <c r="L117" s="296" t="s">
        <v>5</v>
      </c>
      <c r="M117" s="296"/>
      <c r="N117" s="296" t="s">
        <v>6</v>
      </c>
      <c r="O117" s="296"/>
      <c r="P117" s="296" t="s">
        <v>7</v>
      </c>
      <c r="Q117" s="296"/>
      <c r="R117" s="296" t="s">
        <v>8</v>
      </c>
      <c r="S117" s="296"/>
      <c r="T117" s="296" t="s">
        <v>9</v>
      </c>
      <c r="U117" s="296"/>
      <c r="V117" s="296" t="s">
        <v>10</v>
      </c>
      <c r="W117" s="296"/>
      <c r="X117" s="296" t="s">
        <v>11</v>
      </c>
      <c r="Y117" s="296"/>
      <c r="AD117" s="296" t="s">
        <v>2</v>
      </c>
      <c r="AE117" s="296"/>
      <c r="AF117" s="296" t="s">
        <v>0</v>
      </c>
      <c r="AG117" s="296"/>
      <c r="AH117" s="296" t="s">
        <v>1</v>
      </c>
      <c r="AI117" s="296"/>
      <c r="AJ117" s="296" t="s">
        <v>3</v>
      </c>
      <c r="AK117" s="296"/>
      <c r="AL117" s="296" t="s">
        <v>4</v>
      </c>
      <c r="AM117" s="296"/>
      <c r="AN117" s="296" t="s">
        <v>5</v>
      </c>
      <c r="AO117" s="296"/>
      <c r="AP117" s="296" t="s">
        <v>6</v>
      </c>
      <c r="AQ117" s="296"/>
      <c r="AR117" s="296" t="s">
        <v>7</v>
      </c>
      <c r="AS117" s="296"/>
      <c r="AT117" s="296" t="s">
        <v>8</v>
      </c>
      <c r="AU117" s="296"/>
      <c r="AV117" s="296" t="s">
        <v>9</v>
      </c>
      <c r="AW117" s="296"/>
      <c r="AX117" s="296" t="s">
        <v>10</v>
      </c>
      <c r="AY117" s="296"/>
      <c r="AZ117" s="296" t="s">
        <v>11</v>
      </c>
      <c r="BA117" s="296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AX117:AY117"/>
    <mergeCell ref="AZ117:BA117"/>
    <mergeCell ref="AN117:AO117"/>
    <mergeCell ref="AP117:AQ117"/>
    <mergeCell ref="AR117:AS117"/>
    <mergeCell ref="AT117:AU117"/>
    <mergeCell ref="AV117:AW117"/>
    <mergeCell ref="AD117:AE117"/>
    <mergeCell ref="AF117:AG117"/>
    <mergeCell ref="AH117:AI117"/>
    <mergeCell ref="AJ117:AK117"/>
    <mergeCell ref="AL117:AM117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J90:AK90"/>
    <mergeCell ref="AL90:AM90"/>
    <mergeCell ref="AN90:AO90"/>
    <mergeCell ref="AP90:AQ90"/>
    <mergeCell ref="AR90:AS90"/>
    <mergeCell ref="V90:W90"/>
    <mergeCell ref="X90:Y90"/>
    <mergeCell ref="AD90:AE90"/>
    <mergeCell ref="AF90:AG90"/>
    <mergeCell ref="AH90:AI90"/>
    <mergeCell ref="L90:M90"/>
    <mergeCell ref="N90:O90"/>
    <mergeCell ref="P90:Q90"/>
    <mergeCell ref="R90:S90"/>
    <mergeCell ref="T90:U90"/>
    <mergeCell ref="B90:C90"/>
    <mergeCell ref="D90:E90"/>
    <mergeCell ref="F90:G90"/>
    <mergeCell ref="H90:I90"/>
    <mergeCell ref="J90:K90"/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67" zoomScale="80" zoomScaleNormal="80" workbookViewId="0">
      <selection activeCell="K95" sqref="K95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1463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2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1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524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100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6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0</v>
      </c>
      <c r="U25" s="173">
        <f>Alim_Surf!E35</f>
        <v>0</v>
      </c>
      <c r="V25" s="173">
        <f>IF(T25=0,0,VLOOKUP(T25,[1]Cult!$A$7:$H$76,8))</f>
        <v>0</v>
      </c>
      <c r="W25" s="173">
        <f t="shared" ref="W25:W33" si="0">IF(V25="ME",U25,0)</f>
        <v>0</v>
      </c>
      <c r="X25" s="173">
        <f t="shared" ref="X25:X33" si="1">IF(V25="MG",U25,0)</f>
        <v>0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0</v>
      </c>
      <c r="U26" s="173">
        <f>Alim_Surf!E36</f>
        <v>0</v>
      </c>
      <c r="V26" s="173">
        <f>IF(T26=0,0,VLOOKUP(T26,[1]Cult!$A$7:$H$76,8))</f>
        <v>0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0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23.5</v>
      </c>
      <c r="L28" t="s">
        <v>52</v>
      </c>
      <c r="M28" s="30">
        <f>U228</f>
        <v>19.3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16</v>
      </c>
      <c r="L29" t="s">
        <v>52</v>
      </c>
      <c r="M29" s="30">
        <f>V228</f>
        <v>16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0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10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0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1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1</v>
      </c>
      <c r="V34" s="62"/>
      <c r="W34" s="62">
        <f t="shared" ref="W34:AA34" si="7">SUM(W24:W33)</f>
        <v>1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0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0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5</v>
      </c>
    </row>
    <row r="41" spans="10:29" x14ac:dyDescent="0.25">
      <c r="J41" s="14" t="s">
        <v>564</v>
      </c>
      <c r="K41" s="173">
        <f>AD228</f>
        <v>23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1.93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1389</v>
      </c>
      <c r="K48" s="173">
        <f>K33+K40+K41</f>
        <v>29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>
        <v>3.5</v>
      </c>
    </row>
    <row r="55" spans="10:16" x14ac:dyDescent="0.25">
      <c r="J55" s="14" t="s">
        <v>570</v>
      </c>
      <c r="K55" s="80">
        <v>36</v>
      </c>
    </row>
    <row r="56" spans="10:16" x14ac:dyDescent="0.25">
      <c r="J56" s="14" t="s">
        <v>571</v>
      </c>
      <c r="K56" s="174">
        <v>1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580</v>
      </c>
      <c r="N57" t="s">
        <v>575</v>
      </c>
      <c r="P57" t="s">
        <v>576</v>
      </c>
    </row>
    <row r="58" spans="10:16" x14ac:dyDescent="0.25">
      <c r="J58" s="14" t="s">
        <v>577</v>
      </c>
      <c r="K58" s="80">
        <v>2</v>
      </c>
      <c r="P58" t="s">
        <v>578</v>
      </c>
    </row>
    <row r="59" spans="10:16" x14ac:dyDescent="0.25">
      <c r="J59" s="14" t="s">
        <v>579</v>
      </c>
      <c r="K59" s="80">
        <v>1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/>
      <c r="P61" t="s">
        <v>583</v>
      </c>
    </row>
    <row r="62" spans="10:16" x14ac:dyDescent="0.25">
      <c r="J62" s="14" t="s">
        <v>584</v>
      </c>
      <c r="K62" s="80"/>
    </row>
    <row r="63" spans="10:16" x14ac:dyDescent="0.25">
      <c r="J63"/>
      <c r="K63"/>
    </row>
    <row r="64" spans="10:16" x14ac:dyDescent="0.25">
      <c r="J64" s="14" t="s">
        <v>585</v>
      </c>
      <c r="K64" s="288" t="s">
        <v>573</v>
      </c>
      <c r="L64" t="s">
        <v>1440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0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0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/>
      <c r="R76">
        <v>1</v>
      </c>
      <c r="U76" s="295">
        <v>1</v>
      </c>
      <c r="V76" s="295" t="s">
        <v>598</v>
      </c>
    </row>
    <row r="77" spans="10:22" x14ac:dyDescent="0.25">
      <c r="J77" s="14" t="s">
        <v>599</v>
      </c>
      <c r="K77" s="80"/>
      <c r="R77">
        <v>2</v>
      </c>
      <c r="U77" s="295">
        <v>2</v>
      </c>
      <c r="V77" s="295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80"/>
      <c r="R79">
        <v>4</v>
      </c>
    </row>
    <row r="80" spans="10:22" x14ac:dyDescent="0.25">
      <c r="J80" s="14" t="s">
        <v>604</v>
      </c>
      <c r="K80" s="80"/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>
        <v>2</v>
      </c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1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>
        <v>1</v>
      </c>
      <c r="L88" t="s">
        <v>1382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1383</v>
      </c>
      <c r="K89" s="80">
        <v>1</v>
      </c>
      <c r="T89">
        <v>4</v>
      </c>
      <c r="U89" t="s">
        <v>624</v>
      </c>
    </row>
    <row r="90" spans="9:21" x14ac:dyDescent="0.25">
      <c r="J90" s="14" t="s">
        <v>623</v>
      </c>
      <c r="K90" s="80"/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>
        <v>2</v>
      </c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633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633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1384</v>
      </c>
    </row>
    <row r="128" spans="9:12" x14ac:dyDescent="0.25">
      <c r="K128"/>
    </row>
    <row r="129" spans="10:15" x14ac:dyDescent="0.25">
      <c r="J129" s="14" t="s">
        <v>638</v>
      </c>
      <c r="K129" s="80">
        <v>1</v>
      </c>
      <c r="L129" t="s">
        <v>1385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266</v>
      </c>
      <c r="S164" s="173">
        <f>Alim_Surf!R7</f>
        <v>2.7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2.7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2.7</v>
      </c>
      <c r="AI164" s="173">
        <f>IF(T164=1,AD164,0)</f>
        <v>0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241</v>
      </c>
      <c r="S165" s="173">
        <f>Alim_Surf!R8</f>
        <v>11</v>
      </c>
      <c r="T165" s="173">
        <f>VLOOKUP(R165,[1]MEP!$A$4:$M$300,13)</f>
        <v>2</v>
      </c>
      <c r="U165" s="173">
        <f t="shared" ref="U165:U207" si="10">IF($T165&gt;0,$S165,0)</f>
        <v>11</v>
      </c>
      <c r="V165" s="173">
        <f t="shared" ref="V165:V207" si="11">IF($T165&gt;1,$S165,0)</f>
        <v>11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11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11</v>
      </c>
      <c r="AL165" s="5"/>
      <c r="AN165" s="32" t="s">
        <v>659</v>
      </c>
      <c r="AO165" s="173">
        <f>SUM(AD164:AD183)</f>
        <v>18.7</v>
      </c>
    </row>
    <row r="166" spans="17:41" x14ac:dyDescent="0.25">
      <c r="Q166">
        <v>3</v>
      </c>
      <c r="R166" s="173">
        <f>Alim_Surf!Q9</f>
        <v>290</v>
      </c>
      <c r="S166" s="173">
        <f>Alim_Surf!R9</f>
        <v>0</v>
      </c>
      <c r="T166" s="173">
        <f>VLOOKUP(R166,[1]MEP!$A$4:$M$300,13)</f>
        <v>1</v>
      </c>
      <c r="U166" s="173">
        <f t="shared" si="10"/>
        <v>0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0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0</v>
      </c>
      <c r="AI166" s="173">
        <f t="shared" si="19"/>
        <v>0</v>
      </c>
      <c r="AJ166" s="173">
        <f t="shared" si="20"/>
        <v>0</v>
      </c>
      <c r="AL166" s="5"/>
      <c r="AN166" s="32" t="s">
        <v>660</v>
      </c>
      <c r="AO166" s="173">
        <f>SUM(AC164:AC183)</f>
        <v>0</v>
      </c>
    </row>
    <row r="167" spans="17:41" x14ac:dyDescent="0.25">
      <c r="Q167">
        <v>4</v>
      </c>
      <c r="R167" s="173">
        <f>Alim_Surf!Q10</f>
        <v>242</v>
      </c>
      <c r="S167" s="173">
        <f>Alim_Surf!R10</f>
        <v>3.3</v>
      </c>
      <c r="T167" s="173">
        <f>VLOOKUP(R167,[1]MEP!$A$4:$M$300,13)</f>
        <v>1</v>
      </c>
      <c r="U167" s="173">
        <f t="shared" si="10"/>
        <v>3.3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3.3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3.3</v>
      </c>
      <c r="AJ167" s="173">
        <f t="shared" si="20"/>
        <v>0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239</v>
      </c>
      <c r="S168" s="173">
        <f>Alim_Surf!R11</f>
        <v>1.7</v>
      </c>
      <c r="T168" s="173">
        <f>VLOOKUP(R168,[1]MEP!$A$4:$M$300,13)</f>
        <v>0</v>
      </c>
      <c r="U168" s="173">
        <f t="shared" si="10"/>
        <v>0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1.7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1.7</v>
      </c>
      <c r="AI168" s="173">
        <f t="shared" si="19"/>
        <v>0</v>
      </c>
      <c r="AJ168" s="173">
        <f t="shared" si="20"/>
        <v>0</v>
      </c>
      <c r="AL168" s="5"/>
      <c r="AN168" s="32" t="s">
        <v>662</v>
      </c>
      <c r="AO168" s="173">
        <f>SUM(AD186:AD205)</f>
        <v>4.3</v>
      </c>
    </row>
    <row r="169" spans="17:41" x14ac:dyDescent="0.25">
      <c r="Q169">
        <v>6</v>
      </c>
      <c r="R169" s="173">
        <f>Alim_Surf!Q12</f>
        <v>0</v>
      </c>
      <c r="S169" s="173">
        <f>Alim_Surf!R12</f>
        <v>0</v>
      </c>
      <c r="T169" s="173">
        <f>VLOOKUP(R169,[1]MEP!$A$4:$M$300,13)</f>
        <v>0</v>
      </c>
      <c r="U169" s="173">
        <f t="shared" si="10"/>
        <v>0</v>
      </c>
      <c r="V169" s="173">
        <f t="shared" si="11"/>
        <v>0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8"/>
        <v>0</v>
      </c>
      <c r="AB169" s="173">
        <f t="shared" si="9"/>
        <v>0</v>
      </c>
      <c r="AC169" s="173">
        <f t="shared" si="13"/>
        <v>0</v>
      </c>
      <c r="AD169" s="173">
        <f t="shared" si="14"/>
        <v>0</v>
      </c>
      <c r="AE169" s="173">
        <f t="shared" si="15"/>
        <v>0</v>
      </c>
      <c r="AF169" s="173">
        <f t="shared" si="16"/>
        <v>0</v>
      </c>
      <c r="AG169" s="173">
        <f t="shared" si="17"/>
        <v>0</v>
      </c>
      <c r="AH169" s="173">
        <f t="shared" si="18"/>
        <v>0</v>
      </c>
      <c r="AI169" s="173">
        <f t="shared" si="19"/>
        <v>0</v>
      </c>
      <c r="AJ169" s="173">
        <f t="shared" si="20"/>
        <v>0</v>
      </c>
      <c r="AL169" s="5"/>
      <c r="AN169" s="32" t="s">
        <v>663</v>
      </c>
      <c r="AO169" s="173">
        <f>SUM(AC186:AC205)</f>
        <v>5</v>
      </c>
    </row>
    <row r="170" spans="17:41" x14ac:dyDescent="0.25"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10"/>
        <v>0</v>
      </c>
      <c r="V170" s="173">
        <f t="shared" si="11"/>
        <v>0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0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0</v>
      </c>
      <c r="AJ170" s="173">
        <f t="shared" si="20"/>
        <v>0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10"/>
        <v>0</v>
      </c>
      <c r="V171" s="173">
        <f t="shared" si="11"/>
        <v>0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</v>
      </c>
      <c r="AL171" s="5"/>
      <c r="AN171" s="32" t="s">
        <v>665</v>
      </c>
      <c r="AO171" s="173">
        <f>Alim_Surf!O51</f>
        <v>11.1</v>
      </c>
    </row>
    <row r="172" spans="17:41" x14ac:dyDescent="0.25"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239</v>
      </c>
      <c r="S186" s="173">
        <f>Alim_Surf!R29</f>
        <v>4.3</v>
      </c>
      <c r="T186" s="173">
        <f>VLOOKUP(R186,[1]MEP!$A$4:$M$300,13)</f>
        <v>0</v>
      </c>
      <c r="U186" s="173">
        <f t="shared" si="10"/>
        <v>0</v>
      </c>
      <c r="V186" s="173">
        <f t="shared" si="11"/>
        <v>0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4.3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4.3</v>
      </c>
      <c r="AI186" s="173">
        <f t="shared" si="19"/>
        <v>0</v>
      </c>
      <c r="AJ186" s="173">
        <f t="shared" si="20"/>
        <v>0</v>
      </c>
      <c r="AL186" s="5"/>
    </row>
    <row r="187" spans="17:38" x14ac:dyDescent="0.25">
      <c r="Q187">
        <v>2</v>
      </c>
      <c r="R187" s="173">
        <f>Alim_Surf!Q30</f>
        <v>242</v>
      </c>
      <c r="S187" s="173">
        <f>Alim_Surf!R30</f>
        <v>0</v>
      </c>
      <c r="T187" s="173">
        <f>VLOOKUP(R187,[1]MEP!$A$4:$M$300,13)</f>
        <v>1</v>
      </c>
      <c r="U187" s="173">
        <f t="shared" si="10"/>
        <v>0</v>
      </c>
      <c r="V187" s="173">
        <f t="shared" si="11"/>
        <v>0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8"/>
        <v>0</v>
      </c>
      <c r="AB187" s="173">
        <f t="shared" si="9"/>
        <v>0</v>
      </c>
      <c r="AC187" s="173">
        <f t="shared" si="13"/>
        <v>0</v>
      </c>
      <c r="AD187" s="173">
        <f t="shared" si="14"/>
        <v>0</v>
      </c>
      <c r="AE187" s="173">
        <f t="shared" si="15"/>
        <v>0</v>
      </c>
      <c r="AF187" s="173">
        <f t="shared" si="16"/>
        <v>0</v>
      </c>
      <c r="AG187" s="173">
        <f t="shared" si="17"/>
        <v>0</v>
      </c>
      <c r="AH187" s="173">
        <f t="shared" si="18"/>
        <v>0</v>
      </c>
      <c r="AI187" s="173">
        <f t="shared" si="19"/>
        <v>0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10"/>
        <v>5</v>
      </c>
      <c r="V188" s="173">
        <f t="shared" si="11"/>
        <v>5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8"/>
        <v>0</v>
      </c>
      <c r="AB188" s="173">
        <f t="shared" si="9"/>
        <v>0</v>
      </c>
      <c r="AC188" s="173">
        <f t="shared" si="13"/>
        <v>5</v>
      </c>
      <c r="AD188" s="173">
        <f t="shared" si="14"/>
        <v>0</v>
      </c>
      <c r="AE188" s="173">
        <f t="shared" si="15"/>
        <v>0</v>
      </c>
      <c r="AF188" s="173">
        <f t="shared" si="16"/>
        <v>0</v>
      </c>
      <c r="AG188" s="173">
        <f t="shared" si="17"/>
        <v>5</v>
      </c>
      <c r="AH188" s="173">
        <f t="shared" si="18"/>
        <v>0</v>
      </c>
      <c r="AI188" s="173">
        <f t="shared" si="19"/>
        <v>0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10"/>
        <v>0</v>
      </c>
      <c r="V189" s="173">
        <f t="shared" si="11"/>
        <v>0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0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0</v>
      </c>
      <c r="AL189" s="5"/>
    </row>
    <row r="190" spans="17:38" x14ac:dyDescent="0.25"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28</v>
      </c>
      <c r="U228" s="62">
        <f>SUM(U164:U227)</f>
        <v>19.3</v>
      </c>
      <c r="V228" s="62">
        <f t="shared" ref="V228:W228" si="22">SUM(V164:V227)</f>
        <v>16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5</v>
      </c>
      <c r="AD228" s="62">
        <f>SUM(AD164:AD227)</f>
        <v>23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5</v>
      </c>
      <c r="AH228" s="62">
        <f t="shared" si="24"/>
        <v>8.6999999999999993</v>
      </c>
      <c r="AI228" s="62">
        <f t="shared" si="24"/>
        <v>3.3</v>
      </c>
      <c r="AJ228" s="62">
        <f t="shared" si="24"/>
        <v>11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8" zoomScale="90" zoomScaleNormal="90" workbookViewId="0">
      <selection activeCell="AV4" sqref="AV4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0</v>
      </c>
      <c r="D3" s="177">
        <f t="shared" si="0"/>
        <v>0</v>
      </c>
      <c r="E3" s="177">
        <f t="shared" si="0"/>
        <v>1</v>
      </c>
      <c r="F3" s="177">
        <f t="shared" si="0"/>
        <v>2</v>
      </c>
      <c r="G3" s="177">
        <f t="shared" si="0"/>
        <v>2</v>
      </c>
      <c r="H3" s="177">
        <f t="shared" si="0"/>
        <v>2</v>
      </c>
      <c r="I3" s="177">
        <f t="shared" si="0"/>
        <v>2</v>
      </c>
      <c r="J3" s="177">
        <f t="shared" si="0"/>
        <v>2</v>
      </c>
      <c r="K3" s="177">
        <f t="shared" si="0"/>
        <v>3</v>
      </c>
      <c r="L3" s="177">
        <f t="shared" si="0"/>
        <v>2</v>
      </c>
      <c r="M3" s="177">
        <f t="shared" si="0"/>
        <v>2</v>
      </c>
      <c r="N3" s="177">
        <f t="shared" si="0"/>
        <v>1</v>
      </c>
      <c r="O3" s="177">
        <f t="shared" si="0"/>
        <v>1</v>
      </c>
      <c r="P3" s="177">
        <f t="shared" si="0"/>
        <v>1</v>
      </c>
      <c r="Q3" s="177">
        <f t="shared" si="0"/>
        <v>1</v>
      </c>
      <c r="R3" s="177">
        <f t="shared" si="0"/>
        <v>1</v>
      </c>
      <c r="S3" s="177">
        <f t="shared" si="0"/>
        <v>1</v>
      </c>
      <c r="T3" s="177">
        <f t="shared" si="0"/>
        <v>1</v>
      </c>
      <c r="U3" s="177">
        <f t="shared" si="0"/>
        <v>2</v>
      </c>
      <c r="V3" s="177">
        <f t="shared" si="0"/>
        <v>1</v>
      </c>
      <c r="W3" s="177">
        <f t="shared" si="0"/>
        <v>0</v>
      </c>
      <c r="X3" s="177">
        <f t="shared" si="0"/>
        <v>0</v>
      </c>
      <c r="Y3" s="177">
        <f t="shared" si="0"/>
        <v>0</v>
      </c>
      <c r="Z3" s="177">
        <f t="shared" si="0"/>
        <v>0</v>
      </c>
      <c r="AB3" s="32"/>
      <c r="AC3" s="5"/>
      <c r="AD3" s="276"/>
      <c r="AE3" s="276"/>
      <c r="AF3" s="276"/>
      <c r="AO3" s="14" t="s">
        <v>681</v>
      </c>
      <c r="AP3" s="30">
        <f>BG31</f>
        <v>2282</v>
      </c>
      <c r="AQ3">
        <f>BJ31</f>
        <v>11.1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2</v>
      </c>
      <c r="D4" s="177">
        <f t="shared" ref="D4:Z4" si="1">COUNTIF(D81:D90,2)</f>
        <v>2</v>
      </c>
      <c r="E4" s="177">
        <f t="shared" si="1"/>
        <v>2</v>
      </c>
      <c r="F4" s="177">
        <f t="shared" si="1"/>
        <v>2</v>
      </c>
      <c r="G4" s="177">
        <f t="shared" si="1"/>
        <v>1</v>
      </c>
      <c r="H4" s="177">
        <f t="shared" si="1"/>
        <v>1</v>
      </c>
      <c r="I4" s="177">
        <f t="shared" si="1"/>
        <v>1</v>
      </c>
      <c r="J4" s="177">
        <f t="shared" si="1"/>
        <v>1</v>
      </c>
      <c r="K4" s="177">
        <f t="shared" si="1"/>
        <v>0</v>
      </c>
      <c r="L4" s="177">
        <f t="shared" si="1"/>
        <v>0</v>
      </c>
      <c r="M4" s="177">
        <f t="shared" si="1"/>
        <v>0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0</v>
      </c>
      <c r="V4" s="177">
        <f t="shared" si="1"/>
        <v>1</v>
      </c>
      <c r="W4" s="177">
        <f t="shared" si="1"/>
        <v>1</v>
      </c>
      <c r="X4" s="177">
        <f t="shared" si="1"/>
        <v>1</v>
      </c>
      <c r="Y4" s="177">
        <f t="shared" si="1"/>
        <v>1</v>
      </c>
      <c r="Z4" s="177">
        <f t="shared" si="1"/>
        <v>2</v>
      </c>
      <c r="AB4" s="32"/>
      <c r="AC4" s="5"/>
      <c r="AD4" s="276"/>
      <c r="AE4" s="276"/>
      <c r="AF4" s="276"/>
      <c r="AO4" s="14" t="s">
        <v>683</v>
      </c>
      <c r="AP4" s="30">
        <f>SUM(BG31:BI31)</f>
        <v>9365</v>
      </c>
      <c r="AQ4">
        <f>SUM(BJ31:BL31)</f>
        <v>39.099999999999994</v>
      </c>
      <c r="AV4" s="30">
        <f>Parcellaire!A2</f>
        <v>1</v>
      </c>
      <c r="AW4" s="30">
        <f>Parcellaire!B2</f>
        <v>1</v>
      </c>
      <c r="AX4" s="30" t="str">
        <f>Parcellaire!D2</f>
        <v>éloigné</v>
      </c>
      <c r="AY4" s="30">
        <f>Parcellaire!F2</f>
        <v>239</v>
      </c>
      <c r="AZ4" s="30">
        <f>Parcellaire!G2</f>
        <v>0.8</v>
      </c>
      <c r="BA4" s="30">
        <f>ROUND(Parcellaire!S2,0)</f>
        <v>0</v>
      </c>
      <c r="BB4" s="30">
        <f>ROUND(Parcellaire!T2,0)</f>
        <v>298</v>
      </c>
      <c r="BC4" s="30">
        <f>ROUND(Parcellaire!U2,0)</f>
        <v>199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" si="2">IF(BE4="LP","LP",IF(AND(BE4="P",AX4="proche"),"PF",IF(AND(BE4="P",AX4="éloigné"),"PE","AU")))</f>
        <v>PE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298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0.8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1</v>
      </c>
      <c r="H5" s="177">
        <f t="shared" si="9"/>
        <v>1</v>
      </c>
      <c r="I5" s="177">
        <f t="shared" si="9"/>
        <v>1</v>
      </c>
      <c r="J5" s="177">
        <f t="shared" si="9"/>
        <v>1</v>
      </c>
      <c r="K5" s="177">
        <f t="shared" si="9"/>
        <v>1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1</v>
      </c>
      <c r="W5" s="177">
        <f t="shared" si="9"/>
        <v>1</v>
      </c>
      <c r="X5" s="177">
        <f t="shared" si="9"/>
        <v>1</v>
      </c>
      <c r="Y5" s="177">
        <f t="shared" si="9"/>
        <v>1</v>
      </c>
      <c r="Z5" s="177">
        <f t="shared" si="9"/>
        <v>0</v>
      </c>
      <c r="AB5" s="32"/>
      <c r="AC5" s="5"/>
      <c r="AD5" s="276"/>
      <c r="AE5" s="276"/>
      <c r="AF5" s="276"/>
      <c r="AI5" s="40" t="s">
        <v>1427</v>
      </c>
      <c r="AJ5" s="30">
        <f>MAX(C203:Z203)</f>
        <v>10</v>
      </c>
      <c r="AO5" s="14" t="s">
        <v>685</v>
      </c>
      <c r="AP5" s="30">
        <f>BI31</f>
        <v>2766</v>
      </c>
      <c r="AV5" s="30">
        <f>Parcellaire!A3</f>
        <v>2</v>
      </c>
      <c r="AW5" s="30">
        <f>Parcellaire!B3</f>
        <v>1</v>
      </c>
      <c r="AX5" s="30" t="str">
        <f>Parcellaire!D3</f>
        <v>éloigné</v>
      </c>
      <c r="AY5" s="30">
        <f>Parcellaire!F3</f>
        <v>239</v>
      </c>
      <c r="AZ5" s="30">
        <f>Parcellaire!G3</f>
        <v>0.9</v>
      </c>
      <c r="BA5" s="30">
        <f>ROUND(Parcellaire!S3,0)</f>
        <v>0</v>
      </c>
      <c r="BB5" s="30">
        <f>ROUND(Parcellaire!T3,0)</f>
        <v>332</v>
      </c>
      <c r="BC5" s="30">
        <f>ROUND(Parcellaire!U3,0)</f>
        <v>221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ref="BF5:BF30" si="10">IF(BE5="LP","LP",IF(AND(BE5="P",AX5="proche"),"PF",IF(AND(BE5="P",AX5="éloigné"),"PE","AU")))</f>
        <v>PE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332</v>
      </c>
      <c r="BJ5" s="173">
        <f t="shared" si="6"/>
        <v>0</v>
      </c>
      <c r="BK5" s="173">
        <f t="shared" si="7"/>
        <v>0</v>
      </c>
      <c r="BL5" s="173">
        <f t="shared" si="8"/>
        <v>0.9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0</v>
      </c>
      <c r="O6" s="177">
        <f t="shared" si="12"/>
        <v>0</v>
      </c>
      <c r="P6" s="177">
        <f t="shared" si="12"/>
        <v>0</v>
      </c>
      <c r="Q6" s="177">
        <f t="shared" si="12"/>
        <v>0</v>
      </c>
      <c r="R6" s="177">
        <f t="shared" si="12"/>
        <v>0</v>
      </c>
      <c r="S6" s="177">
        <f t="shared" si="12"/>
        <v>0</v>
      </c>
      <c r="T6" s="177">
        <f t="shared" si="12"/>
        <v>0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4317</v>
      </c>
      <c r="AQ6">
        <f>BK31</f>
        <v>18.7</v>
      </c>
      <c r="AV6" s="30">
        <f>Parcellaire!A4</f>
        <v>3</v>
      </c>
      <c r="AW6" s="30">
        <f>Parcellaire!B4</f>
        <v>2</v>
      </c>
      <c r="AX6" s="30" t="str">
        <f>Parcellaire!D4</f>
        <v>éloigné</v>
      </c>
      <c r="AY6" s="30">
        <f>Parcellaire!F4</f>
        <v>0</v>
      </c>
      <c r="AZ6" s="30">
        <f>Parcellaire!G4</f>
        <v>1</v>
      </c>
      <c r="BA6" s="30">
        <f>ROUND(Parcellaire!S4,0)</f>
        <v>0</v>
      </c>
      <c r="BB6" s="30">
        <f>ROUND(Parcellaire!T4,0)</f>
        <v>0</v>
      </c>
      <c r="BC6" s="30">
        <f>ROUND(Parcellaire!U4,0)</f>
        <v>0</v>
      </c>
      <c r="BD6" s="30" t="str">
        <f>IF(AW6=2,"",VLOOKUP(AY6,[1]MEP!$X$5:$AA$250,4))</f>
        <v/>
      </c>
      <c r="BE6" s="30" t="str">
        <f>IF(AW6=2,"",VLOOKUP(BD6,[1]MEP!$AC$5:$AD$10,2))</f>
        <v/>
      </c>
      <c r="BF6" s="30" t="str">
        <f t="shared" si="10"/>
        <v>AU</v>
      </c>
      <c r="BG6" s="173">
        <f t="shared" si="11"/>
        <v>0</v>
      </c>
      <c r="BH6" s="173">
        <f t="shared" si="4"/>
        <v>0</v>
      </c>
      <c r="BI6" s="173">
        <f t="shared" si="5"/>
        <v>0</v>
      </c>
      <c r="BJ6" s="173">
        <f t="shared" si="6"/>
        <v>0</v>
      </c>
      <c r="BK6" s="173">
        <f t="shared" si="7"/>
        <v>0</v>
      </c>
      <c r="BL6" s="173">
        <f t="shared" si="8"/>
        <v>0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 t="shared" si="13"/>
        <v>2</v>
      </c>
      <c r="O7" s="177">
        <f t="shared" si="13"/>
        <v>2</v>
      </c>
      <c r="P7" s="177">
        <f t="shared" si="13"/>
        <v>2</v>
      </c>
      <c r="Q7" s="177">
        <f t="shared" si="13"/>
        <v>2</v>
      </c>
      <c r="R7" s="177">
        <f t="shared" si="13"/>
        <v>2</v>
      </c>
      <c r="S7" s="177">
        <f t="shared" si="13"/>
        <v>2</v>
      </c>
      <c r="T7" s="177">
        <f t="shared" si="13"/>
        <v>2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0</v>
      </c>
      <c r="AV7" s="30">
        <f>Parcellaire!A5</f>
        <v>4</v>
      </c>
      <c r="AW7" s="30">
        <f>Parcellaire!B5</f>
        <v>0</v>
      </c>
      <c r="AX7" s="30">
        <f>Parcellaire!D5</f>
        <v>0</v>
      </c>
      <c r="AY7" s="30">
        <f>Parcellaire!F5</f>
        <v>0</v>
      </c>
      <c r="AZ7" s="30">
        <f>Parcellaire!G5</f>
        <v>0</v>
      </c>
      <c r="BA7" s="30">
        <f>ROUND(Parcellaire!S5,0)</f>
        <v>0</v>
      </c>
      <c r="BB7" s="30" t="e">
        <f>ROUND(Parcellaire!T5,0)</f>
        <v>#VALUE!</v>
      </c>
      <c r="BC7" s="30">
        <f>ROUND(Parcellaire!U5,0)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10"/>
        <v>#N/A</v>
      </c>
      <c r="BG7" s="173">
        <f t="shared" si="11"/>
        <v>0</v>
      </c>
      <c r="BH7" s="173">
        <f t="shared" si="4"/>
        <v>0</v>
      </c>
      <c r="BI7" s="173">
        <f t="shared" si="5"/>
        <v>0</v>
      </c>
      <c r="BJ7" s="173">
        <f t="shared" si="6"/>
        <v>0</v>
      </c>
      <c r="BK7" s="173">
        <f t="shared" si="7"/>
        <v>0</v>
      </c>
      <c r="BL7" s="173">
        <f t="shared" si="8"/>
        <v>0</v>
      </c>
    </row>
    <row r="8" spans="1:64" x14ac:dyDescent="0.25">
      <c r="A8" s="14" t="s">
        <v>690</v>
      </c>
      <c r="B8" t="s">
        <v>568</v>
      </c>
      <c r="C8" s="177">
        <f>(C3+C4)*[1]Protect!$B$12</f>
        <v>4</v>
      </c>
      <c r="D8" s="177">
        <f>(D3+D4)*[1]Protect!$B$12</f>
        <v>4</v>
      </c>
      <c r="E8" s="177">
        <f>(E3+E4)*[1]Protect!$B$12</f>
        <v>6</v>
      </c>
      <c r="F8" s="177">
        <f>(F3+F4)*[1]Protect!$B$12</f>
        <v>8</v>
      </c>
      <c r="G8" s="177">
        <f>(G3+G4)*[1]Protect!$B$12</f>
        <v>6</v>
      </c>
      <c r="H8" s="177">
        <f>(H3+H4)*[1]Protect!$B$12</f>
        <v>6</v>
      </c>
      <c r="I8" s="177">
        <f>(I3+I4)*[1]Protect!$B$12</f>
        <v>6</v>
      </c>
      <c r="J8" s="177">
        <f>(J3+J4)*[1]Protect!$B$12</f>
        <v>6</v>
      </c>
      <c r="K8" s="177">
        <f>(K3+K4)*[1]Protect!$B$12</f>
        <v>6</v>
      </c>
      <c r="L8" s="177">
        <f>(L3+L4)*[1]Protect!$B$12</f>
        <v>4</v>
      </c>
      <c r="M8" s="177">
        <f>(M3+M4)*[1]Protect!$B$12</f>
        <v>4</v>
      </c>
      <c r="N8" s="177">
        <f>(N3+N4)*[1]Protect!$B$12</f>
        <v>2</v>
      </c>
      <c r="O8" s="177">
        <f>(O3+O4)*[1]Protect!$B$12</f>
        <v>2</v>
      </c>
      <c r="P8" s="177">
        <f>(P3+P4)*[1]Protect!$B$12</f>
        <v>2</v>
      </c>
      <c r="Q8" s="177">
        <f>(Q3+Q4)*[1]Protect!$B$12</f>
        <v>2</v>
      </c>
      <c r="R8" s="177">
        <f>(R3+R4)*[1]Protect!$B$12</f>
        <v>2</v>
      </c>
      <c r="S8" s="177">
        <f>(S3+S4)*[1]Protect!$B$12</f>
        <v>2</v>
      </c>
      <c r="T8" s="177">
        <f>(T3+T4)*[1]Protect!$B$12</f>
        <v>2</v>
      </c>
      <c r="U8" s="177">
        <f>(U3+U4)*[1]Protect!$B$12</f>
        <v>4</v>
      </c>
      <c r="V8" s="177">
        <f>(V3+V4)*[1]Protect!$B$12</f>
        <v>4</v>
      </c>
      <c r="W8" s="177">
        <f>(W3+W4)*[1]Protect!$B$12</f>
        <v>2</v>
      </c>
      <c r="X8" s="177">
        <f>(X3+X4)*[1]Protect!$B$12</f>
        <v>2</v>
      </c>
      <c r="Y8" s="177">
        <f>(Y3+Y4)*[1]Protect!$B$12</f>
        <v>2</v>
      </c>
      <c r="Z8" s="177">
        <f>(Z3+Z4)*[1]Protect!$B$12</f>
        <v>4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10</v>
      </c>
      <c r="AO8" s="14"/>
      <c r="AV8" s="30">
        <f>Parcellaire!A6</f>
        <v>5</v>
      </c>
      <c r="AW8" s="30">
        <f>Parcellaire!B6</f>
        <v>1</v>
      </c>
      <c r="AX8" s="30" t="str">
        <f>Parcellaire!D6</f>
        <v>éloigné</v>
      </c>
      <c r="AY8" s="30">
        <f>Parcellaire!F6</f>
        <v>239</v>
      </c>
      <c r="AZ8" s="30">
        <f>Parcellaire!G6</f>
        <v>1.1000000000000001</v>
      </c>
      <c r="BA8" s="30">
        <f>ROUND(Parcellaire!S6,0)</f>
        <v>0</v>
      </c>
      <c r="BB8" s="30">
        <f>ROUND(Parcellaire!T6,0)</f>
        <v>367</v>
      </c>
      <c r="BC8" s="30">
        <f>ROUND(Parcellaire!U6,0)</f>
        <v>245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10"/>
        <v>PE</v>
      </c>
      <c r="BG8" s="173">
        <f t="shared" si="11"/>
        <v>0</v>
      </c>
      <c r="BH8" s="173">
        <f t="shared" si="4"/>
        <v>0</v>
      </c>
      <c r="BI8" s="173">
        <f t="shared" si="5"/>
        <v>367</v>
      </c>
      <c r="BJ8" s="173">
        <f t="shared" si="6"/>
        <v>0</v>
      </c>
      <c r="BK8" s="173">
        <f t="shared" si="7"/>
        <v>0</v>
      </c>
      <c r="BL8" s="173">
        <f t="shared" si="8"/>
        <v>1.1000000000000001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3</v>
      </c>
      <c r="H9" s="177">
        <f>H5*[1]Protect!$B$13</f>
        <v>3</v>
      </c>
      <c r="I9" s="177">
        <f>I5*[1]Protect!$B$13</f>
        <v>3</v>
      </c>
      <c r="J9" s="177">
        <f>J5*[1]Protect!$B$13</f>
        <v>3</v>
      </c>
      <c r="K9" s="177">
        <f>K5*[1]Protect!$B$13</f>
        <v>3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3</v>
      </c>
      <c r="W9" s="177">
        <f>W5*[1]Protect!$B$13</f>
        <v>3</v>
      </c>
      <c r="X9" s="177">
        <f>X5*[1]Protect!$B$13</f>
        <v>3</v>
      </c>
      <c r="Y9" s="177">
        <f>Y5*[1]Protect!$B$13</f>
        <v>3</v>
      </c>
      <c r="Z9" s="177">
        <f>Z5*[1]Protect!$B$13</f>
        <v>0</v>
      </c>
      <c r="AV9" s="30">
        <f>Parcellaire!A7</f>
        <v>6</v>
      </c>
      <c r="AW9" s="30">
        <f>Parcellaire!B7</f>
        <v>1</v>
      </c>
      <c r="AX9" s="30" t="str">
        <f>Parcellaire!D7</f>
        <v>éloigné</v>
      </c>
      <c r="AY9" s="30">
        <f>Parcellaire!F7</f>
        <v>242</v>
      </c>
      <c r="AZ9" s="30">
        <f>Parcellaire!G7</f>
        <v>1.5</v>
      </c>
      <c r="BA9" s="30">
        <f>ROUND(Parcellaire!S7,0)</f>
        <v>0</v>
      </c>
      <c r="BB9" s="30">
        <f>ROUND(Parcellaire!T7,0)</f>
        <v>429</v>
      </c>
      <c r="BC9" s="30">
        <f>ROUND(Parcellaire!U7,0)</f>
        <v>286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PE</v>
      </c>
      <c r="BG9" s="173">
        <f t="shared" si="11"/>
        <v>0</v>
      </c>
      <c r="BH9" s="173">
        <f t="shared" si="4"/>
        <v>0</v>
      </c>
      <c r="BI9" s="173">
        <f t="shared" si="5"/>
        <v>429</v>
      </c>
      <c r="BJ9" s="173">
        <f t="shared" si="6"/>
        <v>0</v>
      </c>
      <c r="BK9" s="173">
        <f t="shared" si="7"/>
        <v>0</v>
      </c>
      <c r="BL9" s="173">
        <f t="shared" si="8"/>
        <v>1.5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1</v>
      </c>
      <c r="AX10" s="30" t="str">
        <f>Parcellaire!D8</f>
        <v>proche</v>
      </c>
      <c r="AY10" s="30">
        <f>Parcellaire!F8</f>
        <v>242</v>
      </c>
      <c r="AZ10" s="30">
        <f>Parcellaire!G8</f>
        <v>2</v>
      </c>
      <c r="BA10" s="30">
        <f>ROUND(Parcellaire!S8,0)</f>
        <v>0</v>
      </c>
      <c r="BB10" s="30">
        <f>ROUND(Parcellaire!T8,0)</f>
        <v>495</v>
      </c>
      <c r="BC10" s="30">
        <f>ROUND(Parcellaire!U8,0)</f>
        <v>330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10"/>
        <v>PF</v>
      </c>
      <c r="BG10" s="173">
        <f t="shared" si="11"/>
        <v>0</v>
      </c>
      <c r="BH10" s="173">
        <f t="shared" si="4"/>
        <v>495</v>
      </c>
      <c r="BI10" s="173">
        <f t="shared" si="5"/>
        <v>0</v>
      </c>
      <c r="BJ10" s="173">
        <f t="shared" si="6"/>
        <v>0</v>
      </c>
      <c r="BK10" s="173">
        <f t="shared" si="7"/>
        <v>2</v>
      </c>
      <c r="BL10" s="173">
        <f t="shared" si="8"/>
        <v>0</v>
      </c>
    </row>
    <row r="11" spans="1:64" x14ac:dyDescent="0.25">
      <c r="A11" s="14" t="s">
        <v>694</v>
      </c>
      <c r="B11" t="s">
        <v>568</v>
      </c>
      <c r="C11" s="177">
        <f>SUM(C8:C10)</f>
        <v>4</v>
      </c>
      <c r="D11" s="177">
        <f t="shared" ref="D11:Z11" si="14">SUM(D8:D10)</f>
        <v>4</v>
      </c>
      <c r="E11" s="177">
        <f t="shared" si="14"/>
        <v>6</v>
      </c>
      <c r="F11" s="177">
        <f t="shared" si="14"/>
        <v>8</v>
      </c>
      <c r="G11" s="177">
        <f t="shared" si="14"/>
        <v>9</v>
      </c>
      <c r="H11" s="177">
        <f t="shared" si="14"/>
        <v>9</v>
      </c>
      <c r="I11" s="177">
        <f t="shared" si="14"/>
        <v>9</v>
      </c>
      <c r="J11" s="177">
        <f t="shared" si="14"/>
        <v>9</v>
      </c>
      <c r="K11" s="177">
        <f t="shared" si="14"/>
        <v>9</v>
      </c>
      <c r="L11" s="177">
        <f t="shared" si="14"/>
        <v>4</v>
      </c>
      <c r="M11" s="177">
        <f t="shared" si="14"/>
        <v>4</v>
      </c>
      <c r="N11" s="177">
        <f t="shared" si="14"/>
        <v>2</v>
      </c>
      <c r="O11" s="177">
        <f t="shared" si="14"/>
        <v>2</v>
      </c>
      <c r="P11" s="177">
        <f t="shared" si="14"/>
        <v>2</v>
      </c>
      <c r="Q11" s="177">
        <f t="shared" si="14"/>
        <v>2</v>
      </c>
      <c r="R11" s="177">
        <f t="shared" si="14"/>
        <v>2</v>
      </c>
      <c r="S11" s="177">
        <f t="shared" si="14"/>
        <v>2</v>
      </c>
      <c r="T11" s="177">
        <f t="shared" si="14"/>
        <v>2</v>
      </c>
      <c r="U11" s="177">
        <f t="shared" si="14"/>
        <v>4</v>
      </c>
      <c r="V11" s="177">
        <f t="shared" si="14"/>
        <v>7</v>
      </c>
      <c r="W11" s="177">
        <f t="shared" si="14"/>
        <v>5</v>
      </c>
      <c r="X11" s="177">
        <f t="shared" si="14"/>
        <v>5</v>
      </c>
      <c r="Y11" s="177">
        <f t="shared" si="14"/>
        <v>5</v>
      </c>
      <c r="Z11" s="177">
        <f t="shared" si="14"/>
        <v>4</v>
      </c>
      <c r="AB11" s="2" t="s">
        <v>695</v>
      </c>
      <c r="AC11" s="14"/>
      <c r="AV11" s="30">
        <f>Parcellaire!A9</f>
        <v>8</v>
      </c>
      <c r="AW11" s="30">
        <f>Parcellaire!B9</f>
        <v>1</v>
      </c>
      <c r="AX11" s="30" t="str">
        <f>Parcellaire!D9</f>
        <v>proche</v>
      </c>
      <c r="AY11" s="30">
        <f>Parcellaire!F9</f>
        <v>266</v>
      </c>
      <c r="AZ11" s="30">
        <f>Parcellaire!G9</f>
        <v>0.7</v>
      </c>
      <c r="BA11" s="30">
        <f>ROUND(Parcellaire!S9,0)</f>
        <v>0</v>
      </c>
      <c r="BB11" s="30">
        <f>ROUND(Parcellaire!T9,0)</f>
        <v>293</v>
      </c>
      <c r="BC11" s="30">
        <f>ROUND(Parcellaire!U9,0)</f>
        <v>195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10"/>
        <v>PF</v>
      </c>
      <c r="BG11" s="173">
        <f t="shared" si="11"/>
        <v>0</v>
      </c>
      <c r="BH11" s="173">
        <f t="shared" si="4"/>
        <v>293</v>
      </c>
      <c r="BI11" s="173">
        <f t="shared" si="5"/>
        <v>0</v>
      </c>
      <c r="BJ11" s="173">
        <f t="shared" si="6"/>
        <v>0</v>
      </c>
      <c r="BK11" s="173">
        <f t="shared" si="7"/>
        <v>0.7</v>
      </c>
      <c r="BL11" s="173">
        <f t="shared" si="8"/>
        <v>0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8</v>
      </c>
      <c r="O12" s="177">
        <f>O7*[1]Protect!$B$15</f>
        <v>8</v>
      </c>
      <c r="P12" s="177">
        <f>P7*[1]Protect!$B$15</f>
        <v>8</v>
      </c>
      <c r="Q12" s="177">
        <f>Q7*[1]Protect!$B$15</f>
        <v>8</v>
      </c>
      <c r="R12" s="177">
        <f>R7*[1]Protect!$B$15</f>
        <v>8</v>
      </c>
      <c r="S12" s="177">
        <f>S7*[1]Protect!$B$15</f>
        <v>8</v>
      </c>
      <c r="T12" s="177">
        <f>T7*[1]Protect!$B$15</f>
        <v>8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241</v>
      </c>
      <c r="AZ12" s="30">
        <f>Parcellaire!G10</f>
        <v>2</v>
      </c>
      <c r="BA12" s="30">
        <f>ROUND(Parcellaire!S10,0)</f>
        <v>0</v>
      </c>
      <c r="BB12" s="30">
        <f>ROUND(Parcellaire!T10,0)</f>
        <v>495</v>
      </c>
      <c r="BC12" s="30">
        <f>ROUND(Parcellaire!U10,0)</f>
        <v>330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495</v>
      </c>
      <c r="BI12" s="173">
        <f t="shared" si="5"/>
        <v>0</v>
      </c>
      <c r="BJ12" s="173">
        <f t="shared" si="6"/>
        <v>0</v>
      </c>
      <c r="BK12" s="173">
        <f t="shared" si="7"/>
        <v>2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4</v>
      </c>
      <c r="D13" s="177">
        <f t="shared" ref="D13:Z13" si="15">D11+D12</f>
        <v>4</v>
      </c>
      <c r="E13" s="177">
        <f t="shared" si="15"/>
        <v>6</v>
      </c>
      <c r="F13" s="177">
        <f t="shared" si="15"/>
        <v>8</v>
      </c>
      <c r="G13" s="177">
        <f t="shared" si="15"/>
        <v>9</v>
      </c>
      <c r="H13" s="177">
        <f t="shared" si="15"/>
        <v>9</v>
      </c>
      <c r="I13" s="177">
        <f t="shared" si="15"/>
        <v>9</v>
      </c>
      <c r="J13" s="177">
        <f t="shared" si="15"/>
        <v>9</v>
      </c>
      <c r="K13" s="177">
        <f t="shared" si="15"/>
        <v>9</v>
      </c>
      <c r="L13" s="177">
        <f t="shared" si="15"/>
        <v>4</v>
      </c>
      <c r="M13" s="177">
        <f t="shared" si="15"/>
        <v>4</v>
      </c>
      <c r="N13" s="177">
        <f t="shared" si="15"/>
        <v>10</v>
      </c>
      <c r="O13" s="177">
        <f t="shared" si="15"/>
        <v>10</v>
      </c>
      <c r="P13" s="177">
        <f t="shared" si="15"/>
        <v>10</v>
      </c>
      <c r="Q13" s="177">
        <f t="shared" si="15"/>
        <v>10</v>
      </c>
      <c r="R13" s="177">
        <f t="shared" si="15"/>
        <v>10</v>
      </c>
      <c r="S13" s="177">
        <f t="shared" si="15"/>
        <v>10</v>
      </c>
      <c r="T13" s="177">
        <f t="shared" si="15"/>
        <v>10</v>
      </c>
      <c r="U13" s="177">
        <f t="shared" si="15"/>
        <v>4</v>
      </c>
      <c r="V13" s="177">
        <f t="shared" si="15"/>
        <v>7</v>
      </c>
      <c r="W13" s="177">
        <f t="shared" si="15"/>
        <v>5</v>
      </c>
      <c r="X13" s="177">
        <f t="shared" si="15"/>
        <v>5</v>
      </c>
      <c r="Y13" s="177">
        <f t="shared" si="15"/>
        <v>5</v>
      </c>
      <c r="Z13" s="177">
        <f t="shared" si="15"/>
        <v>4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241</v>
      </c>
      <c r="AZ13" s="30">
        <f>Parcellaire!G11</f>
        <v>3.3</v>
      </c>
      <c r="BA13" s="30">
        <f>ROUND(Parcellaire!S11,0)</f>
        <v>0</v>
      </c>
      <c r="BB13" s="30">
        <f>ROUND(Parcellaire!T11,0)</f>
        <v>636</v>
      </c>
      <c r="BC13" s="30">
        <f>ROUND(Parcellaire!U11,0)</f>
        <v>424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636</v>
      </c>
      <c r="BI13" s="173">
        <f t="shared" si="5"/>
        <v>0</v>
      </c>
      <c r="BJ13" s="173">
        <f t="shared" si="6"/>
        <v>0</v>
      </c>
      <c r="BK13" s="173">
        <f t="shared" si="7"/>
        <v>3.3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266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1</v>
      </c>
      <c r="D15" s="173">
        <f t="shared" si="16"/>
        <v>1</v>
      </c>
      <c r="E15" s="173">
        <f t="shared" si="16"/>
        <v>1</v>
      </c>
      <c r="F15" s="173">
        <f t="shared" si="16"/>
        <v>1</v>
      </c>
      <c r="G15" s="173">
        <f t="shared" si="16"/>
        <v>1</v>
      </c>
      <c r="H15" s="173">
        <f t="shared" si="16"/>
        <v>1</v>
      </c>
      <c r="I15" s="173">
        <f t="shared" si="16"/>
        <v>1</v>
      </c>
      <c r="J15" s="173">
        <f t="shared" si="16"/>
        <v>1</v>
      </c>
      <c r="K15" s="173">
        <f t="shared" si="16"/>
        <v>1</v>
      </c>
      <c r="L15" s="173">
        <f t="shared" si="16"/>
        <v>0</v>
      </c>
      <c r="M15" s="173">
        <f t="shared" si="16"/>
        <v>0</v>
      </c>
      <c r="N15" s="173">
        <f t="shared" si="16"/>
        <v>0</v>
      </c>
      <c r="O15" s="173">
        <f t="shared" si="16"/>
        <v>0</v>
      </c>
      <c r="P15" s="173">
        <f t="shared" si="16"/>
        <v>0</v>
      </c>
      <c r="Q15" s="173">
        <f t="shared" si="16"/>
        <v>0</v>
      </c>
      <c r="R15" s="173">
        <f t="shared" si="16"/>
        <v>0</v>
      </c>
      <c r="S15" s="173">
        <f t="shared" si="16"/>
        <v>0</v>
      </c>
      <c r="T15" s="173">
        <f t="shared" si="16"/>
        <v>0</v>
      </c>
      <c r="U15" s="173">
        <f t="shared" si="16"/>
        <v>0</v>
      </c>
      <c r="V15" s="173">
        <f t="shared" si="16"/>
        <v>1</v>
      </c>
      <c r="W15" s="173">
        <f t="shared" si="16"/>
        <v>1</v>
      </c>
      <c r="X15" s="173">
        <f t="shared" si="16"/>
        <v>1</v>
      </c>
      <c r="Y15" s="173">
        <f t="shared" si="16"/>
        <v>1</v>
      </c>
      <c r="Z15" s="173">
        <f t="shared" si="16"/>
        <v>1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242</v>
      </c>
      <c r="AZ15" s="30">
        <f>Parcellaire!G13</f>
        <v>3</v>
      </c>
      <c r="BA15" s="30">
        <f>ROUND(Parcellaire!S13,0)</f>
        <v>0</v>
      </c>
      <c r="BB15" s="30">
        <f>ROUND(Parcellaire!T13,0)</f>
        <v>551</v>
      </c>
      <c r="BC15" s="30">
        <f>ROUND(Parcellaire!U13,0)</f>
        <v>367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551</v>
      </c>
      <c r="BI15" s="173">
        <f t="shared" si="5"/>
        <v>0</v>
      </c>
      <c r="BJ15" s="173">
        <f t="shared" si="6"/>
        <v>0</v>
      </c>
      <c r="BK15" s="173">
        <f t="shared" si="7"/>
        <v>3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2</v>
      </c>
      <c r="D16" s="173">
        <f t="shared" si="17"/>
        <v>2</v>
      </c>
      <c r="E16" s="173">
        <f t="shared" si="17"/>
        <v>2</v>
      </c>
      <c r="F16" s="173">
        <f t="shared" si="17"/>
        <v>1</v>
      </c>
      <c r="G16" s="173">
        <f t="shared" si="17"/>
        <v>1</v>
      </c>
      <c r="H16" s="173">
        <f t="shared" si="17"/>
        <v>0</v>
      </c>
      <c r="I16" s="173">
        <f t="shared" si="17"/>
        <v>0</v>
      </c>
      <c r="J16" s="173">
        <f t="shared" si="17"/>
        <v>0</v>
      </c>
      <c r="K16" s="173">
        <f t="shared" si="17"/>
        <v>0</v>
      </c>
      <c r="L16" s="173">
        <f t="shared" si="17"/>
        <v>0</v>
      </c>
      <c r="M16" s="173">
        <f t="shared" si="17"/>
        <v>0</v>
      </c>
      <c r="N16" s="173">
        <f t="shared" si="17"/>
        <v>0</v>
      </c>
      <c r="O16" s="173">
        <f t="shared" si="17"/>
        <v>0</v>
      </c>
      <c r="P16" s="173">
        <f t="shared" si="17"/>
        <v>0</v>
      </c>
      <c r="Q16" s="173">
        <f t="shared" si="17"/>
        <v>0</v>
      </c>
      <c r="R16" s="173">
        <f t="shared" si="17"/>
        <v>0</v>
      </c>
      <c r="S16" s="173">
        <f t="shared" si="17"/>
        <v>0</v>
      </c>
      <c r="T16" s="173">
        <f t="shared" si="17"/>
        <v>0</v>
      </c>
      <c r="U16" s="173">
        <f t="shared" si="17"/>
        <v>0</v>
      </c>
      <c r="V16" s="173">
        <f t="shared" si="17"/>
        <v>0</v>
      </c>
      <c r="W16" s="173">
        <f t="shared" si="17"/>
        <v>1</v>
      </c>
      <c r="X16" s="173">
        <f t="shared" si="17"/>
        <v>2</v>
      </c>
      <c r="Y16" s="173">
        <f t="shared" si="17"/>
        <v>2</v>
      </c>
      <c r="Z16" s="173">
        <f t="shared" si="17"/>
        <v>2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242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1</v>
      </c>
      <c r="D17" s="173">
        <f t="shared" si="18"/>
        <v>1</v>
      </c>
      <c r="E17" s="173">
        <f t="shared" si="18"/>
        <v>1</v>
      </c>
      <c r="F17" s="173">
        <f t="shared" si="18"/>
        <v>2</v>
      </c>
      <c r="G17" s="173">
        <f t="shared" si="18"/>
        <v>2</v>
      </c>
      <c r="H17" s="173">
        <f t="shared" si="18"/>
        <v>3</v>
      </c>
      <c r="I17" s="173">
        <f t="shared" si="18"/>
        <v>3</v>
      </c>
      <c r="J17" s="173">
        <f t="shared" si="18"/>
        <v>3</v>
      </c>
      <c r="K17" s="173">
        <f t="shared" si="18"/>
        <v>3</v>
      </c>
      <c r="L17" s="173">
        <f t="shared" si="18"/>
        <v>2</v>
      </c>
      <c r="M17" s="173">
        <f t="shared" si="18"/>
        <v>2</v>
      </c>
      <c r="N17" s="173">
        <f t="shared" si="18"/>
        <v>1</v>
      </c>
      <c r="O17" s="173">
        <f t="shared" si="18"/>
        <v>1</v>
      </c>
      <c r="P17" s="173">
        <f t="shared" si="18"/>
        <v>1</v>
      </c>
      <c r="Q17" s="173">
        <f t="shared" si="18"/>
        <v>1</v>
      </c>
      <c r="R17" s="173">
        <f t="shared" si="18"/>
        <v>1</v>
      </c>
      <c r="S17" s="173">
        <f t="shared" si="18"/>
        <v>1</v>
      </c>
      <c r="T17" s="173">
        <f t="shared" si="18"/>
        <v>1</v>
      </c>
      <c r="U17" s="173">
        <f t="shared" si="18"/>
        <v>2</v>
      </c>
      <c r="V17" s="173">
        <f t="shared" si="18"/>
        <v>2</v>
      </c>
      <c r="W17" s="173">
        <f t="shared" si="18"/>
        <v>1</v>
      </c>
      <c r="X17" s="173">
        <f t="shared" si="18"/>
        <v>1</v>
      </c>
      <c r="Y17" s="173">
        <f t="shared" si="18"/>
        <v>1</v>
      </c>
      <c r="Z17" s="173">
        <f t="shared" si="18"/>
        <v>1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290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2</v>
      </c>
      <c r="D18" s="62">
        <f t="shared" ref="D18:Z18" si="19">IF(AND(D15=0,(D16+D17)&gt;0),1,IF(AND(D15&gt;0,(D16+D17)&gt;0),D15+1,D15))</f>
        <v>2</v>
      </c>
      <c r="E18" s="62">
        <f t="shared" si="19"/>
        <v>2</v>
      </c>
      <c r="F18" s="62">
        <f t="shared" si="19"/>
        <v>2</v>
      </c>
      <c r="G18" s="62">
        <f t="shared" si="19"/>
        <v>2</v>
      </c>
      <c r="H18" s="62">
        <f t="shared" si="19"/>
        <v>2</v>
      </c>
      <c r="I18" s="62">
        <f t="shared" si="19"/>
        <v>2</v>
      </c>
      <c r="J18" s="62">
        <f t="shared" si="19"/>
        <v>2</v>
      </c>
      <c r="K18" s="62">
        <f t="shared" si="19"/>
        <v>2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2</v>
      </c>
      <c r="W18" s="62">
        <f t="shared" si="19"/>
        <v>2</v>
      </c>
      <c r="X18" s="62">
        <f t="shared" si="19"/>
        <v>2</v>
      </c>
      <c r="Y18" s="62">
        <f t="shared" si="19"/>
        <v>2</v>
      </c>
      <c r="Z18" s="62">
        <f t="shared" si="19"/>
        <v>2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241</v>
      </c>
      <c r="AZ18" s="30">
        <f>Parcellaire!G16</f>
        <v>2</v>
      </c>
      <c r="BA18" s="30">
        <f>ROUND(Parcellaire!S16,0)</f>
        <v>0</v>
      </c>
      <c r="BB18" s="30">
        <f>ROUND(Parcellaire!T16,0)</f>
        <v>472</v>
      </c>
      <c r="BC18" s="30">
        <f>ROUND(Parcellaire!U16,0)</f>
        <v>315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472</v>
      </c>
      <c r="BI18" s="173">
        <f t="shared" si="5"/>
        <v>0</v>
      </c>
      <c r="BJ18" s="173">
        <f t="shared" si="6"/>
        <v>0</v>
      </c>
      <c r="BK18" s="173">
        <f t="shared" si="7"/>
        <v>2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241</v>
      </c>
      <c r="AZ19" s="30">
        <f>Parcellaire!G17</f>
        <v>1.7</v>
      </c>
      <c r="BA19" s="30">
        <f>ROUND(Parcellaire!S17,0)</f>
        <v>0</v>
      </c>
      <c r="BB19" s="30">
        <f>ROUND(Parcellaire!T17,0)</f>
        <v>435</v>
      </c>
      <c r="BC19" s="30">
        <f>ROUND(Parcellaire!U17,0)</f>
        <v>290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435</v>
      </c>
      <c r="BI19" s="173">
        <f t="shared" si="5"/>
        <v>0</v>
      </c>
      <c r="BJ19" s="173">
        <f t="shared" si="6"/>
        <v>0</v>
      </c>
      <c r="BK19" s="173">
        <f t="shared" si="7"/>
        <v>1.7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1</v>
      </c>
      <c r="O20" s="173">
        <f t="shared" si="21"/>
        <v>1</v>
      </c>
      <c r="P20" s="173">
        <f t="shared" si="21"/>
        <v>1</v>
      </c>
      <c r="Q20" s="173">
        <f t="shared" si="21"/>
        <v>1</v>
      </c>
      <c r="R20" s="173">
        <f t="shared" si="21"/>
        <v>1</v>
      </c>
      <c r="S20" s="173">
        <f t="shared" si="21"/>
        <v>1</v>
      </c>
      <c r="T20" s="173">
        <f t="shared" si="21"/>
        <v>1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9365</v>
      </c>
      <c r="AE20" s="64">
        <v>0</v>
      </c>
      <c r="AF20" s="64">
        <f>SUM(AD20:AE20)</f>
        <v>9365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1</v>
      </c>
      <c r="AX20" s="30" t="str">
        <f>Parcellaire!D18</f>
        <v>proche</v>
      </c>
      <c r="AY20" s="30">
        <f>Parcellaire!F18</f>
        <v>241</v>
      </c>
      <c r="AZ20" s="30">
        <f>Parcellaire!G18</f>
        <v>3</v>
      </c>
      <c r="BA20" s="30">
        <f>ROUND(Parcellaire!S18,0)</f>
        <v>0</v>
      </c>
      <c r="BB20" s="30">
        <f>ROUND(Parcellaire!T18,0)</f>
        <v>606</v>
      </c>
      <c r="BC20" s="30">
        <f>ROUND(Parcellaire!U18,0)</f>
        <v>404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10"/>
        <v>PF</v>
      </c>
      <c r="BG20" s="173">
        <f t="shared" si="11"/>
        <v>0</v>
      </c>
      <c r="BH20" s="173">
        <f t="shared" si="4"/>
        <v>606</v>
      </c>
      <c r="BI20" s="173">
        <f t="shared" si="5"/>
        <v>0</v>
      </c>
      <c r="BJ20" s="173">
        <f t="shared" si="6"/>
        <v>0</v>
      </c>
      <c r="BK20" s="173">
        <f t="shared" si="7"/>
        <v>3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2</v>
      </c>
      <c r="O21" s="62">
        <f>IF(Protection!O20&gt;0,Scénario!$K$58,0)</f>
        <v>2</v>
      </c>
      <c r="P21" s="62">
        <f>IF(Protection!P20&gt;0,Scénario!$K$58,0)</f>
        <v>2</v>
      </c>
      <c r="Q21" s="62">
        <f>IF(Protection!Q20&gt;0,Scénario!$K$58,0)</f>
        <v>2</v>
      </c>
      <c r="R21" s="62">
        <f>IF(Protection!R20&gt;0,Scénario!$K$58,0)</f>
        <v>2</v>
      </c>
      <c r="S21" s="62">
        <f>IF(Protection!S20&gt;0,Scénario!$K$58,0)</f>
        <v>2</v>
      </c>
      <c r="T21" s="62">
        <f>IF(Protection!T20&gt;0,Scénario!$K$58,0)</f>
        <v>2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9365</v>
      </c>
      <c r="AV21" s="30">
        <f>Parcellaire!A19</f>
        <v>18</v>
      </c>
      <c r="AW21" s="30">
        <f>Parcellaire!B19</f>
        <v>1</v>
      </c>
      <c r="AX21" s="30" t="str">
        <f>Parcellaire!D19</f>
        <v>éloigné</v>
      </c>
      <c r="AY21" s="30">
        <f>Parcellaire!F19</f>
        <v>194</v>
      </c>
      <c r="AZ21" s="30">
        <f>Parcellaire!G19</f>
        <v>1</v>
      </c>
      <c r="BA21" s="30">
        <f>ROUND(Parcellaire!S19,0)</f>
        <v>0</v>
      </c>
      <c r="BB21" s="30">
        <f>ROUND(Parcellaire!T19,0)</f>
        <v>350</v>
      </c>
      <c r="BC21" s="30">
        <f>ROUND(Parcellaire!U19,0)</f>
        <v>233</v>
      </c>
      <c r="BD21" s="30" t="str">
        <f>IF(AW21=2,"",VLOOKUP(AY21,[1]MEP!$X$5:$AA$250,4))</f>
        <v>PT</v>
      </c>
      <c r="BE21" s="30" t="str">
        <f>IF(AW21=2,"",VLOOKUP(BD21,[1]MEP!$AC$5:$AD$10,2))</f>
        <v>P</v>
      </c>
      <c r="BF21" s="30" t="str">
        <f t="shared" si="10"/>
        <v>PE</v>
      </c>
      <c r="BG21" s="173">
        <f t="shared" si="11"/>
        <v>0</v>
      </c>
      <c r="BH21" s="173">
        <f t="shared" si="4"/>
        <v>0</v>
      </c>
      <c r="BI21" s="173">
        <f t="shared" si="5"/>
        <v>350</v>
      </c>
      <c r="BJ21" s="173">
        <f t="shared" si="6"/>
        <v>0</v>
      </c>
      <c r="BK21" s="173">
        <f t="shared" si="7"/>
        <v>0</v>
      </c>
      <c r="BL21" s="173">
        <f t="shared" si="8"/>
        <v>1</v>
      </c>
    </row>
    <row r="22" spans="1:64" x14ac:dyDescent="0.25">
      <c r="A22" s="178" t="s">
        <v>723</v>
      </c>
      <c r="B22" t="s">
        <v>568</v>
      </c>
      <c r="C22" s="62">
        <f>C18+C19+C21</f>
        <v>2</v>
      </c>
      <c r="D22" s="62">
        <f t="shared" ref="D22:Z22" si="22">D18+D19+D21</f>
        <v>2</v>
      </c>
      <c r="E22" s="62">
        <f t="shared" si="22"/>
        <v>2</v>
      </c>
      <c r="F22" s="62">
        <f t="shared" si="22"/>
        <v>2</v>
      </c>
      <c r="G22" s="62">
        <f t="shared" si="22"/>
        <v>2</v>
      </c>
      <c r="H22" s="62">
        <f t="shared" si="22"/>
        <v>2</v>
      </c>
      <c r="I22" s="62">
        <f t="shared" si="22"/>
        <v>2</v>
      </c>
      <c r="J22" s="62">
        <f t="shared" si="22"/>
        <v>2</v>
      </c>
      <c r="K22" s="62">
        <f t="shared" si="22"/>
        <v>2</v>
      </c>
      <c r="L22" s="62">
        <f t="shared" si="22"/>
        <v>1</v>
      </c>
      <c r="M22" s="62">
        <f t="shared" si="22"/>
        <v>1</v>
      </c>
      <c r="N22" s="62">
        <f t="shared" si="22"/>
        <v>3</v>
      </c>
      <c r="O22" s="62">
        <f t="shared" si="22"/>
        <v>3</v>
      </c>
      <c r="P22" s="62">
        <f t="shared" si="22"/>
        <v>3</v>
      </c>
      <c r="Q22" s="62">
        <f t="shared" si="22"/>
        <v>3</v>
      </c>
      <c r="R22" s="62">
        <f t="shared" si="22"/>
        <v>3</v>
      </c>
      <c r="S22" s="62">
        <f t="shared" si="22"/>
        <v>3</v>
      </c>
      <c r="T22" s="62">
        <f t="shared" si="22"/>
        <v>3</v>
      </c>
      <c r="U22" s="62">
        <f t="shared" si="22"/>
        <v>1</v>
      </c>
      <c r="V22" s="62">
        <f t="shared" si="22"/>
        <v>2</v>
      </c>
      <c r="W22" s="62">
        <f t="shared" si="22"/>
        <v>2</v>
      </c>
      <c r="X22" s="62">
        <f t="shared" si="22"/>
        <v>2</v>
      </c>
      <c r="Y22" s="62">
        <f t="shared" si="22"/>
        <v>2</v>
      </c>
      <c r="Z22" s="62">
        <f t="shared" si="22"/>
        <v>2</v>
      </c>
      <c r="AC22" s="14" t="s">
        <v>718</v>
      </c>
      <c r="AD22" s="64">
        <f>IF(AND(Scénario!K88=1,Troupeau!B3="OL"),Protection!AP6,0)</f>
        <v>4317</v>
      </c>
      <c r="AE22" s="64">
        <f>IF(AND(LEFT(Scénario!K12,2)="OL",Troupeau!C3&lt;&gt;"",Scénario!K91=1),Protection!AP5+Protection!AP3,0)</f>
        <v>0</v>
      </c>
      <c r="AF22" s="64">
        <f>SUM(AD22:AE22)</f>
        <v>4317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1</v>
      </c>
      <c r="AX22" s="30" t="str">
        <f>Parcellaire!D20</f>
        <v>proche</v>
      </c>
      <c r="AY22" s="30">
        <f>Parcellaire!F20</f>
        <v>17</v>
      </c>
      <c r="AZ22" s="30">
        <f>Parcellaire!G20</f>
        <v>4.3</v>
      </c>
      <c r="BA22" s="30">
        <f>ROUND(Parcellaire!S20,0)</f>
        <v>0</v>
      </c>
      <c r="BB22" s="30">
        <f>ROUND(Parcellaire!T20,0)</f>
        <v>1011</v>
      </c>
      <c r="BC22" s="30">
        <f>ROUND(Parcellaire!U20,0)</f>
        <v>0</v>
      </c>
      <c r="BD22" s="30" t="str">
        <f>IF(AW22=2,"",VLOOKUP(AY22,[1]MEP!$X$5:$AA$250,4))</f>
        <v>lande</v>
      </c>
      <c r="BE22" s="30" t="str">
        <f>IF(AW22=2,"",VLOOKUP(BD22,[1]MEP!$AC$5:$AD$10,2))</f>
        <v>LP</v>
      </c>
      <c r="BF22" s="30" t="str">
        <f t="shared" si="10"/>
        <v>LP</v>
      </c>
      <c r="BG22" s="173">
        <f t="shared" si="11"/>
        <v>1011</v>
      </c>
      <c r="BH22" s="173">
        <f t="shared" si="4"/>
        <v>0</v>
      </c>
      <c r="BI22" s="173">
        <f t="shared" si="5"/>
        <v>0</v>
      </c>
      <c r="BJ22" s="173">
        <f t="shared" si="6"/>
        <v>4.3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1</v>
      </c>
      <c r="AX23" s="30" t="str">
        <f>Parcellaire!D21</f>
        <v>éloigné</v>
      </c>
      <c r="AY23" s="30">
        <f>Parcellaire!F21</f>
        <v>172</v>
      </c>
      <c r="AZ23" s="30">
        <f>Parcellaire!G21</f>
        <v>6.8</v>
      </c>
      <c r="BA23" s="30">
        <f>ROUND(Parcellaire!S21,0)</f>
        <v>0</v>
      </c>
      <c r="BB23" s="30">
        <f>ROUND(Parcellaire!T21,0)</f>
        <v>1271</v>
      </c>
      <c r="BC23" s="30">
        <f>ROUND(Parcellaire!U21,0)</f>
        <v>0</v>
      </c>
      <c r="BD23" s="30" t="str">
        <f>IF(AW23=2,"",VLOOKUP(AY23,[1]MEP!$X$5:$AA$250,4))</f>
        <v>lande</v>
      </c>
      <c r="BE23" s="30" t="str">
        <f>IF(AW23=2,"",VLOOKUP(BD23,[1]MEP!$AC$5:$AD$10,2))</f>
        <v>LP</v>
      </c>
      <c r="BF23" s="30" t="str">
        <f t="shared" si="10"/>
        <v>LP</v>
      </c>
      <c r="BG23" s="173">
        <f t="shared" si="11"/>
        <v>1271</v>
      </c>
      <c r="BH23" s="173">
        <f t="shared" si="4"/>
        <v>0</v>
      </c>
      <c r="BI23" s="173">
        <f t="shared" si="5"/>
        <v>0</v>
      </c>
      <c r="BJ23" s="173">
        <f t="shared" si="6"/>
        <v>6.8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1</v>
      </c>
      <c r="AX24" s="30" t="str">
        <f>Parcellaire!D22</f>
        <v>éloigné</v>
      </c>
      <c r="AY24" s="30">
        <f>Parcellaire!F22</f>
        <v>194</v>
      </c>
      <c r="AZ24" s="30">
        <f>Parcellaire!G22</f>
        <v>2</v>
      </c>
      <c r="BA24" s="30">
        <f>ROUND(Parcellaire!S22,0)</f>
        <v>0</v>
      </c>
      <c r="BB24" s="30">
        <f>ROUND(Parcellaire!T22,0)</f>
        <v>495</v>
      </c>
      <c r="BC24" s="30">
        <f>ROUND(Parcellaire!U22,0)</f>
        <v>330</v>
      </c>
      <c r="BD24" s="30" t="str">
        <f>IF(AW24=2,"",VLOOKUP(AY24,[1]MEP!$X$5:$AA$250,4))</f>
        <v>PT</v>
      </c>
      <c r="BE24" s="30" t="str">
        <f>IF(AW24=2,"",VLOOKUP(BD24,[1]MEP!$AC$5:$AD$10,2))</f>
        <v>P</v>
      </c>
      <c r="BF24" s="30" t="str">
        <f t="shared" si="10"/>
        <v>PE</v>
      </c>
      <c r="BG24" s="173">
        <f t="shared" si="11"/>
        <v>0</v>
      </c>
      <c r="BH24" s="173">
        <f t="shared" si="4"/>
        <v>0</v>
      </c>
      <c r="BI24" s="173">
        <f t="shared" si="5"/>
        <v>495</v>
      </c>
      <c r="BJ24" s="173">
        <f t="shared" si="6"/>
        <v>0</v>
      </c>
      <c r="BK24" s="173">
        <f t="shared" si="7"/>
        <v>0</v>
      </c>
      <c r="BL24" s="173">
        <f t="shared" si="8"/>
        <v>2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1</v>
      </c>
      <c r="F25" s="177">
        <f t="shared" si="23"/>
        <v>1</v>
      </c>
      <c r="G25" s="177">
        <f t="shared" si="23"/>
        <v>1</v>
      </c>
      <c r="H25" s="177">
        <f t="shared" si="23"/>
        <v>2</v>
      </c>
      <c r="I25" s="177">
        <f t="shared" si="23"/>
        <v>3</v>
      </c>
      <c r="J25" s="177">
        <f t="shared" si="23"/>
        <v>3</v>
      </c>
      <c r="K25" s="177">
        <f t="shared" si="23"/>
        <v>3</v>
      </c>
      <c r="L25" s="177">
        <f t="shared" si="23"/>
        <v>3</v>
      </c>
      <c r="M25" s="177">
        <f t="shared" si="23"/>
        <v>3</v>
      </c>
      <c r="N25" s="177">
        <f t="shared" si="23"/>
        <v>3</v>
      </c>
      <c r="O25" s="177">
        <f t="shared" si="23"/>
        <v>3</v>
      </c>
      <c r="P25" s="177">
        <f t="shared" si="23"/>
        <v>3</v>
      </c>
      <c r="Q25" s="177">
        <f t="shared" si="23"/>
        <v>3</v>
      </c>
      <c r="R25" s="177">
        <f t="shared" si="23"/>
        <v>3</v>
      </c>
      <c r="S25" s="177">
        <f t="shared" si="23"/>
        <v>3</v>
      </c>
      <c r="T25" s="177">
        <f t="shared" si="23"/>
        <v>3</v>
      </c>
      <c r="U25" s="177">
        <f t="shared" si="23"/>
        <v>1</v>
      </c>
      <c r="V25" s="177">
        <f t="shared" si="23"/>
        <v>2</v>
      </c>
      <c r="W25" s="177">
        <f t="shared" si="23"/>
        <v>3</v>
      </c>
      <c r="X25" s="177">
        <f t="shared" si="23"/>
        <v>3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9365</v>
      </c>
      <c r="AV25" s="30">
        <f>Parcellaire!A23</f>
        <v>22</v>
      </c>
      <c r="AW25" s="30">
        <f>Parcellaire!B23</f>
        <v>1</v>
      </c>
      <c r="AX25" s="30" t="str">
        <f>Parcellaire!D23</f>
        <v>éloigné</v>
      </c>
      <c r="AY25" s="30">
        <f>Parcellaire!F23</f>
        <v>194</v>
      </c>
      <c r="AZ25" s="30">
        <f>Parcellaire!G23</f>
        <v>2</v>
      </c>
      <c r="BA25" s="30">
        <f>ROUND(Parcellaire!S23,0)</f>
        <v>0</v>
      </c>
      <c r="BB25" s="30">
        <f>ROUND(Parcellaire!T23,0)</f>
        <v>495</v>
      </c>
      <c r="BC25" s="30">
        <f>ROUND(Parcellaire!U23,0)</f>
        <v>330</v>
      </c>
      <c r="BD25" s="30" t="str">
        <f>IF(AW25=2,"",VLOOKUP(AY25,[1]MEP!$X$5:$AA$250,4))</f>
        <v>PT</v>
      </c>
      <c r="BE25" s="30" t="str">
        <f>IF(AW25=2,"",VLOOKUP(BD25,[1]MEP!$AC$5:$AD$10,2))</f>
        <v>P</v>
      </c>
      <c r="BF25" s="30" t="str">
        <f t="shared" si="10"/>
        <v>PE</v>
      </c>
      <c r="BG25" s="173">
        <f t="shared" si="11"/>
        <v>0</v>
      </c>
      <c r="BH25" s="173">
        <f t="shared" si="4"/>
        <v>0</v>
      </c>
      <c r="BI25" s="173">
        <f t="shared" si="5"/>
        <v>495</v>
      </c>
      <c r="BJ25" s="173">
        <f t="shared" si="6"/>
        <v>0</v>
      </c>
      <c r="BK25" s="173">
        <f t="shared" si="7"/>
        <v>0</v>
      </c>
      <c r="BL25" s="173">
        <f t="shared" si="8"/>
        <v>2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0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0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0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2</v>
      </c>
      <c r="V26" s="177">
        <f t="shared" si="24"/>
        <v>1</v>
      </c>
      <c r="W26" s="177">
        <f t="shared" si="24"/>
        <v>0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39.099999999999994</v>
      </c>
      <c r="AV26" s="30">
        <f>Parcellaire!A24</f>
        <v>21</v>
      </c>
      <c r="AW26" s="30">
        <f>Parcellaire!B24</f>
        <v>0</v>
      </c>
      <c r="AX26" s="30">
        <f>Parcellaire!D24</f>
        <v>0</v>
      </c>
      <c r="AY26" s="30">
        <f>Parcellaire!F24</f>
        <v>0</v>
      </c>
      <c r="AZ26" s="30">
        <f>Parcellaire!G24</f>
        <v>0</v>
      </c>
      <c r="BA26" s="30">
        <f>ROUND(Parcellaire!S24,0)</f>
        <v>0</v>
      </c>
      <c r="BB26" s="30" t="e">
        <f>ROUND(Parcellaire!T24,0)</f>
        <v>#VALUE!</v>
      </c>
      <c r="BC26" s="30">
        <f>ROUND(Parcellaire!U24,0)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10"/>
        <v>#N/A</v>
      </c>
      <c r="BG26" s="173">
        <f t="shared" si="11"/>
        <v>0</v>
      </c>
      <c r="BH26" s="173">
        <f t="shared" si="4"/>
        <v>0</v>
      </c>
      <c r="BI26" s="173">
        <f t="shared" si="5"/>
        <v>0</v>
      </c>
      <c r="BJ26" s="173">
        <f t="shared" si="6"/>
        <v>0</v>
      </c>
      <c r="BK26" s="173">
        <f t="shared" si="7"/>
        <v>0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0</v>
      </c>
      <c r="N27" s="177">
        <f t="shared" si="25"/>
        <v>0</v>
      </c>
      <c r="O27" s="177">
        <f t="shared" si="25"/>
        <v>0</v>
      </c>
      <c r="P27" s="177">
        <f t="shared" si="25"/>
        <v>0</v>
      </c>
      <c r="Q27" s="177">
        <f t="shared" si="25"/>
        <v>0</v>
      </c>
      <c r="R27" s="177">
        <f t="shared" si="25"/>
        <v>0</v>
      </c>
      <c r="S27" s="177">
        <f t="shared" si="25"/>
        <v>0</v>
      </c>
      <c r="T27" s="177">
        <f t="shared" si="25"/>
        <v>0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22</v>
      </c>
      <c r="AW27" s="30">
        <f>Parcellaire!B25</f>
        <v>0</v>
      </c>
      <c r="AX27" s="30">
        <f>Parcellaire!D25</f>
        <v>0</v>
      </c>
      <c r="AY27" s="30">
        <f>Parcellaire!F25</f>
        <v>0</v>
      </c>
      <c r="AZ27" s="30">
        <f>Parcellaire!G25</f>
        <v>0</v>
      </c>
      <c r="BA27" s="30">
        <f>ROUND(Parcellaire!S25,0)</f>
        <v>0</v>
      </c>
      <c r="BB27" s="30" t="e">
        <f>ROUND(Parcellaire!T25,0)</f>
        <v>#VALUE!</v>
      </c>
      <c r="BC27" s="30">
        <f>ROUND(Parcellaire!U25,0)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10"/>
        <v>#N/A</v>
      </c>
      <c r="BG27" s="173">
        <f t="shared" si="11"/>
        <v>0</v>
      </c>
      <c r="BH27" s="173">
        <f t="shared" si="4"/>
        <v>0</v>
      </c>
      <c r="BI27" s="173">
        <f t="shared" si="5"/>
        <v>0</v>
      </c>
      <c r="BJ27" s="173">
        <f t="shared" si="6"/>
        <v>0</v>
      </c>
      <c r="BK27" s="173">
        <f t="shared" si="7"/>
        <v>0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0</v>
      </c>
      <c r="N28" s="177">
        <f t="shared" si="26"/>
        <v>0</v>
      </c>
      <c r="O28" s="177">
        <f t="shared" si="26"/>
        <v>0</v>
      </c>
      <c r="P28" s="177">
        <f t="shared" si="26"/>
        <v>0</v>
      </c>
      <c r="Q28" s="177">
        <f t="shared" si="26"/>
        <v>0</v>
      </c>
      <c r="R28" s="177">
        <f t="shared" si="26"/>
        <v>0</v>
      </c>
      <c r="S28" s="177">
        <f t="shared" si="26"/>
        <v>0</v>
      </c>
      <c r="T28" s="177">
        <f t="shared" si="26"/>
        <v>0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1</v>
      </c>
      <c r="AJ28" s="14"/>
      <c r="AV28" s="30">
        <f>Parcellaire!A26</f>
        <v>23</v>
      </c>
      <c r="AW28" s="30">
        <f>Parcellaire!B26</f>
        <v>0</v>
      </c>
      <c r="AX28" s="30">
        <f>Parcellaire!D26</f>
        <v>0</v>
      </c>
      <c r="AY28" s="30">
        <f>Parcellaire!F26</f>
        <v>0</v>
      </c>
      <c r="AZ28" s="30">
        <f>Parcellaire!G26</f>
        <v>0</v>
      </c>
      <c r="BA28" s="30">
        <f>ROUND(Parcellaire!S26,0)</f>
        <v>0</v>
      </c>
      <c r="BB28" s="30" t="e">
        <f>ROUND(Parcellaire!T26,0)</f>
        <v>#VALUE!</v>
      </c>
      <c r="BC28" s="30">
        <f>ROUND(Parcellaire!U26,0)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10"/>
        <v>#N/A</v>
      </c>
      <c r="BG28" s="173">
        <f t="shared" si="11"/>
        <v>0</v>
      </c>
      <c r="BH28" s="173">
        <f t="shared" si="4"/>
        <v>0</v>
      </c>
      <c r="BI28" s="173">
        <f t="shared" si="5"/>
        <v>0</v>
      </c>
      <c r="BJ28" s="173">
        <f t="shared" si="6"/>
        <v>0</v>
      </c>
      <c r="BK28" s="173">
        <f t="shared" si="7"/>
        <v>0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2</v>
      </c>
      <c r="F29" s="177">
        <f>F25*[1]Protect!$B$12</f>
        <v>2</v>
      </c>
      <c r="G29" s="177">
        <f>G25*[1]Protect!$B$12</f>
        <v>2</v>
      </c>
      <c r="H29" s="177">
        <f>H25*[1]Protect!$B$12</f>
        <v>4</v>
      </c>
      <c r="I29" s="177">
        <f>I25*[1]Protect!$B$12</f>
        <v>6</v>
      </c>
      <c r="J29" s="177">
        <f>J25*[1]Protect!$B$12</f>
        <v>6</v>
      </c>
      <c r="K29" s="177">
        <f>K25*[1]Protect!$B$12</f>
        <v>6</v>
      </c>
      <c r="L29" s="177">
        <f>L25*[1]Protect!$B$12</f>
        <v>6</v>
      </c>
      <c r="M29" s="177">
        <f>M25*[1]Protect!$B$12</f>
        <v>6</v>
      </c>
      <c r="N29" s="177">
        <f>N25*[1]Protect!$B$12</f>
        <v>6</v>
      </c>
      <c r="O29" s="177">
        <f>O25*[1]Protect!$B$12</f>
        <v>6</v>
      </c>
      <c r="P29" s="177">
        <f>P25*[1]Protect!$B$12</f>
        <v>6</v>
      </c>
      <c r="Q29" s="177">
        <f>Q25*[1]Protect!$B$12</f>
        <v>6</v>
      </c>
      <c r="R29" s="177">
        <f>R25*[1]Protect!$B$12</f>
        <v>6</v>
      </c>
      <c r="S29" s="177">
        <f>S25*[1]Protect!$B$12</f>
        <v>6</v>
      </c>
      <c r="T29" s="177">
        <f>T25*[1]Protect!$B$12</f>
        <v>6</v>
      </c>
      <c r="U29" s="177">
        <f>U25*[1]Protect!$B$12</f>
        <v>2</v>
      </c>
      <c r="V29" s="177">
        <f>V25*[1]Protect!$B$12</f>
        <v>4</v>
      </c>
      <c r="W29" s="177">
        <f>W25*[1]Protect!$B$12</f>
        <v>6</v>
      </c>
      <c r="X29" s="177">
        <f>X25*[1]Protect!$B$12</f>
        <v>6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0</v>
      </c>
      <c r="AV29" s="30">
        <f>Parcellaire!A27</f>
        <v>24</v>
      </c>
      <c r="AW29" s="30">
        <f>Parcellaire!B27</f>
        <v>0</v>
      </c>
      <c r="AX29" s="30">
        <f>Parcellaire!D27</f>
        <v>0</v>
      </c>
      <c r="AY29" s="30">
        <f>Parcellaire!F27</f>
        <v>0</v>
      </c>
      <c r="AZ29" s="30">
        <f>Parcellaire!G27</f>
        <v>0</v>
      </c>
      <c r="BA29" s="30">
        <f>ROUND(Parcellaire!S27,0)</f>
        <v>0</v>
      </c>
      <c r="BB29" s="30" t="e">
        <f>ROUND(Parcellaire!T27,0)</f>
        <v>#VALUE!</v>
      </c>
      <c r="BC29" s="30">
        <f>ROUND(Parcellaire!U27,0)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10"/>
        <v>#N/A</v>
      </c>
      <c r="BG29" s="173">
        <f t="shared" si="11"/>
        <v>0</v>
      </c>
      <c r="BH29" s="173">
        <f t="shared" si="4"/>
        <v>0</v>
      </c>
      <c r="BI29" s="173">
        <f t="shared" si="5"/>
        <v>0</v>
      </c>
      <c r="BJ29" s="173">
        <f t="shared" si="6"/>
        <v>0</v>
      </c>
      <c r="BK29" s="173">
        <f t="shared" si="7"/>
        <v>0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0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0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0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6</v>
      </c>
      <c r="V30" s="177">
        <f>V26*[1]Protect!$B$13</f>
        <v>3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0</v>
      </c>
      <c r="AV30" s="30">
        <f>Parcellaire!A28</f>
        <v>25</v>
      </c>
      <c r="AW30" s="30">
        <f>Parcellaire!B28</f>
        <v>0</v>
      </c>
      <c r="AX30" s="30">
        <f>Parcellaire!D28</f>
        <v>0</v>
      </c>
      <c r="AY30" s="30">
        <f>Parcellaire!F28</f>
        <v>0</v>
      </c>
      <c r="AZ30" s="30">
        <f>Parcellaire!G28</f>
        <v>0</v>
      </c>
      <c r="BA30" s="30">
        <f>ROUND(Parcellaire!S28,0)</f>
        <v>0</v>
      </c>
      <c r="BB30" s="30" t="e">
        <f>ROUND(Parcellaire!T28,0)</f>
        <v>#VALUE!</v>
      </c>
      <c r="BC30" s="30">
        <f>ROUND(Parcellaire!U28,0)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10"/>
        <v>#N/A</v>
      </c>
      <c r="BG30" s="173">
        <f t="shared" si="11"/>
        <v>0</v>
      </c>
      <c r="BH30" s="173">
        <f t="shared" si="4"/>
        <v>0</v>
      </c>
      <c r="BI30" s="173">
        <f t="shared" si="5"/>
        <v>0</v>
      </c>
      <c r="BJ30" s="173">
        <f t="shared" si="6"/>
        <v>0</v>
      </c>
      <c r="BK30" s="173">
        <f t="shared" si="7"/>
        <v>0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0</v>
      </c>
      <c r="N31" s="177">
        <f>N27*[1]Protect!$B$14</f>
        <v>0</v>
      </c>
      <c r="O31" s="177">
        <f>O27*[1]Protect!$B$14</f>
        <v>0</v>
      </c>
      <c r="P31" s="177">
        <f>P27*[1]Protect!$B$14</f>
        <v>0</v>
      </c>
      <c r="Q31" s="177">
        <f>Q27*[1]Protect!$B$14</f>
        <v>0</v>
      </c>
      <c r="R31" s="177">
        <f>R27*[1]Protect!$B$14</f>
        <v>0</v>
      </c>
      <c r="S31" s="177">
        <f>S27*[1]Protect!$B$14</f>
        <v>0</v>
      </c>
      <c r="T31" s="177">
        <f>T27*[1]Protect!$B$14</f>
        <v>0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0</v>
      </c>
      <c r="BG31" s="62">
        <f>SUM(BG3:BG30)</f>
        <v>2282</v>
      </c>
      <c r="BH31" s="62">
        <f t="shared" ref="BH31:BK31" si="27">SUM(BH3:BH30)</f>
        <v>4317</v>
      </c>
      <c r="BI31" s="62">
        <f t="shared" si="27"/>
        <v>2766</v>
      </c>
      <c r="BJ31" s="62">
        <f t="shared" si="27"/>
        <v>11.1</v>
      </c>
      <c r="BK31" s="62">
        <f t="shared" si="27"/>
        <v>18.7</v>
      </c>
      <c r="BL31" s="62">
        <f>SUM(BL3:BL30)</f>
        <v>9.3000000000000007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2</v>
      </c>
      <c r="F32" s="177">
        <f t="shared" si="28"/>
        <v>2</v>
      </c>
      <c r="G32" s="177">
        <f t="shared" si="28"/>
        <v>2</v>
      </c>
      <c r="H32" s="177">
        <f t="shared" si="28"/>
        <v>4</v>
      </c>
      <c r="I32" s="177">
        <f t="shared" si="28"/>
        <v>6</v>
      </c>
      <c r="J32" s="177">
        <f t="shared" si="28"/>
        <v>6</v>
      </c>
      <c r="K32" s="177">
        <f t="shared" si="28"/>
        <v>6</v>
      </c>
      <c r="L32" s="177">
        <f t="shared" si="28"/>
        <v>6</v>
      </c>
      <c r="M32" s="177">
        <f t="shared" si="28"/>
        <v>6</v>
      </c>
      <c r="N32" s="177">
        <f t="shared" si="28"/>
        <v>6</v>
      </c>
      <c r="O32" s="177">
        <f t="shared" si="28"/>
        <v>6</v>
      </c>
      <c r="P32" s="177">
        <f t="shared" si="28"/>
        <v>6</v>
      </c>
      <c r="Q32" s="177">
        <f t="shared" si="28"/>
        <v>6</v>
      </c>
      <c r="R32" s="177">
        <f t="shared" si="28"/>
        <v>6</v>
      </c>
      <c r="S32" s="177">
        <f t="shared" si="28"/>
        <v>6</v>
      </c>
      <c r="T32" s="177">
        <f t="shared" si="28"/>
        <v>6</v>
      </c>
      <c r="U32" s="177">
        <f t="shared" si="28"/>
        <v>8</v>
      </c>
      <c r="V32" s="177">
        <f t="shared" si="28"/>
        <v>7</v>
      </c>
      <c r="W32" s="177">
        <f t="shared" si="28"/>
        <v>6</v>
      </c>
      <c r="X32" s="177">
        <f t="shared" si="28"/>
        <v>6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0</v>
      </c>
      <c r="N33" s="177">
        <f>N28*[1]Protect!$B$15</f>
        <v>0</v>
      </c>
      <c r="O33" s="177">
        <f>O28*[1]Protect!$B$15</f>
        <v>0</v>
      </c>
      <c r="P33" s="177">
        <f>P28*[1]Protect!$B$15</f>
        <v>0</v>
      </c>
      <c r="Q33" s="177">
        <f>Q28*[1]Protect!$B$15</f>
        <v>0</v>
      </c>
      <c r="R33" s="177">
        <f>R28*[1]Protect!$B$15</f>
        <v>0</v>
      </c>
      <c r="S33" s="177">
        <f>S28*[1]Protect!$B$15</f>
        <v>0</v>
      </c>
      <c r="T33" s="177">
        <f>T28*[1]Protect!$B$15</f>
        <v>0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>
        <f>IF(OR(Scénario!K12="OL/BV",Scénario!K12="OL/EQ",Scénario!K12="BV",Scénario!K12="OL/BV/EQ"),Protection!AP7,0)</f>
        <v>0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4</v>
      </c>
      <c r="F34" s="177">
        <f t="shared" si="29"/>
        <v>4</v>
      </c>
      <c r="G34" s="177">
        <f t="shared" si="29"/>
        <v>4</v>
      </c>
      <c r="H34" s="177">
        <f t="shared" si="29"/>
        <v>8</v>
      </c>
      <c r="I34" s="177">
        <f t="shared" si="29"/>
        <v>12</v>
      </c>
      <c r="J34" s="177">
        <f t="shared" si="29"/>
        <v>12</v>
      </c>
      <c r="K34" s="177">
        <f t="shared" si="29"/>
        <v>12</v>
      </c>
      <c r="L34" s="177">
        <f t="shared" si="29"/>
        <v>12</v>
      </c>
      <c r="M34" s="177">
        <f t="shared" si="29"/>
        <v>12</v>
      </c>
      <c r="N34" s="177">
        <f t="shared" si="29"/>
        <v>12</v>
      </c>
      <c r="O34" s="177">
        <f t="shared" si="29"/>
        <v>12</v>
      </c>
      <c r="P34" s="177">
        <f t="shared" si="29"/>
        <v>12</v>
      </c>
      <c r="Q34" s="177">
        <f t="shared" si="29"/>
        <v>12</v>
      </c>
      <c r="R34" s="177">
        <f t="shared" si="29"/>
        <v>12</v>
      </c>
      <c r="S34" s="177">
        <f t="shared" si="29"/>
        <v>12</v>
      </c>
      <c r="T34" s="177">
        <f t="shared" si="29"/>
        <v>12</v>
      </c>
      <c r="U34" s="177">
        <f t="shared" si="29"/>
        <v>16</v>
      </c>
      <c r="V34" s="177">
        <f t="shared" si="29"/>
        <v>14</v>
      </c>
      <c r="W34" s="177">
        <f t="shared" si="29"/>
        <v>12</v>
      </c>
      <c r="X34" s="177">
        <f t="shared" si="29"/>
        <v>12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1</v>
      </c>
      <c r="F36" s="173">
        <f t="shared" si="30"/>
        <v>1</v>
      </c>
      <c r="G36" s="173">
        <f t="shared" si="30"/>
        <v>1</v>
      </c>
      <c r="H36" s="173">
        <f t="shared" si="30"/>
        <v>2</v>
      </c>
      <c r="I36" s="173">
        <f t="shared" si="30"/>
        <v>2</v>
      </c>
      <c r="J36" s="173">
        <f t="shared" si="30"/>
        <v>2</v>
      </c>
      <c r="K36" s="173">
        <f t="shared" si="30"/>
        <v>2</v>
      </c>
      <c r="L36" s="173">
        <f t="shared" si="30"/>
        <v>2</v>
      </c>
      <c r="M36" s="173">
        <f t="shared" si="30"/>
        <v>3</v>
      </c>
      <c r="N36" s="173">
        <f t="shared" si="30"/>
        <v>3</v>
      </c>
      <c r="O36" s="173">
        <f t="shared" si="30"/>
        <v>3</v>
      </c>
      <c r="P36" s="173">
        <f t="shared" si="30"/>
        <v>3</v>
      </c>
      <c r="Q36" s="173">
        <f t="shared" si="30"/>
        <v>3</v>
      </c>
      <c r="R36" s="173">
        <f t="shared" si="30"/>
        <v>3</v>
      </c>
      <c r="S36" s="173">
        <f t="shared" si="30"/>
        <v>3</v>
      </c>
      <c r="T36" s="173">
        <f t="shared" si="30"/>
        <v>3</v>
      </c>
      <c r="U36" s="173">
        <f t="shared" si="30"/>
        <v>2</v>
      </c>
      <c r="V36" s="173">
        <f t="shared" si="30"/>
        <v>2</v>
      </c>
      <c r="W36" s="173">
        <f t="shared" si="30"/>
        <v>1</v>
      </c>
      <c r="X36" s="173">
        <f t="shared" si="30"/>
        <v>1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2</v>
      </c>
      <c r="D37" s="173">
        <f t="shared" si="31"/>
        <v>2</v>
      </c>
      <c r="E37" s="173">
        <f t="shared" si="31"/>
        <v>1</v>
      </c>
      <c r="F37" s="173">
        <f t="shared" si="31"/>
        <v>1</v>
      </c>
      <c r="G37" s="173">
        <f t="shared" si="31"/>
        <v>1</v>
      </c>
      <c r="H37" s="173">
        <f t="shared" si="31"/>
        <v>1</v>
      </c>
      <c r="I37" s="173">
        <f t="shared" si="31"/>
        <v>0</v>
      </c>
      <c r="J37" s="173">
        <f t="shared" si="31"/>
        <v>0</v>
      </c>
      <c r="K37" s="173">
        <f t="shared" si="31"/>
        <v>0</v>
      </c>
      <c r="L37" s="173">
        <f t="shared" si="31"/>
        <v>0</v>
      </c>
      <c r="M37" s="173">
        <f t="shared" si="31"/>
        <v>0</v>
      </c>
      <c r="N37" s="173">
        <f t="shared" si="31"/>
        <v>0</v>
      </c>
      <c r="O37" s="173">
        <f t="shared" si="31"/>
        <v>0</v>
      </c>
      <c r="P37" s="173">
        <f t="shared" si="31"/>
        <v>0</v>
      </c>
      <c r="Q37" s="173">
        <f t="shared" si="31"/>
        <v>0</v>
      </c>
      <c r="R37" s="173">
        <f t="shared" si="31"/>
        <v>0</v>
      </c>
      <c r="S37" s="173">
        <f t="shared" si="31"/>
        <v>0</v>
      </c>
      <c r="T37" s="173">
        <f t="shared" si="31"/>
        <v>0</v>
      </c>
      <c r="U37" s="173">
        <f t="shared" si="31"/>
        <v>0</v>
      </c>
      <c r="V37" s="173">
        <f t="shared" si="31"/>
        <v>0</v>
      </c>
      <c r="W37" s="173">
        <f t="shared" si="31"/>
        <v>0</v>
      </c>
      <c r="X37" s="173">
        <f t="shared" si="31"/>
        <v>0</v>
      </c>
      <c r="Y37" s="173">
        <f t="shared" si="31"/>
        <v>2</v>
      </c>
      <c r="Z37" s="173">
        <f t="shared" si="31"/>
        <v>2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1</v>
      </c>
      <c r="J38" s="173">
        <f t="shared" si="32"/>
        <v>1</v>
      </c>
      <c r="K38" s="173">
        <f t="shared" si="32"/>
        <v>1</v>
      </c>
      <c r="L38" s="173">
        <f t="shared" si="32"/>
        <v>1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1</v>
      </c>
      <c r="V38" s="173">
        <f t="shared" si="32"/>
        <v>1</v>
      </c>
      <c r="W38" s="173">
        <f t="shared" si="32"/>
        <v>2</v>
      </c>
      <c r="X38" s="173">
        <f t="shared" si="32"/>
        <v>2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2</v>
      </c>
      <c r="F39" s="62">
        <f t="shared" si="33"/>
        <v>2</v>
      </c>
      <c r="G39" s="62">
        <f t="shared" si="33"/>
        <v>2</v>
      </c>
      <c r="H39" s="62">
        <f t="shared" si="33"/>
        <v>3</v>
      </c>
      <c r="I39" s="62">
        <f t="shared" si="33"/>
        <v>3</v>
      </c>
      <c r="J39" s="62">
        <f t="shared" si="33"/>
        <v>3</v>
      </c>
      <c r="K39" s="62">
        <f t="shared" si="33"/>
        <v>3</v>
      </c>
      <c r="L39" s="62">
        <f t="shared" si="33"/>
        <v>3</v>
      </c>
      <c r="M39" s="62">
        <f t="shared" si="33"/>
        <v>3</v>
      </c>
      <c r="N39" s="62">
        <f t="shared" si="33"/>
        <v>3</v>
      </c>
      <c r="O39" s="62">
        <f t="shared" si="33"/>
        <v>3</v>
      </c>
      <c r="P39" s="62">
        <f t="shared" si="33"/>
        <v>3</v>
      </c>
      <c r="Q39" s="62">
        <f t="shared" si="33"/>
        <v>3</v>
      </c>
      <c r="R39" s="62">
        <f t="shared" si="33"/>
        <v>3</v>
      </c>
      <c r="S39" s="62">
        <f t="shared" si="33"/>
        <v>3</v>
      </c>
      <c r="T39" s="62">
        <f t="shared" si="33"/>
        <v>3</v>
      </c>
      <c r="U39" s="62">
        <f t="shared" si="33"/>
        <v>3</v>
      </c>
      <c r="V39" s="62">
        <f t="shared" si="33"/>
        <v>3</v>
      </c>
      <c r="W39" s="62">
        <f t="shared" si="33"/>
        <v>2</v>
      </c>
      <c r="X39" s="62">
        <f t="shared" si="33"/>
        <v>2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0</v>
      </c>
      <c r="N41" s="173">
        <f t="shared" si="35"/>
        <v>0</v>
      </c>
      <c r="O41" s="173">
        <f t="shared" si="35"/>
        <v>0</v>
      </c>
      <c r="P41" s="173">
        <f t="shared" si="35"/>
        <v>0</v>
      </c>
      <c r="Q41" s="173">
        <f t="shared" si="35"/>
        <v>0</v>
      </c>
      <c r="R41" s="173">
        <f t="shared" si="35"/>
        <v>0</v>
      </c>
      <c r="S41" s="173">
        <f t="shared" si="35"/>
        <v>0</v>
      </c>
      <c r="T41" s="173">
        <f t="shared" si="35"/>
        <v>0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2</v>
      </c>
      <c r="F43" s="62">
        <f t="shared" si="36"/>
        <v>2</v>
      </c>
      <c r="G43" s="62">
        <f t="shared" si="36"/>
        <v>2</v>
      </c>
      <c r="H43" s="62">
        <f t="shared" si="36"/>
        <v>3</v>
      </c>
      <c r="I43" s="62">
        <f t="shared" si="36"/>
        <v>3</v>
      </c>
      <c r="J43" s="62">
        <f t="shared" si="36"/>
        <v>3</v>
      </c>
      <c r="K43" s="62">
        <f t="shared" si="36"/>
        <v>3</v>
      </c>
      <c r="L43" s="62">
        <f t="shared" si="36"/>
        <v>3</v>
      </c>
      <c r="M43" s="62">
        <f t="shared" si="36"/>
        <v>3</v>
      </c>
      <c r="N43" s="62">
        <f t="shared" si="36"/>
        <v>3</v>
      </c>
      <c r="O43" s="62">
        <f t="shared" si="36"/>
        <v>3</v>
      </c>
      <c r="P43" s="62">
        <f t="shared" si="36"/>
        <v>3</v>
      </c>
      <c r="Q43" s="62">
        <f t="shared" si="36"/>
        <v>3</v>
      </c>
      <c r="R43" s="62">
        <f t="shared" si="36"/>
        <v>3</v>
      </c>
      <c r="S43" s="62">
        <f t="shared" si="36"/>
        <v>3</v>
      </c>
      <c r="T43" s="62">
        <f t="shared" si="36"/>
        <v>3</v>
      </c>
      <c r="U43" s="62">
        <f t="shared" si="36"/>
        <v>3</v>
      </c>
      <c r="V43" s="62">
        <f t="shared" si="36"/>
        <v>3</v>
      </c>
      <c r="W43" s="62">
        <f t="shared" si="36"/>
        <v>2</v>
      </c>
      <c r="X43" s="62">
        <f t="shared" si="36"/>
        <v>2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5</v>
      </c>
      <c r="O68" s="173">
        <f>IF($AA68=0,99,IF(O81&gt;3,CdTrp1!N76,CdTrp1!N52))</f>
        <v>5</v>
      </c>
      <c r="P68" s="173">
        <f>IF($AA68=0,99,IF(P81&gt;3,CdTrp1!O76,CdTrp1!O52))</f>
        <v>5</v>
      </c>
      <c r="Q68" s="173">
        <f>IF($AA68=0,99,IF(Q81&gt;3,CdTrp1!P76,CdTrp1!P52))</f>
        <v>5</v>
      </c>
      <c r="R68" s="173">
        <f>IF($AA68=0,99,IF(R81&gt;3,CdTrp1!Q76,CdTrp1!Q52))</f>
        <v>5</v>
      </c>
      <c r="S68" s="173">
        <f>IF($AA68=0,99,IF(S81&gt;3,CdTrp1!R76,CdTrp1!R52))</f>
        <v>5</v>
      </c>
      <c r="T68" s="173">
        <f>IF($AA68=0,99,IF(T81&gt;3,CdTrp1!S76,CdTrp1!S52))</f>
        <v>5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258.84057971014482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0.5</v>
      </c>
      <c r="D69" s="173">
        <f>IF($AA69=0,99,IF(D82&gt;3,CdTrp1!C77,CdTrp1!C53))</f>
        <v>0.5</v>
      </c>
      <c r="E69" s="173">
        <f>IF($AA69=0,99,IF(E82&gt;3,CdTrp1!D77,CdTrp1!D53))</f>
        <v>0.5</v>
      </c>
      <c r="F69" s="173">
        <f>IF($AA69=0,99,IF(F82&gt;3,CdTrp1!E77,CdTrp1!E53))</f>
        <v>0.5</v>
      </c>
      <c r="G69" s="173">
        <f>IF($AA69=0,99,IF(G82&gt;3,CdTrp1!F77,CdTrp1!F53))</f>
        <v>0.5</v>
      </c>
      <c r="H69" s="173">
        <f>IF($AA69=0,99,IF(H82&gt;3,CdTrp1!G77,CdTrp1!G53))</f>
        <v>0.5</v>
      </c>
      <c r="I69" s="173">
        <f>IF($AA69=0,99,IF(I82&gt;3,CdTrp1!H77,CdTrp1!H53))</f>
        <v>0.5</v>
      </c>
      <c r="J69" s="173">
        <f>IF($AA69=0,99,IF(J82&gt;3,CdTrp1!I77,CdTrp1!I53))</f>
        <v>0.5</v>
      </c>
      <c r="K69" s="173">
        <f>IF($AA69=0,99,IF(K82&gt;3,CdTrp1!J77,CdTrp1!J53))</f>
        <v>0.5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99</v>
      </c>
      <c r="O69" s="173">
        <f>IF($AA69=0,99,IF(O82&gt;3,CdTrp1!N77,CdTrp1!N53))</f>
        <v>99</v>
      </c>
      <c r="P69" s="173">
        <f>IF($AA69=0,99,IF(P82&gt;3,CdTrp1!O77,CdTrp1!O53))</f>
        <v>99</v>
      </c>
      <c r="Q69" s="173">
        <f>IF($AA69=0,99,IF(Q82&gt;3,CdTrp1!P77,CdTrp1!P53))</f>
        <v>99</v>
      </c>
      <c r="R69" s="173">
        <f>IF($AA69=0,99,IF(R82&gt;3,CdTrp1!Q77,CdTrp1!Q53))</f>
        <v>99</v>
      </c>
      <c r="S69" s="173">
        <f>IF($AA69=0,99,IF(S82&gt;3,CdTrp1!R77,CdTrp1!R53))</f>
        <v>99</v>
      </c>
      <c r="T69" s="173">
        <f>IF($AA69=0,99,IF(T82&gt;3,CdTrp1!S77,CdTrp1!S53))</f>
        <v>99</v>
      </c>
      <c r="U69" s="173">
        <f>IF($AA69=0,99,IF(U82&gt;3,CdTrp1!T77,CdTrp1!T53))</f>
        <v>99</v>
      </c>
      <c r="V69" s="173">
        <f>IF($AA69=0,99,IF(V82&gt;3,CdTrp1!U77,CdTrp1!U53))</f>
        <v>0.5</v>
      </c>
      <c r="W69" s="173">
        <f>IF($AA69=0,99,IF(W82&gt;3,CdTrp1!V77,CdTrp1!V53))</f>
        <v>0.5</v>
      </c>
      <c r="X69" s="173">
        <f>IF($AA69=0,99,IF(X82&gt;3,CdTrp1!W77,CdTrp1!W53))</f>
        <v>0.5</v>
      </c>
      <c r="Y69" s="173">
        <f>IF($AA69=0,99,IF(Y82&gt;3,CdTrp1!X77,CdTrp1!X53))</f>
        <v>0.5</v>
      </c>
      <c r="Z69" s="173">
        <f>IF($AA69=0,99,IF(Z82&gt;3,CdTrp1!Y77,CdTrp1!Y53))</f>
        <v>0.5</v>
      </c>
      <c r="AA69" s="182">
        <f>SUM(CdTrp1!B16:Y16)/24</f>
        <v>14.649275362318839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0.5</v>
      </c>
      <c r="I70" s="173">
        <f>IF($AA70=0,99,IF(I83&gt;3,CdTrp1!H78,CdTrp1!H54))</f>
        <v>0.5</v>
      </c>
      <c r="J70" s="173">
        <f>IF($AA70=0,99,IF(J83&gt;3,CdTrp1!I78,CdTrp1!I54))</f>
        <v>0.5</v>
      </c>
      <c r="K70" s="173">
        <f>IF($AA70=0,99,IF(K83&gt;3,CdTrp1!J78,CdTrp1!J54))</f>
        <v>0.5</v>
      </c>
      <c r="L70" s="173">
        <f>IF($AA70=0,99,IF(L83&gt;3,CdTrp1!K78,CdTrp1!K54))</f>
        <v>0.5</v>
      </c>
      <c r="M70" s="173">
        <f>IF($AA70=0,99,IF(M83&gt;3,CdTrp1!L78,CdTrp1!L54))</f>
        <v>0.5</v>
      </c>
      <c r="N70" s="173">
        <f>IF($AA70=0,99,IF(N83&gt;3,CdTrp1!M78,CdTrp1!M54))</f>
        <v>0.5</v>
      </c>
      <c r="O70" s="173">
        <f>IF($AA70=0,99,IF(O83&gt;3,CdTrp1!N78,CdTrp1!N54))</f>
        <v>0.5</v>
      </c>
      <c r="P70" s="173">
        <f>IF($AA70=0,99,IF(P83&gt;3,CdTrp1!O78,CdTrp1!O54))</f>
        <v>0.5</v>
      </c>
      <c r="Q70" s="173">
        <f>IF($AA70=0,99,IF(Q83&gt;3,CdTrp1!P78,CdTrp1!P54))</f>
        <v>0.5</v>
      </c>
      <c r="R70" s="173">
        <f>IF($AA70=0,99,IF(R83&gt;3,CdTrp1!Q78,CdTrp1!Q54))</f>
        <v>0.5</v>
      </c>
      <c r="S70" s="173">
        <f>IF($AA70=0,99,IF(S83&gt;3,CdTrp1!R78,CdTrp1!R54))</f>
        <v>0.5</v>
      </c>
      <c r="T70" s="173">
        <f>IF($AA70=0,99,IF(T83&gt;3,CdTrp1!S78,CdTrp1!S54))</f>
        <v>0.5</v>
      </c>
      <c r="U70" s="173">
        <f>IF($AA70=0,99,IF(U83&gt;3,CdTrp1!T78,CdTrp1!T54))</f>
        <v>0.5</v>
      </c>
      <c r="V70" s="173">
        <f>IF($AA70=0,99,IF(V83&gt;3,CdTrp1!U78,CdTrp1!U54))</f>
        <v>3</v>
      </c>
      <c r="W70" s="173">
        <f>IF($AA70=0,99,IF(W83&gt;3,CdTrp1!V78,CdTrp1!V54))</f>
        <v>3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63.002898550724616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0</v>
      </c>
      <c r="D71" s="173">
        <f>IF($AA71=0,99,IF(D84&gt;3,CdTrp1!C79,CdTrp1!C55))</f>
        <v>0</v>
      </c>
      <c r="E71" s="173">
        <f>IF($AA71=0,99,IF(E84&gt;3,CdTrp1!D79,CdTrp1!D55))</f>
        <v>0</v>
      </c>
      <c r="F71" s="173">
        <f>IF($AA71=0,99,IF(F84&gt;3,CdTrp1!E79,CdTrp1!E55))</f>
        <v>0</v>
      </c>
      <c r="G71" s="173">
        <f>IF($AA71=0,99,IF(G84&gt;3,CdTrp1!F79,CdTrp1!F55))</f>
        <v>0</v>
      </c>
      <c r="H71" s="173">
        <f>IF($AA71=0,99,IF(H84&gt;3,CdTrp1!G79,CdTrp1!G55))</f>
        <v>0</v>
      </c>
      <c r="I71" s="173">
        <f>IF($AA71=0,99,IF(I84&gt;3,CdTrp1!H79,CdTrp1!H55))</f>
        <v>0</v>
      </c>
      <c r="J71" s="173">
        <f>IF($AA71=0,99,IF(J84&gt;3,CdTrp1!I79,CdTrp1!I55))</f>
        <v>0</v>
      </c>
      <c r="K71" s="173">
        <f>IF($AA71=0,99,IF(K84&gt;3,CdTrp1!J79,CdTrp1!J55))</f>
        <v>0</v>
      </c>
      <c r="L71" s="173">
        <f>IF($AA71=0,99,IF(L84&gt;3,CdTrp1!K79,CdTrp1!K55))</f>
        <v>99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0</v>
      </c>
      <c r="W71" s="173">
        <f>IF($AA71=0,99,IF(W84&gt;3,CdTrp1!V79,CdTrp1!V55))</f>
        <v>0</v>
      </c>
      <c r="X71" s="173">
        <f>IF($AA71=0,99,IF(X84&gt;3,CdTrp1!W79,CdTrp1!W55))</f>
        <v>0</v>
      </c>
      <c r="Y71" s="173">
        <f>IF($AA71=0,99,IF(Y84&gt;3,CdTrp1!X79,CdTrp1!X55))</f>
        <v>0</v>
      </c>
      <c r="Z71" s="173">
        <f>IF($AA71=0,99,IF(Z84&gt;3,CdTrp1!Y79,CdTrp1!Y55))</f>
        <v>0</v>
      </c>
      <c r="AA71" s="182">
        <f>SUM(CdTrp1!B18:Y18)/24</f>
        <v>4.6260869565217408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5</v>
      </c>
      <c r="O81" s="173">
        <f>CdTrp1!N76</f>
        <v>5</v>
      </c>
      <c r="P81" s="173">
        <f>CdTrp1!O76</f>
        <v>5</v>
      </c>
      <c r="Q81" s="173">
        <f>CdTrp1!P76</f>
        <v>5</v>
      </c>
      <c r="R81" s="173">
        <f>CdTrp1!Q76</f>
        <v>5</v>
      </c>
      <c r="S81" s="173">
        <f>CdTrp1!R76</f>
        <v>5</v>
      </c>
      <c r="T81" s="173">
        <f>CdTrp1!S76</f>
        <v>5</v>
      </c>
      <c r="U81" s="173">
        <f>CdTrp1!T76</f>
        <v>1</v>
      </c>
      <c r="V81" s="173">
        <f>CdTrp1!U76</f>
        <v>1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2</v>
      </c>
      <c r="D82" s="173">
        <f>CdTrp1!C77</f>
        <v>2</v>
      </c>
      <c r="E82" s="173">
        <f>CdTrp1!D77</f>
        <v>2</v>
      </c>
      <c r="F82" s="173">
        <f>CdTrp1!E77</f>
        <v>2</v>
      </c>
      <c r="G82" s="173">
        <f>CdTrp1!F77</f>
        <v>3</v>
      </c>
      <c r="H82" s="173">
        <f>CdTrp1!G77</f>
        <v>3</v>
      </c>
      <c r="I82" s="173">
        <f>CdTrp1!H77</f>
        <v>3</v>
      </c>
      <c r="J82" s="173">
        <f>CdTrp1!I77</f>
        <v>3</v>
      </c>
      <c r="K82" s="173">
        <f>CdTrp1!J77</f>
        <v>3</v>
      </c>
      <c r="L82" s="173">
        <f>CdTrp1!K77</f>
        <v>0</v>
      </c>
      <c r="M82" s="173">
        <f>CdTrp1!L77</f>
        <v>0</v>
      </c>
      <c r="N82" s="173">
        <f>CdTrp1!M77</f>
        <v>0</v>
      </c>
      <c r="O82" s="173">
        <f>CdTrp1!N77</f>
        <v>0</v>
      </c>
      <c r="P82" s="173">
        <f>CdTrp1!O77</f>
        <v>0</v>
      </c>
      <c r="Q82" s="173">
        <f>CdTrp1!P77</f>
        <v>0</v>
      </c>
      <c r="R82" s="173">
        <f>CdTrp1!Q77</f>
        <v>0</v>
      </c>
      <c r="S82" s="173">
        <f>CdTrp1!R77</f>
        <v>0</v>
      </c>
      <c r="T82" s="173">
        <f>CdTrp1!S77</f>
        <v>0</v>
      </c>
      <c r="U82" s="173">
        <f>CdTrp1!T77</f>
        <v>0</v>
      </c>
      <c r="V82" s="173">
        <f>CdTrp1!U77</f>
        <v>3</v>
      </c>
      <c r="W82" s="173">
        <f>CdTrp1!V77</f>
        <v>3</v>
      </c>
      <c r="X82" s="173">
        <f>CdTrp1!W77</f>
        <v>3</v>
      </c>
      <c r="Y82" s="173">
        <f>CdTrp1!X77</f>
        <v>3</v>
      </c>
      <c r="Z82" s="173">
        <f>CdTrp1!Y77</f>
        <v>2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1</v>
      </c>
      <c r="F83" s="173">
        <f>CdTrp1!E78</f>
        <v>1</v>
      </c>
      <c r="G83" s="173">
        <f>CdTrp1!F78</f>
        <v>1</v>
      </c>
      <c r="H83" s="173">
        <f>CdTrp1!G78</f>
        <v>1</v>
      </c>
      <c r="I83" s="173">
        <f>CdTrp1!H78</f>
        <v>1</v>
      </c>
      <c r="J83" s="173">
        <f>CdTrp1!I78</f>
        <v>1</v>
      </c>
      <c r="K83" s="173">
        <f>CdTrp1!J78</f>
        <v>1</v>
      </c>
      <c r="L83" s="173">
        <f>CdTrp1!K78</f>
        <v>1</v>
      </c>
      <c r="M83" s="173">
        <f>CdTrp1!L78</f>
        <v>1</v>
      </c>
      <c r="N83" s="173">
        <f>CdTrp1!M78</f>
        <v>1</v>
      </c>
      <c r="O83" s="173">
        <f>CdTrp1!N78</f>
        <v>1</v>
      </c>
      <c r="P83" s="173">
        <f>CdTrp1!O78</f>
        <v>1</v>
      </c>
      <c r="Q83" s="173">
        <f>CdTrp1!P78</f>
        <v>1</v>
      </c>
      <c r="R83" s="173">
        <f>CdTrp1!Q78</f>
        <v>1</v>
      </c>
      <c r="S83" s="173">
        <f>CdTrp1!R78</f>
        <v>1</v>
      </c>
      <c r="T83" s="173">
        <f>CdTrp1!S78</f>
        <v>1</v>
      </c>
      <c r="U83" s="173">
        <f>CdTrp1!T78</f>
        <v>1</v>
      </c>
      <c r="V83" s="173">
        <f>CdTrp1!U78</f>
        <v>0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2</v>
      </c>
      <c r="D84" s="173">
        <f>CdTrp1!C79</f>
        <v>2</v>
      </c>
      <c r="E84" s="173">
        <f>CdTrp1!D79</f>
        <v>2</v>
      </c>
      <c r="F84" s="173">
        <f>CdTrp1!E79</f>
        <v>2</v>
      </c>
      <c r="G84" s="173">
        <f>CdTrp1!F79</f>
        <v>2</v>
      </c>
      <c r="H84" s="173">
        <f>CdTrp1!G79</f>
        <v>2</v>
      </c>
      <c r="I84" s="173">
        <f>CdTrp1!H79</f>
        <v>2</v>
      </c>
      <c r="J84" s="173">
        <f>CdTrp1!I79</f>
        <v>2</v>
      </c>
      <c r="K84" s="173">
        <f>CdTrp1!J79</f>
        <v>1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2</v>
      </c>
      <c r="W84" s="173">
        <f>CdTrp1!V79</f>
        <v>2</v>
      </c>
      <c r="X84" s="173">
        <f>CdTrp1!W79</f>
        <v>2</v>
      </c>
      <c r="Y84" s="173">
        <f>CdTrp1!X79</f>
        <v>2</v>
      </c>
      <c r="Z84" s="173">
        <f>CdTrp1!Y79</f>
        <v>2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0.5</v>
      </c>
      <c r="J110" s="173">
        <f>IF($AA110=0,99,IF(J123&gt;3,CdTrp2!I76,CdTrp2!I52))</f>
        <v>0.5</v>
      </c>
      <c r="K110" s="173">
        <f>IF($AA110=0,99,IF(K123&gt;3,CdTrp2!J76,CdTrp2!J52))</f>
        <v>0.5</v>
      </c>
      <c r="L110" s="173">
        <f>IF($AA110=0,99,IF(L123&gt;3,CdTrp2!K76,CdTrp2!K52))</f>
        <v>0.5</v>
      </c>
      <c r="M110" s="173">
        <f>IF($AA110=0,99,IF(M123&gt;3,CdTrp2!L76,CdTrp2!L52))</f>
        <v>0</v>
      </c>
      <c r="N110" s="173">
        <f>IF($AA110=0,99,IF(N123&gt;3,CdTrp2!M76,CdTrp2!M52))</f>
        <v>0</v>
      </c>
      <c r="O110" s="173">
        <f>IF($AA110=0,99,IF(O123&gt;3,CdTrp2!N76,CdTrp2!N52))</f>
        <v>0</v>
      </c>
      <c r="P110" s="173">
        <f>IF($AA110=0,99,IF(P123&gt;3,CdTrp2!O76,CdTrp2!O52))</f>
        <v>0</v>
      </c>
      <c r="Q110" s="173">
        <f>IF($AA110=0,99,IF(Q123&gt;3,CdTrp2!P76,CdTrp2!P52))</f>
        <v>0</v>
      </c>
      <c r="R110" s="173">
        <f>IF($AA110=0,99,IF(R123&gt;3,CdTrp2!Q76,CdTrp2!Q52))</f>
        <v>0</v>
      </c>
      <c r="S110" s="173">
        <f>IF($AA110=0,99,IF(S123&gt;3,CdTrp2!R76,CdTrp2!R52))</f>
        <v>0</v>
      </c>
      <c r="T110" s="173">
        <f>IF($AA110=0,99,IF(T123&gt;3,CdTrp2!S76,CdTrp2!S52))</f>
        <v>0</v>
      </c>
      <c r="U110" s="173">
        <f>IF($AA110=0,99,IF(U123&gt;3,CdTrp2!T76,CdTrp2!T52))</f>
        <v>0.5</v>
      </c>
      <c r="V110" s="173">
        <f>IF($AA110=0,99,IF(V123&gt;3,CdTrp2!U76,CdTrp2!U52))</f>
        <v>0.5</v>
      </c>
      <c r="W110" s="173">
        <f>IF($AA110=0,99,IF(W123&gt;3,CdTrp2!V76,CdTrp2!V52))</f>
        <v>0.5</v>
      </c>
      <c r="X110" s="173">
        <f>IF($AA110=0,99,IF(X123&gt;3,CdTrp2!W76,CdTrp2!W52))</f>
        <v>0.5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14.313333333333333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3</v>
      </c>
      <c r="D111" s="173">
        <f>IF($AA111=0,99,IF(D124&gt;3,CdTrp2!C77,CdTrp2!C53))</f>
        <v>3</v>
      </c>
      <c r="E111" s="173">
        <f>IF($AA111=0,99,IF(E124&gt;3,CdTrp2!D77,CdTrp2!D53))</f>
        <v>3</v>
      </c>
      <c r="F111" s="173">
        <f>IF($AA111=0,99,IF(F124&gt;3,CdTrp2!E77,CdTrp2!E53))</f>
        <v>3</v>
      </c>
      <c r="G111" s="173">
        <f>IF($AA111=0,99,IF(G124&gt;3,CdTrp2!F77,CdTrp2!F53))</f>
        <v>3</v>
      </c>
      <c r="H111" s="173">
        <f>IF($AA111=0,99,IF(H124&gt;3,CdTrp2!G77,CdTrp2!G53))</f>
        <v>0</v>
      </c>
      <c r="I111" s="173">
        <f>IF($AA111=0,99,IF(I124&gt;3,CdTrp2!H77,CdTrp2!H53))</f>
        <v>0</v>
      </c>
      <c r="J111" s="173">
        <f>IF($AA111=0,99,IF(J124&gt;3,CdTrp2!I77,CdTrp2!I53))</f>
        <v>0</v>
      </c>
      <c r="K111" s="173">
        <f>IF($AA111=0,99,IF(K124&gt;3,CdTrp2!J77,CdTrp2!J53))</f>
        <v>0</v>
      </c>
      <c r="L111" s="173">
        <f>IF($AA111=0,99,IF(L124&gt;3,CdTrp2!K77,CdTrp2!K53))</f>
        <v>0</v>
      </c>
      <c r="M111" s="173">
        <f>IF($AA111=0,99,IF(M124&gt;3,CdTrp2!L77,CdTrp2!L53))</f>
        <v>0</v>
      </c>
      <c r="N111" s="173">
        <f>IF($AA111=0,99,IF(N124&gt;3,CdTrp2!M77,CdTrp2!M53))</f>
        <v>0</v>
      </c>
      <c r="O111" s="173">
        <f>IF($AA111=0,99,IF(O124&gt;3,CdTrp2!N77,CdTrp2!N53))</f>
        <v>0</v>
      </c>
      <c r="P111" s="173">
        <f>IF($AA111=0,99,IF(P124&gt;3,CdTrp2!O77,CdTrp2!O53))</f>
        <v>0</v>
      </c>
      <c r="Q111" s="173">
        <f>IF($AA111=0,99,IF(Q124&gt;3,CdTrp2!P77,CdTrp2!P53))</f>
        <v>0</v>
      </c>
      <c r="R111" s="173">
        <f>IF($AA111=0,99,IF(R124&gt;3,CdTrp2!Q77,CdTrp2!Q53))</f>
        <v>0</v>
      </c>
      <c r="S111" s="173">
        <f>IF($AA111=0,99,IF(S124&gt;3,CdTrp2!R77,CdTrp2!R53))</f>
        <v>0</v>
      </c>
      <c r="T111" s="173">
        <f>IF($AA111=0,99,IF(T124&gt;3,CdTrp2!S77,CdTrp2!S53))</f>
        <v>0</v>
      </c>
      <c r="U111" s="173">
        <f>IF($AA111=0,99,IF(U124&gt;3,CdTrp2!T77,CdTrp2!T53))</f>
        <v>0</v>
      </c>
      <c r="V111" s="173">
        <f>IF($AA111=0,99,IF(V124&gt;3,CdTrp2!U77,CdTrp2!U53))</f>
        <v>0</v>
      </c>
      <c r="W111" s="173">
        <f>IF($AA111=0,99,IF(W124&gt;3,CdTrp2!V77,CdTrp2!V53))</f>
        <v>0.5</v>
      </c>
      <c r="X111" s="173">
        <f>IF($AA111=0,99,IF(X124&gt;3,CdTrp2!W77,CdTrp2!W53))</f>
        <v>0.5</v>
      </c>
      <c r="Y111" s="173">
        <f>IF($AA111=0,99,IF(Y124&gt;3,CdTrp2!X77,CdTrp2!X53))</f>
        <v>3</v>
      </c>
      <c r="Z111" s="173">
        <f>IF($AA111=0,99,IF(Z124&gt;3,CdTrp2!Y77,CdTrp2!Y53))</f>
        <v>3</v>
      </c>
      <c r="AA111" s="182">
        <f>SUM(CdTrp2!B16:Y16)/24</f>
        <v>2.6916666666666669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0</v>
      </c>
      <c r="F112" s="173">
        <f>IF($AA112=0,99,IF(F125&gt;3,CdTrp2!E78,CdTrp2!E54))</f>
        <v>0</v>
      </c>
      <c r="G112" s="173">
        <f>IF($AA112=0,99,IF(G125&gt;3,CdTrp2!F78,CdTrp2!F54))</f>
        <v>0</v>
      </c>
      <c r="H112" s="173">
        <f>IF($AA112=0,99,IF(H125&gt;3,CdTrp2!G78,CdTrp2!G54))</f>
        <v>0</v>
      </c>
      <c r="I112" s="173">
        <f>IF($AA112=0,99,IF(I125&gt;3,CdTrp2!H78,CdTrp2!H54))</f>
        <v>0</v>
      </c>
      <c r="J112" s="173">
        <f>IF($AA112=0,99,IF(J125&gt;3,CdTrp2!I78,CdTrp2!I54))</f>
        <v>0</v>
      </c>
      <c r="K112" s="173">
        <f>IF($AA112=0,99,IF(K125&gt;3,CdTrp2!J78,CdTrp2!J54))</f>
        <v>0</v>
      </c>
      <c r="L112" s="173">
        <f>IF($AA112=0,99,IF(L125&gt;3,CdTrp2!K78,CdTrp2!K54))</f>
        <v>0</v>
      </c>
      <c r="M112" s="173">
        <f>IF($AA112=0,99,IF(M125&gt;3,CdTrp2!L78,CdTrp2!L54))</f>
        <v>0</v>
      </c>
      <c r="N112" s="173">
        <f>IF($AA112=0,99,IF(N125&gt;3,CdTrp2!M78,CdTrp2!M54))</f>
        <v>0</v>
      </c>
      <c r="O112" s="173">
        <f>IF($AA112=0,99,IF(O125&gt;3,CdTrp2!N78,CdTrp2!N54))</f>
        <v>0</v>
      </c>
      <c r="P112" s="173">
        <f>IF($AA112=0,99,IF(P125&gt;3,CdTrp2!O78,CdTrp2!O54))</f>
        <v>0</v>
      </c>
      <c r="Q112" s="173">
        <f>IF($AA112=0,99,IF(Q125&gt;3,CdTrp2!P78,CdTrp2!P54))</f>
        <v>0</v>
      </c>
      <c r="R112" s="173">
        <f>IF($AA112=0,99,IF(R125&gt;3,CdTrp2!Q78,CdTrp2!Q54))</f>
        <v>0</v>
      </c>
      <c r="S112" s="173">
        <f>IF($AA112=0,99,IF(S125&gt;3,CdTrp2!R78,CdTrp2!R54))</f>
        <v>0</v>
      </c>
      <c r="T112" s="173">
        <f>IF($AA112=0,99,IF(T125&gt;3,CdTrp2!S78,CdTrp2!S54))</f>
        <v>0</v>
      </c>
      <c r="U112" s="173">
        <f>IF($AA112=0,99,IF(U125&gt;3,CdTrp2!T78,CdTrp2!T54))</f>
        <v>0</v>
      </c>
      <c r="V112" s="173">
        <f>IF($AA112=0,99,IF(V125&gt;3,CdTrp2!U78,CdTrp2!U54))</f>
        <v>0</v>
      </c>
      <c r="W112" s="173">
        <f>IF($AA112=0,99,IF(W125&gt;3,CdTrp2!V78,CdTrp2!V54))</f>
        <v>0</v>
      </c>
      <c r="X112" s="173">
        <f>IF($AA112=0,99,IF(X125&gt;3,CdTrp2!W78,CdTrp2!W54))</f>
        <v>0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9.1200000000000028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1</v>
      </c>
      <c r="K123" s="30">
        <f>CdTrp2!J76</f>
        <v>2</v>
      </c>
      <c r="L123" s="30">
        <f>CdTrp2!K76</f>
        <v>2</v>
      </c>
      <c r="M123" s="30">
        <f>CdTrp2!L76</f>
        <v>2</v>
      </c>
      <c r="N123" s="30">
        <f>CdTrp2!M76</f>
        <v>2</v>
      </c>
      <c r="O123" s="30">
        <f>CdTrp2!N76</f>
        <v>2</v>
      </c>
      <c r="P123" s="30">
        <f>CdTrp2!O76</f>
        <v>1</v>
      </c>
      <c r="Q123" s="30">
        <f>CdTrp2!P76</f>
        <v>1</v>
      </c>
      <c r="R123" s="30">
        <f>CdTrp2!Q76</f>
        <v>1</v>
      </c>
      <c r="S123" s="30">
        <f>CdTrp2!R76</f>
        <v>2</v>
      </c>
      <c r="T123" s="30">
        <f>CdTrp2!S76</f>
        <v>2</v>
      </c>
      <c r="U123" s="30">
        <f>CdTrp2!T76</f>
        <v>3</v>
      </c>
      <c r="V123" s="30">
        <f>CdTrp2!U76</f>
        <v>3</v>
      </c>
      <c r="W123" s="30">
        <f>CdTrp2!V76</f>
        <v>2</v>
      </c>
      <c r="X123" s="30">
        <f>CdTrp2!W76</f>
        <v>2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1</v>
      </c>
      <c r="I124" s="30">
        <f>CdTrp2!H77</f>
        <v>1</v>
      </c>
      <c r="J124" s="30">
        <f>CdTrp2!I77</f>
        <v>1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2</v>
      </c>
      <c r="F125" s="30">
        <f>CdTrp2!E78</f>
        <v>2</v>
      </c>
      <c r="G125" s="30">
        <f>CdTrp2!F78</f>
        <v>2</v>
      </c>
      <c r="H125" s="30">
        <f>CdTrp2!G78</f>
        <v>2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2</v>
      </c>
      <c r="P125" s="30">
        <f>CdTrp2!O78</f>
        <v>2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3</v>
      </c>
      <c r="V125" s="30">
        <f>CdTrp2!U78</f>
        <v>1</v>
      </c>
      <c r="W125" s="30">
        <f>CdTrp2!V78</f>
        <v>1</v>
      </c>
      <c r="X125" s="30">
        <f>CdTrp2!W78</f>
        <v>1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1396</v>
      </c>
      <c r="C180" s="173">
        <f>IF(Troupeau!$B$3="OL",Protection!C18,0)</f>
        <v>2</v>
      </c>
      <c r="D180" s="173">
        <f>IF(Troupeau!$B$3="OL",Protection!D18,0)</f>
        <v>2</v>
      </c>
      <c r="E180" s="173">
        <f>IF(Troupeau!$B$3="OL",Protection!E18,0)</f>
        <v>2</v>
      </c>
      <c r="F180" s="173">
        <f>IF(Troupeau!$B$3="OL",Protection!F18,0)</f>
        <v>2</v>
      </c>
      <c r="G180" s="173">
        <f>IF(Troupeau!$B$3="OL",Protection!G18,0)</f>
        <v>2</v>
      </c>
      <c r="H180" s="173">
        <f>IF(Troupeau!$B$3="OL",Protection!H18,0)</f>
        <v>2</v>
      </c>
      <c r="I180" s="173">
        <f>IF(Troupeau!$B$3="OL",Protection!I18,0)</f>
        <v>2</v>
      </c>
      <c r="J180" s="173">
        <f>IF(Troupeau!$B$3="OL",Protection!J18,0)</f>
        <v>2</v>
      </c>
      <c r="K180" s="173">
        <f>IF(Troupeau!$B$3="OL",Protection!K18,0)</f>
        <v>2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2</v>
      </c>
      <c r="W180" s="173">
        <f>IF(Troupeau!$B$3="OL",Protection!W18,0)</f>
        <v>2</v>
      </c>
      <c r="X180" s="173">
        <f>IF(Troupeau!$B$3="OL",Protection!X18,0)</f>
        <v>2</v>
      </c>
      <c r="Y180" s="173">
        <f>IF(Troupeau!$B$3="OL",Protection!Y18,0)</f>
        <v>2</v>
      </c>
      <c r="Z180" s="173">
        <f>IF(Troupeau!$B$3="OL",Protection!Z18,0)</f>
        <v>2</v>
      </c>
    </row>
    <row r="181" spans="1:26" x14ac:dyDescent="0.25">
      <c r="A181" t="s">
        <v>1397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2</v>
      </c>
      <c r="O181" s="173">
        <f>IF(Troupeau!$B$3="OL",Protection!O19+O21,0)</f>
        <v>2</v>
      </c>
      <c r="P181" s="173">
        <f>IF(Troupeau!$B$3="OL",Protection!P19+P21,0)</f>
        <v>2</v>
      </c>
      <c r="Q181" s="173">
        <f>IF(Troupeau!$B$3="OL",Protection!Q19+Q21,0)</f>
        <v>2</v>
      </c>
      <c r="R181" s="173">
        <f>IF(Troupeau!$B$3="OL",Protection!R19+R21,0)</f>
        <v>2</v>
      </c>
      <c r="S181" s="173">
        <f>IF(Troupeau!$B$3="OL",Protection!S19+S21,0)</f>
        <v>2</v>
      </c>
      <c r="T181" s="173">
        <f>IF(Troupeau!$B$3="OL",Protection!T19+T21,0)</f>
        <v>2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1398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1399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1400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1401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1402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1403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1404</v>
      </c>
      <c r="C195" s="173">
        <f>C180+C183+C185+C187</f>
        <v>2</v>
      </c>
      <c r="D195" s="173">
        <f t="shared" ref="D195:Z196" si="50">D180+D183+D185+D187</f>
        <v>2</v>
      </c>
      <c r="E195" s="173">
        <f t="shared" si="50"/>
        <v>2</v>
      </c>
      <c r="F195" s="173">
        <f t="shared" si="50"/>
        <v>2</v>
      </c>
      <c r="G195" s="173">
        <f t="shared" si="50"/>
        <v>2</v>
      </c>
      <c r="H195" s="173">
        <f t="shared" si="50"/>
        <v>2</v>
      </c>
      <c r="I195" s="173">
        <f t="shared" si="50"/>
        <v>2</v>
      </c>
      <c r="J195" s="173">
        <f t="shared" si="50"/>
        <v>2</v>
      </c>
      <c r="K195" s="173">
        <f t="shared" si="50"/>
        <v>2</v>
      </c>
      <c r="L195" s="173">
        <f t="shared" si="50"/>
        <v>1</v>
      </c>
      <c r="M195" s="173">
        <f t="shared" si="50"/>
        <v>1</v>
      </c>
      <c r="N195" s="173">
        <f t="shared" si="50"/>
        <v>1</v>
      </c>
      <c r="O195" s="173">
        <f t="shared" si="50"/>
        <v>1</v>
      </c>
      <c r="P195" s="173">
        <f t="shared" si="50"/>
        <v>1</v>
      </c>
      <c r="Q195" s="173">
        <f t="shared" si="50"/>
        <v>1</v>
      </c>
      <c r="R195" s="173">
        <f t="shared" si="50"/>
        <v>1</v>
      </c>
      <c r="S195" s="173">
        <f t="shared" si="50"/>
        <v>1</v>
      </c>
      <c r="T195" s="173">
        <f t="shared" si="50"/>
        <v>1</v>
      </c>
      <c r="U195" s="173">
        <f t="shared" si="50"/>
        <v>1</v>
      </c>
      <c r="V195" s="173">
        <f t="shared" si="50"/>
        <v>2</v>
      </c>
      <c r="W195" s="173">
        <f t="shared" si="50"/>
        <v>2</v>
      </c>
      <c r="X195" s="173">
        <f t="shared" si="50"/>
        <v>2</v>
      </c>
      <c r="Y195" s="173">
        <f t="shared" si="50"/>
        <v>2</v>
      </c>
      <c r="Z195" s="173">
        <f t="shared" si="50"/>
        <v>2</v>
      </c>
    </row>
    <row r="196" spans="1:26" x14ac:dyDescent="0.25">
      <c r="B196" s="14" t="s">
        <v>1405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2</v>
      </c>
      <c r="O196" s="173">
        <f t="shared" si="50"/>
        <v>2</v>
      </c>
      <c r="P196" s="173">
        <f t="shared" si="50"/>
        <v>2</v>
      </c>
      <c r="Q196" s="173">
        <f t="shared" si="50"/>
        <v>2</v>
      </c>
      <c r="R196" s="173">
        <f t="shared" si="50"/>
        <v>2</v>
      </c>
      <c r="S196" s="173">
        <f t="shared" si="50"/>
        <v>2</v>
      </c>
      <c r="T196" s="173">
        <f t="shared" si="50"/>
        <v>2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1406</v>
      </c>
      <c r="C201" s="173">
        <f>IF(Troupeau!$B$3="OL",C8+C9,0)</f>
        <v>4</v>
      </c>
      <c r="D201" s="173">
        <f>IF(Troupeau!$B$3="OL",D8+D9,0)</f>
        <v>4</v>
      </c>
      <c r="E201" s="173">
        <f>IF(Troupeau!$B$3="OL",E8+E9,0)</f>
        <v>6</v>
      </c>
      <c r="F201" s="173">
        <f>IF(Troupeau!$B$3="OL",F8+F9,0)</f>
        <v>8</v>
      </c>
      <c r="G201" s="173">
        <f>IF(Troupeau!$B$3="OL",G8+G9,0)</f>
        <v>9</v>
      </c>
      <c r="H201" s="173">
        <f>IF(Troupeau!$B$3="OL",H8+H9,0)</f>
        <v>9</v>
      </c>
      <c r="I201" s="173">
        <f>IF(Troupeau!$B$3="OL",I8+I9,0)</f>
        <v>9</v>
      </c>
      <c r="J201" s="173">
        <f>IF(Troupeau!$B$3="OL",J8+J9,0)</f>
        <v>9</v>
      </c>
      <c r="K201" s="173">
        <f>IF(Troupeau!$B$3="OL",K8+K9,0)</f>
        <v>9</v>
      </c>
      <c r="L201" s="173">
        <f>IF(Troupeau!$B$3="OL",L8+L9,0)</f>
        <v>4</v>
      </c>
      <c r="M201" s="173">
        <f>IF(Troupeau!$B$3="OL",M8+M9,0)</f>
        <v>4</v>
      </c>
      <c r="N201" s="173">
        <f>IF(Troupeau!$B$3="OL",N8+N9,0)</f>
        <v>2</v>
      </c>
      <c r="O201" s="173">
        <f>IF(Troupeau!$B$3="OL",O8+O9,0)</f>
        <v>2</v>
      </c>
      <c r="P201" s="173">
        <f>IF(Troupeau!$B$3="OL",P8+P9,0)</f>
        <v>2</v>
      </c>
      <c r="Q201" s="173">
        <f>IF(Troupeau!$B$3="OL",Q8+Q9,0)</f>
        <v>2</v>
      </c>
      <c r="R201" s="173">
        <f>IF(Troupeau!$B$3="OL",R8+R9,0)</f>
        <v>2</v>
      </c>
      <c r="S201" s="173">
        <f>IF(Troupeau!$B$3="OL",S8+S9,0)</f>
        <v>2</v>
      </c>
      <c r="T201" s="173">
        <f>IF(Troupeau!$B$3="OL",T8+T9,0)</f>
        <v>2</v>
      </c>
      <c r="U201" s="173">
        <f>IF(Troupeau!$B$3="OL",U8+U9,0)</f>
        <v>4</v>
      </c>
      <c r="V201" s="173">
        <f>IF(Troupeau!$B$3="OL",V8+V9,0)</f>
        <v>7</v>
      </c>
      <c r="W201" s="173">
        <f>IF(Troupeau!$B$3="OL",W8+W9,0)</f>
        <v>5</v>
      </c>
      <c r="X201" s="173">
        <f>IF(Troupeau!$B$3="OL",X8+X9,0)</f>
        <v>5</v>
      </c>
      <c r="Y201" s="173">
        <f>IF(Troupeau!$B$3="OL",Y8+Y9,0)</f>
        <v>5</v>
      </c>
      <c r="Z201" s="173">
        <f>IF(Troupeau!$B$3="OL",Z8+Z9,0)</f>
        <v>4</v>
      </c>
    </row>
    <row r="202" spans="1:26" x14ac:dyDescent="0.25">
      <c r="A202" t="s">
        <v>1407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8</v>
      </c>
      <c r="O202" s="173">
        <f>IF(Troupeau!$B$3="OL",O10+O12,0)</f>
        <v>8</v>
      </c>
      <c r="P202" s="173">
        <f>IF(Troupeau!$B$3="OL",P10+P12,0)</f>
        <v>8</v>
      </c>
      <c r="Q202" s="173">
        <f>IF(Troupeau!$B$3="OL",Q10+Q12,0)</f>
        <v>8</v>
      </c>
      <c r="R202" s="173">
        <f>IF(Troupeau!$B$3="OL",R10+R12,0)</f>
        <v>8</v>
      </c>
      <c r="S202" s="173">
        <f>IF(Troupeau!$B$3="OL",S10+S12,0)</f>
        <v>8</v>
      </c>
      <c r="T202" s="173">
        <f>IF(Troupeau!$B$3="OL",T10+T12,0)</f>
        <v>8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1426</v>
      </c>
      <c r="C203" s="173">
        <f>SUM(C201:C202)</f>
        <v>4</v>
      </c>
      <c r="D203" s="173">
        <f t="shared" ref="D203:Z203" si="51">SUM(D201:D202)</f>
        <v>4</v>
      </c>
      <c r="E203" s="173">
        <f t="shared" si="51"/>
        <v>6</v>
      </c>
      <c r="F203" s="173">
        <f t="shared" si="51"/>
        <v>8</v>
      </c>
      <c r="G203" s="173">
        <f t="shared" si="51"/>
        <v>9</v>
      </c>
      <c r="H203" s="173">
        <f t="shared" si="51"/>
        <v>9</v>
      </c>
      <c r="I203" s="173">
        <f t="shared" si="51"/>
        <v>9</v>
      </c>
      <c r="J203" s="173">
        <f t="shared" si="51"/>
        <v>9</v>
      </c>
      <c r="K203" s="173">
        <f t="shared" si="51"/>
        <v>9</v>
      </c>
      <c r="L203" s="173">
        <f t="shared" si="51"/>
        <v>4</v>
      </c>
      <c r="M203" s="173">
        <f t="shared" si="51"/>
        <v>4</v>
      </c>
      <c r="N203" s="173">
        <f t="shared" si="51"/>
        <v>10</v>
      </c>
      <c r="O203" s="173">
        <f t="shared" si="51"/>
        <v>10</v>
      </c>
      <c r="P203" s="173">
        <f t="shared" si="51"/>
        <v>10</v>
      </c>
      <c r="Q203" s="173">
        <f t="shared" si="51"/>
        <v>10</v>
      </c>
      <c r="R203" s="173">
        <f t="shared" si="51"/>
        <v>10</v>
      </c>
      <c r="S203" s="173">
        <f t="shared" si="51"/>
        <v>10</v>
      </c>
      <c r="T203" s="173">
        <f t="shared" si="51"/>
        <v>10</v>
      </c>
      <c r="U203" s="173">
        <f t="shared" si="51"/>
        <v>4</v>
      </c>
      <c r="V203" s="173">
        <f t="shared" si="51"/>
        <v>7</v>
      </c>
      <c r="W203" s="173">
        <f t="shared" si="51"/>
        <v>5</v>
      </c>
      <c r="X203" s="173">
        <f t="shared" si="51"/>
        <v>5</v>
      </c>
      <c r="Y203" s="173">
        <f t="shared" si="51"/>
        <v>5</v>
      </c>
      <c r="Z203" s="173">
        <f t="shared" si="51"/>
        <v>4</v>
      </c>
    </row>
    <row r="204" spans="1:26" x14ac:dyDescent="0.25">
      <c r="A204" t="s">
        <v>1408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1409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1410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1411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1412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1413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1414</v>
      </c>
      <c r="C212" s="173">
        <f>C201+C204+C206+C208</f>
        <v>4</v>
      </c>
      <c r="D212" s="173">
        <f t="shared" ref="D212:Z213" si="52">D201+D204+D206+D208</f>
        <v>4</v>
      </c>
      <c r="E212" s="173">
        <f t="shared" si="52"/>
        <v>6</v>
      </c>
      <c r="F212" s="173">
        <f t="shared" si="52"/>
        <v>8</v>
      </c>
      <c r="G212" s="173">
        <f t="shared" si="52"/>
        <v>9</v>
      </c>
      <c r="H212" s="173">
        <f t="shared" si="52"/>
        <v>9</v>
      </c>
      <c r="I212" s="173">
        <f t="shared" si="52"/>
        <v>9</v>
      </c>
      <c r="J212" s="173">
        <f t="shared" si="52"/>
        <v>9</v>
      </c>
      <c r="K212" s="173">
        <f t="shared" si="52"/>
        <v>9</v>
      </c>
      <c r="L212" s="173">
        <f t="shared" si="52"/>
        <v>4</v>
      </c>
      <c r="M212" s="173">
        <f t="shared" si="52"/>
        <v>4</v>
      </c>
      <c r="N212" s="173">
        <f t="shared" si="52"/>
        <v>2</v>
      </c>
      <c r="O212" s="173">
        <f t="shared" si="52"/>
        <v>2</v>
      </c>
      <c r="P212" s="173">
        <f t="shared" si="52"/>
        <v>2</v>
      </c>
      <c r="Q212" s="173">
        <f t="shared" si="52"/>
        <v>2</v>
      </c>
      <c r="R212" s="173">
        <f t="shared" si="52"/>
        <v>2</v>
      </c>
      <c r="S212" s="173">
        <f t="shared" si="52"/>
        <v>2</v>
      </c>
      <c r="T212" s="173">
        <f t="shared" si="52"/>
        <v>2</v>
      </c>
      <c r="U212" s="173">
        <f t="shared" si="52"/>
        <v>4</v>
      </c>
      <c r="V212" s="173">
        <f t="shared" si="52"/>
        <v>7</v>
      </c>
      <c r="W212" s="173">
        <f t="shared" si="52"/>
        <v>5</v>
      </c>
      <c r="X212" s="173">
        <f t="shared" si="52"/>
        <v>5</v>
      </c>
      <c r="Y212" s="173">
        <f t="shared" si="52"/>
        <v>5</v>
      </c>
      <c r="Z212" s="173">
        <f t="shared" si="52"/>
        <v>4</v>
      </c>
    </row>
    <row r="213" spans="1:26" x14ac:dyDescent="0.25">
      <c r="A213" s="15" t="s">
        <v>1415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8</v>
      </c>
      <c r="O213" s="173">
        <f t="shared" si="52"/>
        <v>8</v>
      </c>
      <c r="P213" s="173">
        <f t="shared" si="52"/>
        <v>8</v>
      </c>
      <c r="Q213" s="173">
        <f t="shared" si="52"/>
        <v>8</v>
      </c>
      <c r="R213" s="173">
        <f t="shared" si="52"/>
        <v>8</v>
      </c>
      <c r="S213" s="173">
        <f t="shared" si="52"/>
        <v>8</v>
      </c>
      <c r="T213" s="173">
        <f t="shared" si="52"/>
        <v>8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1416</v>
      </c>
      <c r="C214" s="173">
        <f>C212+C213</f>
        <v>4</v>
      </c>
      <c r="D214" s="173">
        <f t="shared" ref="D214:Z214" si="53">D212+D213</f>
        <v>4</v>
      </c>
      <c r="E214" s="173">
        <f t="shared" si="53"/>
        <v>6</v>
      </c>
      <c r="F214" s="173">
        <f t="shared" si="53"/>
        <v>8</v>
      </c>
      <c r="G214" s="173">
        <f t="shared" si="53"/>
        <v>9</v>
      </c>
      <c r="H214" s="173">
        <f t="shared" si="53"/>
        <v>9</v>
      </c>
      <c r="I214" s="173">
        <f t="shared" si="53"/>
        <v>9</v>
      </c>
      <c r="J214" s="173">
        <f t="shared" si="53"/>
        <v>9</v>
      </c>
      <c r="K214" s="173">
        <f t="shared" si="53"/>
        <v>9</v>
      </c>
      <c r="L214" s="173">
        <f t="shared" si="53"/>
        <v>4</v>
      </c>
      <c r="M214" s="173">
        <f t="shared" si="53"/>
        <v>4</v>
      </c>
      <c r="N214" s="173">
        <f t="shared" si="53"/>
        <v>10</v>
      </c>
      <c r="O214" s="173">
        <f t="shared" si="53"/>
        <v>10</v>
      </c>
      <c r="P214" s="173">
        <f t="shared" si="53"/>
        <v>10</v>
      </c>
      <c r="Q214" s="173">
        <f t="shared" si="53"/>
        <v>10</v>
      </c>
      <c r="R214" s="173">
        <f t="shared" si="53"/>
        <v>10</v>
      </c>
      <c r="S214" s="173">
        <f t="shared" si="53"/>
        <v>10</v>
      </c>
      <c r="T214" s="173">
        <f t="shared" si="53"/>
        <v>10</v>
      </c>
      <c r="U214" s="173">
        <f t="shared" si="53"/>
        <v>4</v>
      </c>
      <c r="V214" s="173">
        <f t="shared" si="53"/>
        <v>7</v>
      </c>
      <c r="W214" s="173">
        <f t="shared" si="53"/>
        <v>5</v>
      </c>
      <c r="X214" s="173">
        <f t="shared" si="53"/>
        <v>5</v>
      </c>
      <c r="Y214" s="173">
        <f t="shared" si="53"/>
        <v>5</v>
      </c>
      <c r="Z214" s="173">
        <f t="shared" si="53"/>
        <v>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62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6" t="s">
        <v>2</v>
      </c>
      <c r="H1" s="296"/>
      <c r="I1" s="296" t="s">
        <v>0</v>
      </c>
      <c r="J1" s="296"/>
      <c r="K1" s="296" t="s">
        <v>1</v>
      </c>
      <c r="L1" s="296"/>
      <c r="M1" s="296" t="s">
        <v>3</v>
      </c>
      <c r="N1" s="296"/>
      <c r="O1" s="296" t="s">
        <v>4</v>
      </c>
      <c r="P1" s="296"/>
      <c r="Q1" s="296" t="s">
        <v>5</v>
      </c>
      <c r="R1" s="296"/>
      <c r="S1" s="296" t="s">
        <v>6</v>
      </c>
      <c r="T1" s="296"/>
      <c r="U1" s="296" t="s">
        <v>7</v>
      </c>
      <c r="V1" s="296"/>
      <c r="W1" s="296" t="s">
        <v>8</v>
      </c>
      <c r="X1" s="296"/>
      <c r="Y1" s="296" t="s">
        <v>9</v>
      </c>
      <c r="Z1" s="296"/>
      <c r="AA1" s="296" t="s">
        <v>10</v>
      </c>
      <c r="AB1" s="296"/>
      <c r="AC1" s="296" t="s">
        <v>11</v>
      </c>
      <c r="AD1" s="296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264.3478260869565</v>
      </c>
      <c r="AW4" s="173">
        <f>CdTrp1!C15</f>
        <v>261.70434782608697</v>
      </c>
      <c r="AX4" s="173">
        <f>CdTrp1!D15</f>
        <v>259.06086956521739</v>
      </c>
      <c r="AY4" s="173">
        <f>CdTrp1!E15</f>
        <v>257.73913043478262</v>
      </c>
      <c r="AZ4" s="173">
        <f>CdTrp1!F15</f>
        <v>256.4173913043478</v>
      </c>
      <c r="BA4" s="173">
        <f>CdTrp1!G15</f>
        <v>255.09565217391304</v>
      </c>
      <c r="BB4" s="173">
        <f>CdTrp1!H15</f>
        <v>253.77391304347827</v>
      </c>
      <c r="BC4" s="173">
        <f>CdTrp1!I15</f>
        <v>252.45217391304348</v>
      </c>
      <c r="BD4" s="173">
        <f>CdTrp1!J15</f>
        <v>249.80869565217392</v>
      </c>
      <c r="BE4" s="173">
        <f>CdTrp1!K15</f>
        <v>255.09565217391304</v>
      </c>
      <c r="BF4" s="173">
        <f>CdTrp1!L15</f>
        <v>255.09565217391304</v>
      </c>
      <c r="BG4" s="173">
        <f>CdTrp1!M15</f>
        <v>255.09565217391304</v>
      </c>
      <c r="BH4" s="173">
        <f>CdTrp1!N15</f>
        <v>255.09565217391304</v>
      </c>
      <c r="BI4" s="173">
        <f>CdTrp1!O15</f>
        <v>255.09565217391304</v>
      </c>
      <c r="BJ4" s="173">
        <f>CdTrp1!P15</f>
        <v>255.09565217391304</v>
      </c>
      <c r="BK4" s="173">
        <f>CdTrp1!Q15</f>
        <v>255.09565217391304</v>
      </c>
      <c r="BL4" s="173">
        <f>CdTrp1!R15</f>
        <v>255.09565217391304</v>
      </c>
      <c r="BM4" s="173">
        <f>CdTrp1!S15</f>
        <v>255.09565217391304</v>
      </c>
      <c r="BN4" s="173">
        <f>CdTrp1!T15</f>
        <v>255.09565217391304</v>
      </c>
      <c r="BO4" s="173">
        <f>CdTrp1!U15</f>
        <v>278.88695652173914</v>
      </c>
      <c r="BP4" s="173">
        <f>CdTrp1!V15</f>
        <v>278.88695652173914</v>
      </c>
      <c r="BQ4" s="173">
        <f>CdTrp1!W15</f>
        <v>264.3478260869565</v>
      </c>
      <c r="BR4" s="173">
        <f>CdTrp1!X15</f>
        <v>264.3478260869565</v>
      </c>
      <c r="BS4" s="173">
        <f>CdTrp1!Y15</f>
        <v>264.3478260869565</v>
      </c>
      <c r="BZ4" s="189" t="str">
        <f>+CdTrp2!A15</f>
        <v xml:space="preserve">vaches </v>
      </c>
      <c r="CA4" s="172"/>
      <c r="CB4" s="270">
        <f>CdTrp2!B15</f>
        <v>14.44</v>
      </c>
      <c r="CC4" s="270">
        <f>CdTrp2!C15</f>
        <v>14.44</v>
      </c>
      <c r="CD4" s="270">
        <f>CdTrp2!D15</f>
        <v>14.44</v>
      </c>
      <c r="CE4" s="270">
        <f>CdTrp2!E15</f>
        <v>14.44</v>
      </c>
      <c r="CF4" s="270">
        <f>CdTrp2!F15</f>
        <v>14.44</v>
      </c>
      <c r="CG4" s="270">
        <f>CdTrp2!G15</f>
        <v>14.44</v>
      </c>
      <c r="CH4" s="270">
        <f>CdTrp2!H15</f>
        <v>14.44</v>
      </c>
      <c r="CI4" s="270">
        <f>CdTrp2!I15</f>
        <v>14.44</v>
      </c>
      <c r="CJ4" s="270">
        <f>CdTrp2!J15</f>
        <v>14.44</v>
      </c>
      <c r="CK4" s="270">
        <f>CdTrp2!K15</f>
        <v>14.44</v>
      </c>
      <c r="CL4" s="270">
        <f>CdTrp2!L15</f>
        <v>14.44</v>
      </c>
      <c r="CM4" s="270">
        <f>CdTrp2!M15</f>
        <v>14.44</v>
      </c>
      <c r="CN4" s="270">
        <f>CdTrp2!N15</f>
        <v>14.44</v>
      </c>
      <c r="CO4" s="270">
        <f>CdTrp2!O15</f>
        <v>14.44</v>
      </c>
      <c r="CP4" s="270">
        <f>CdTrp2!P15</f>
        <v>14.44</v>
      </c>
      <c r="CQ4" s="270">
        <f>CdTrp2!Q15</f>
        <v>14.44</v>
      </c>
      <c r="CR4" s="270">
        <f>CdTrp2!R15</f>
        <v>13.68</v>
      </c>
      <c r="CS4" s="270">
        <f>CdTrp2!S15</f>
        <v>13.68</v>
      </c>
      <c r="CT4" s="270">
        <f>CdTrp2!T15</f>
        <v>13.68</v>
      </c>
      <c r="CU4" s="270">
        <f>CdTrp2!U15</f>
        <v>13.68</v>
      </c>
      <c r="CV4" s="270">
        <f>CdTrp2!V15</f>
        <v>14.44</v>
      </c>
      <c r="CW4" s="270">
        <f>CdTrp2!W15</f>
        <v>14.44</v>
      </c>
      <c r="CX4" s="270">
        <f>CdTrp2!X15</f>
        <v>14.44</v>
      </c>
      <c r="CY4" s="270">
        <f>CdTrp2!Y15</f>
        <v>14.44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1015</v>
      </c>
      <c r="G5" s="173">
        <f>AV117</f>
        <v>49</v>
      </c>
      <c r="H5" s="173">
        <f t="shared" ref="H5:AD5" si="0">AW117</f>
        <v>49</v>
      </c>
      <c r="I5" s="173">
        <f t="shared" si="0"/>
        <v>49</v>
      </c>
      <c r="J5" s="173">
        <f t="shared" si="0"/>
        <v>63</v>
      </c>
      <c r="K5" s="173">
        <f t="shared" si="0"/>
        <v>63</v>
      </c>
      <c r="L5" s="173">
        <f t="shared" si="0"/>
        <v>77</v>
      </c>
      <c r="M5" s="173">
        <f t="shared" si="0"/>
        <v>77</v>
      </c>
      <c r="N5" s="173">
        <f t="shared" si="0"/>
        <v>77</v>
      </c>
      <c r="O5" s="173">
        <f t="shared" si="0"/>
        <v>70</v>
      </c>
      <c r="P5" s="173">
        <f t="shared" si="0"/>
        <v>28</v>
      </c>
      <c r="Q5" s="173">
        <f t="shared" si="0"/>
        <v>28</v>
      </c>
      <c r="R5" s="173">
        <f t="shared" si="0"/>
        <v>14</v>
      </c>
      <c r="S5" s="173">
        <f t="shared" si="0"/>
        <v>14</v>
      </c>
      <c r="T5" s="173">
        <f t="shared" si="0"/>
        <v>14</v>
      </c>
      <c r="U5" s="173">
        <f t="shared" si="0"/>
        <v>14</v>
      </c>
      <c r="V5" s="173">
        <f t="shared" si="0"/>
        <v>14</v>
      </c>
      <c r="W5" s="173">
        <f t="shared" si="0"/>
        <v>14</v>
      </c>
      <c r="X5" s="173">
        <f t="shared" si="0"/>
        <v>14</v>
      </c>
      <c r="Y5" s="173">
        <f t="shared" si="0"/>
        <v>28</v>
      </c>
      <c r="Z5" s="173">
        <f t="shared" si="0"/>
        <v>63</v>
      </c>
      <c r="AA5" s="173">
        <f t="shared" si="0"/>
        <v>49</v>
      </c>
      <c r="AB5" s="173">
        <f t="shared" si="0"/>
        <v>49</v>
      </c>
      <c r="AC5" s="173">
        <f t="shared" si="0"/>
        <v>49</v>
      </c>
      <c r="AD5" s="173">
        <f t="shared" si="0"/>
        <v>49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25.11304347826087</v>
      </c>
      <c r="AW5" s="173">
        <f>CdTrp1!C16</f>
        <v>25.11304347826087</v>
      </c>
      <c r="AX5" s="173">
        <f>CdTrp1!D16</f>
        <v>25.11304347826087</v>
      </c>
      <c r="AY5" s="173">
        <f>CdTrp1!E16</f>
        <v>25.11304347826087</v>
      </c>
      <c r="AZ5" s="173">
        <f>CdTrp1!F16</f>
        <v>25.11304347826087</v>
      </c>
      <c r="BA5" s="173">
        <f>CdTrp1!G16</f>
        <v>25.11304347826087</v>
      </c>
      <c r="BB5" s="173">
        <f>CdTrp1!H16</f>
        <v>25.11304347826087</v>
      </c>
      <c r="BC5" s="173">
        <f>CdTrp1!I16</f>
        <v>25.11304347826087</v>
      </c>
      <c r="BD5" s="173">
        <f>CdTrp1!J16</f>
        <v>25.11304347826087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25.11304347826087</v>
      </c>
      <c r="BP5" s="173">
        <f>CdTrp1!V16</f>
        <v>25.11304347826087</v>
      </c>
      <c r="BQ5" s="173">
        <f>CdTrp1!W16</f>
        <v>25.11304347826087</v>
      </c>
      <c r="BR5" s="173">
        <f>CdTrp1!X16</f>
        <v>25.11304347826087</v>
      </c>
      <c r="BS5" s="173">
        <f>CdTrp1!Y16</f>
        <v>25.11304347826087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1.52</v>
      </c>
      <c r="CH5" s="270">
        <f>CdTrp2!H16</f>
        <v>3.04</v>
      </c>
      <c r="CI5" s="270">
        <f>CdTrp2!I16</f>
        <v>4.5599999999999996</v>
      </c>
      <c r="CJ5" s="270">
        <f>CdTrp2!J16</f>
        <v>4.5599999999999996</v>
      </c>
      <c r="CK5" s="270">
        <f>CdTrp2!K16</f>
        <v>4.5599999999999996</v>
      </c>
      <c r="CL5" s="270">
        <f>CdTrp2!L16</f>
        <v>4.5599999999999996</v>
      </c>
      <c r="CM5" s="270">
        <f>CdTrp2!M16</f>
        <v>4.5599999999999996</v>
      </c>
      <c r="CN5" s="270">
        <f>CdTrp2!N16</f>
        <v>4.5599999999999996</v>
      </c>
      <c r="CO5" s="270">
        <f>CdTrp2!O16</f>
        <v>4.5599999999999996</v>
      </c>
      <c r="CP5" s="270">
        <f>CdTrp2!P16</f>
        <v>4.5599999999999996</v>
      </c>
      <c r="CQ5" s="270">
        <f>CdTrp2!Q16</f>
        <v>4.5599999999999996</v>
      </c>
      <c r="CR5" s="270">
        <f>CdTrp2!R16</f>
        <v>4.5599999999999996</v>
      </c>
      <c r="CS5" s="270">
        <f>CdTrp2!S16</f>
        <v>4.5599999999999996</v>
      </c>
      <c r="CT5" s="270">
        <f>CdTrp2!T16</f>
        <v>3.8</v>
      </c>
      <c r="CU5" s="270">
        <f>CdTrp2!U16</f>
        <v>3.8</v>
      </c>
      <c r="CV5" s="270">
        <f>CdTrp2!V16</f>
        <v>1.52</v>
      </c>
      <c r="CW5" s="270">
        <f>CdTrp2!W16</f>
        <v>0.76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189</v>
      </c>
      <c r="G6" s="173">
        <f>CB117</f>
        <v>0</v>
      </c>
      <c r="H6" s="173">
        <f t="shared" ref="H6:AD6" si="2">CC117</f>
        <v>0</v>
      </c>
      <c r="I6" s="173">
        <f t="shared" si="2"/>
        <v>5.25</v>
      </c>
      <c r="J6" s="173">
        <f t="shared" si="2"/>
        <v>5.25</v>
      </c>
      <c r="K6" s="173">
        <f t="shared" si="2"/>
        <v>5.25</v>
      </c>
      <c r="L6" s="173">
        <f t="shared" si="2"/>
        <v>8.75</v>
      </c>
      <c r="M6" s="173">
        <f t="shared" si="2"/>
        <v>19.25</v>
      </c>
      <c r="N6" s="173">
        <f t="shared" si="2"/>
        <v>19.25</v>
      </c>
      <c r="O6" s="173">
        <f t="shared" si="2"/>
        <v>22.75</v>
      </c>
      <c r="P6" s="173">
        <f t="shared" si="2"/>
        <v>22.75</v>
      </c>
      <c r="Q6" s="173">
        <f t="shared" si="2"/>
        <v>14</v>
      </c>
      <c r="R6" s="173">
        <f t="shared" si="2"/>
        <v>14</v>
      </c>
      <c r="S6" s="173">
        <f t="shared" si="2"/>
        <v>14</v>
      </c>
      <c r="T6" s="173">
        <f t="shared" si="2"/>
        <v>12.25</v>
      </c>
      <c r="U6" s="173">
        <f t="shared" si="2"/>
        <v>12.25</v>
      </c>
      <c r="V6" s="173">
        <f t="shared" si="2"/>
        <v>12.25</v>
      </c>
      <c r="W6" s="173">
        <f t="shared" si="2"/>
        <v>14</v>
      </c>
      <c r="X6" s="173">
        <f t="shared" si="2"/>
        <v>14</v>
      </c>
      <c r="Y6" s="173">
        <f t="shared" si="2"/>
        <v>22.75</v>
      </c>
      <c r="Z6" s="173">
        <f t="shared" si="2"/>
        <v>21</v>
      </c>
      <c r="AA6" s="173">
        <f t="shared" si="2"/>
        <v>28</v>
      </c>
      <c r="AB6" s="173">
        <f t="shared" si="2"/>
        <v>28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68.730434782608697</v>
      </c>
      <c r="AW6" s="173">
        <f>CdTrp1!C17</f>
        <v>68.730434782608697</v>
      </c>
      <c r="AX6" s="173">
        <f>CdTrp1!D17</f>
        <v>68.730434782608697</v>
      </c>
      <c r="AY6" s="173">
        <f>CdTrp1!E17</f>
        <v>68.730434782608697</v>
      </c>
      <c r="AZ6" s="173">
        <f>CdTrp1!F17</f>
        <v>68.730434782608697</v>
      </c>
      <c r="BA6" s="173">
        <f>CdTrp1!G17</f>
        <v>68.730434782608697</v>
      </c>
      <c r="BB6" s="173">
        <f>CdTrp1!H17</f>
        <v>68.730434782608697</v>
      </c>
      <c r="BC6" s="173">
        <f>CdTrp1!I17</f>
        <v>68.730434782608697</v>
      </c>
      <c r="BD6" s="173">
        <f>CdTrp1!J17</f>
        <v>68.730434782608697</v>
      </c>
      <c r="BE6" s="173">
        <f>CdTrp1!K17</f>
        <v>68.730434782608697</v>
      </c>
      <c r="BF6" s="173">
        <f>CdTrp1!L17</f>
        <v>68.730434782608697</v>
      </c>
      <c r="BG6" s="173">
        <f>CdTrp1!M17</f>
        <v>68.730434782608697</v>
      </c>
      <c r="BH6" s="173">
        <f>CdTrp1!N17</f>
        <v>68.730434782608697</v>
      </c>
      <c r="BI6" s="173">
        <f>CdTrp1!O17</f>
        <v>68.730434782608697</v>
      </c>
      <c r="BJ6" s="173">
        <f>CdTrp1!P17</f>
        <v>68.730434782608697</v>
      </c>
      <c r="BK6" s="173">
        <f>CdTrp1!Q17</f>
        <v>68.730434782608697</v>
      </c>
      <c r="BL6" s="173">
        <f>CdTrp1!R17</f>
        <v>68.730434782608697</v>
      </c>
      <c r="BM6" s="173">
        <f>CdTrp1!S17</f>
        <v>68.730434782608697</v>
      </c>
      <c r="BN6" s="173">
        <f>CdTrp1!T17</f>
        <v>68.730434782608697</v>
      </c>
      <c r="BO6" s="173">
        <f>CdTrp1!U17</f>
        <v>0</v>
      </c>
      <c r="BP6" s="173">
        <f>CdTrp1!V17</f>
        <v>0</v>
      </c>
      <c r="BQ6" s="173">
        <f>CdTrp1!W17</f>
        <v>68.730434782608697</v>
      </c>
      <c r="BR6" s="173">
        <f>CdTrp1!X17</f>
        <v>68.730434782608697</v>
      </c>
      <c r="BS6" s="173">
        <f>CdTrp1!Y17</f>
        <v>68.730434782608697</v>
      </c>
      <c r="BZ6" s="189" t="str">
        <f>+CdTrp2!A17</f>
        <v>genisses +1an</v>
      </c>
      <c r="CA6" s="172"/>
      <c r="CB6" s="270">
        <f>CdTrp2!B17</f>
        <v>9.1199999999999992</v>
      </c>
      <c r="CC6" s="270">
        <f>CdTrp2!C17</f>
        <v>9.1199999999999992</v>
      </c>
      <c r="CD6" s="270">
        <f>CdTrp2!D17</f>
        <v>9.1199999999999992</v>
      </c>
      <c r="CE6" s="270">
        <f>CdTrp2!E17</f>
        <v>9.1199999999999992</v>
      </c>
      <c r="CF6" s="270">
        <f>CdTrp2!F17</f>
        <v>9.1199999999999992</v>
      </c>
      <c r="CG6" s="270">
        <f>CdTrp2!G17</f>
        <v>9.1199999999999992</v>
      </c>
      <c r="CH6" s="270">
        <f>CdTrp2!H17</f>
        <v>9.1199999999999992</v>
      </c>
      <c r="CI6" s="270">
        <f>CdTrp2!I17</f>
        <v>9.1199999999999992</v>
      </c>
      <c r="CJ6" s="270">
        <f>CdTrp2!J17</f>
        <v>9.1199999999999992</v>
      </c>
      <c r="CK6" s="270">
        <f>CdTrp2!K17</f>
        <v>9.1199999999999992</v>
      </c>
      <c r="CL6" s="270">
        <f>CdTrp2!L17</f>
        <v>9.1199999999999992</v>
      </c>
      <c r="CM6" s="270">
        <f>CdTrp2!M17</f>
        <v>9.1199999999999992</v>
      </c>
      <c r="CN6" s="270">
        <f>CdTrp2!N17</f>
        <v>9.1199999999999992</v>
      </c>
      <c r="CO6" s="270">
        <f>CdTrp2!O17</f>
        <v>9.1199999999999992</v>
      </c>
      <c r="CP6" s="270">
        <f>CdTrp2!P17</f>
        <v>9.1199999999999992</v>
      </c>
      <c r="CQ6" s="270">
        <f>CdTrp2!Q17</f>
        <v>9.1199999999999992</v>
      </c>
      <c r="CR6" s="270">
        <f>CdTrp2!R17</f>
        <v>9.1199999999999992</v>
      </c>
      <c r="CS6" s="270">
        <f>CdTrp2!S17</f>
        <v>9.1199999999999992</v>
      </c>
      <c r="CT6" s="270">
        <f>CdTrp2!T17</f>
        <v>9.1199999999999992</v>
      </c>
      <c r="CU6" s="270">
        <f>CdTrp2!U17</f>
        <v>9.1199999999999992</v>
      </c>
      <c r="CV6" s="270">
        <f>CdTrp2!V17</f>
        <v>9.1199999999999992</v>
      </c>
      <c r="CW6" s="270">
        <f>CdTrp2!W17</f>
        <v>9.1199999999999992</v>
      </c>
      <c r="CX6" s="270">
        <f>CdTrp2!X17</f>
        <v>9.1199999999999992</v>
      </c>
      <c r="CY6" s="270">
        <f>CdTrp2!Y17</f>
        <v>9.1199999999999992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7.9304347826086961</v>
      </c>
      <c r="AW7" s="173">
        <f>CdTrp1!C18</f>
        <v>7.9304347826086961</v>
      </c>
      <c r="AX7" s="173">
        <f>CdTrp1!D18</f>
        <v>7.9304347826086961</v>
      </c>
      <c r="AY7" s="173">
        <f>CdTrp1!E18</f>
        <v>7.9304347826086961</v>
      </c>
      <c r="AZ7" s="173">
        <f>CdTrp1!F18</f>
        <v>7.9304347826086961</v>
      </c>
      <c r="BA7" s="173">
        <f>CdTrp1!G18</f>
        <v>7.9304347826086961</v>
      </c>
      <c r="BB7" s="173">
        <f>CdTrp1!H18</f>
        <v>7.9304347826086961</v>
      </c>
      <c r="BC7" s="173">
        <f>CdTrp1!I18</f>
        <v>7.9304347826086961</v>
      </c>
      <c r="BD7" s="173">
        <f>CdTrp1!J18</f>
        <v>7.9304347826086961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7.9304347826086961</v>
      </c>
      <c r="BP7" s="173">
        <f>CdTrp1!V18</f>
        <v>7.9304347826086961</v>
      </c>
      <c r="BQ7" s="173">
        <f>CdTrp1!W18</f>
        <v>7.9304347826086961</v>
      </c>
      <c r="BR7" s="173">
        <f>CdTrp1!X18</f>
        <v>7.9304347826086961</v>
      </c>
      <c r="BS7" s="173">
        <f>CdTrp1!Y18</f>
        <v>7.9304347826086961</v>
      </c>
      <c r="BZ7" s="189" t="str">
        <f>+CdTrp2!A18</f>
        <v>lot4</v>
      </c>
      <c r="CA7" s="172"/>
      <c r="CB7" s="270">
        <f>CdTrp2!B18</f>
        <v>0</v>
      </c>
      <c r="CC7" s="270">
        <f>CdTrp2!C18</f>
        <v>0</v>
      </c>
      <c r="CD7" s="270">
        <f>CdTrp2!D18</f>
        <v>0</v>
      </c>
      <c r="CE7" s="270">
        <f>CdTrp2!E18</f>
        <v>0</v>
      </c>
      <c r="CF7" s="270">
        <f>CdTrp2!F18</f>
        <v>0</v>
      </c>
      <c r="CG7" s="270">
        <f>CdTrp2!G18</f>
        <v>0</v>
      </c>
      <c r="CH7" s="270">
        <f>CdTrp2!H18</f>
        <v>0</v>
      </c>
      <c r="CI7" s="270">
        <f>CdTrp2!I18</f>
        <v>0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0</v>
      </c>
      <c r="CU7" s="270">
        <f>CdTrp2!U18</f>
        <v>0</v>
      </c>
      <c r="CV7" s="270">
        <f>CdTrp2!V18</f>
        <v>0</v>
      </c>
      <c r="CW7" s="270">
        <f>CdTrp2!W18</f>
        <v>0</v>
      </c>
      <c r="CX7" s="270">
        <f>CdTrp2!X18</f>
        <v>0</v>
      </c>
      <c r="CY7" s="270">
        <f>CdTrp2!Y18</f>
        <v>0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871.15547826086947</v>
      </c>
      <c r="G9" s="30">
        <f>AV102</f>
        <v>52.786695652173911</v>
      </c>
      <c r="H9" s="30">
        <f t="shared" ref="H9:AD9" si="4">AW102</f>
        <v>52.694173913043478</v>
      </c>
      <c r="I9" s="30">
        <f t="shared" si="4"/>
        <v>52.601652173913045</v>
      </c>
      <c r="J9" s="30">
        <f t="shared" si="4"/>
        <v>52.555391304347829</v>
      </c>
      <c r="K9" s="30">
        <f t="shared" si="4"/>
        <v>52.509130434782605</v>
      </c>
      <c r="L9" s="30">
        <f t="shared" si="4"/>
        <v>31.462869565217389</v>
      </c>
      <c r="M9" s="30">
        <f t="shared" si="4"/>
        <v>31.416608695652172</v>
      </c>
      <c r="N9" s="30">
        <f t="shared" si="4"/>
        <v>31.370347826086956</v>
      </c>
      <c r="O9" s="30">
        <f t="shared" si="4"/>
        <v>31.277826086956523</v>
      </c>
      <c r="P9" s="30">
        <f t="shared" si="4"/>
        <v>30.583913043478262</v>
      </c>
      <c r="Q9" s="30">
        <f t="shared" si="4"/>
        <v>30.583913043478262</v>
      </c>
      <c r="R9" s="30">
        <f t="shared" si="4"/>
        <v>21.655565217391306</v>
      </c>
      <c r="S9" s="30">
        <f t="shared" si="4"/>
        <v>21.655565217391306</v>
      </c>
      <c r="T9" s="30">
        <f t="shared" si="4"/>
        <v>21.655565217391306</v>
      </c>
      <c r="U9" s="30">
        <f t="shared" si="4"/>
        <v>21.655565217391306</v>
      </c>
      <c r="V9" s="30">
        <f t="shared" si="4"/>
        <v>21.655565217391306</v>
      </c>
      <c r="W9" s="30">
        <f t="shared" si="4"/>
        <v>21.655565217391306</v>
      </c>
      <c r="X9" s="30">
        <f t="shared" si="4"/>
        <v>21.655565217391306</v>
      </c>
      <c r="Y9" s="30">
        <f t="shared" si="4"/>
        <v>30.583913043478262</v>
      </c>
      <c r="Z9" s="30">
        <f t="shared" si="4"/>
        <v>29.89</v>
      </c>
      <c r="AA9" s="30">
        <f t="shared" si="4"/>
        <v>50.89</v>
      </c>
      <c r="AB9" s="30">
        <f t="shared" si="4"/>
        <v>52.786695652173911</v>
      </c>
      <c r="AC9" s="30">
        <f t="shared" si="4"/>
        <v>52.786695652173911</v>
      </c>
      <c r="AD9" s="30">
        <f t="shared" si="4"/>
        <v>52.786695652173911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2705.1554782608696</v>
      </c>
      <c r="G13" s="30">
        <f>SUM(G5:G11)</f>
        <v>143.7866956521739</v>
      </c>
      <c r="H13" s="30">
        <f t="shared" ref="H13:AD13" si="8">SUM(H5:H11)</f>
        <v>143.69417391304347</v>
      </c>
      <c r="I13" s="30">
        <f t="shared" si="8"/>
        <v>148.85165217391304</v>
      </c>
      <c r="J13" s="30">
        <f t="shared" si="8"/>
        <v>162.80539130434784</v>
      </c>
      <c r="K13" s="30">
        <f t="shared" si="8"/>
        <v>162.75913043478261</v>
      </c>
      <c r="L13" s="30">
        <f t="shared" si="8"/>
        <v>159.21286956521737</v>
      </c>
      <c r="M13" s="30">
        <f t="shared" si="8"/>
        <v>148.66660869565217</v>
      </c>
      <c r="N13" s="30">
        <f t="shared" si="8"/>
        <v>148.62034782608697</v>
      </c>
      <c r="O13" s="30">
        <f t="shared" si="8"/>
        <v>145.02782608695651</v>
      </c>
      <c r="P13" s="30">
        <f t="shared" si="8"/>
        <v>102.33391304347826</v>
      </c>
      <c r="Q13" s="30">
        <f t="shared" si="8"/>
        <v>72.583913043478262</v>
      </c>
      <c r="R13" s="30">
        <f t="shared" si="8"/>
        <v>49.655565217391306</v>
      </c>
      <c r="S13" s="30">
        <f t="shared" si="8"/>
        <v>49.655565217391306</v>
      </c>
      <c r="T13" s="30">
        <f t="shared" si="8"/>
        <v>47.905565217391306</v>
      </c>
      <c r="U13" s="30">
        <f t="shared" si="8"/>
        <v>47.905565217391306</v>
      </c>
      <c r="V13" s="30">
        <f t="shared" si="8"/>
        <v>47.905565217391306</v>
      </c>
      <c r="W13" s="30">
        <f t="shared" si="8"/>
        <v>49.655565217391306</v>
      </c>
      <c r="X13" s="30">
        <f t="shared" si="8"/>
        <v>49.655565217391306</v>
      </c>
      <c r="Y13" s="30">
        <f t="shared" si="8"/>
        <v>102.33391304347826</v>
      </c>
      <c r="Z13" s="30">
        <f t="shared" si="8"/>
        <v>134.88999999999999</v>
      </c>
      <c r="AA13" s="30">
        <f t="shared" si="8"/>
        <v>148.88999999999999</v>
      </c>
      <c r="AB13" s="30">
        <f t="shared" si="8"/>
        <v>150.7866956521739</v>
      </c>
      <c r="AC13" s="30">
        <f t="shared" si="8"/>
        <v>143.7866956521739</v>
      </c>
      <c r="AD13" s="30">
        <f t="shared" si="8"/>
        <v>143.7866956521739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1</v>
      </c>
      <c r="C16" s="190">
        <f>VALUE(LEFT(Scénario!K57,1))</f>
        <v>4</v>
      </c>
      <c r="D16" s="190">
        <f>IF(B16&gt;0,VLOOKUP(C16,[1]Trav!$A$86:$D$90,4),0)</f>
        <v>112</v>
      </c>
      <c r="E16" s="190">
        <f>Scénario!K54*2</f>
        <v>7</v>
      </c>
      <c r="F16" s="173">
        <f>IF(B16&gt;0,D16*E16/B16,0)</f>
        <v>784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0</v>
      </c>
      <c r="C17" s="190">
        <f>VALUE(LEFT(Scénario!K64,1))</f>
        <v>1</v>
      </c>
      <c r="D17" s="190">
        <f>IF(B17&gt;0,VLOOKUP(C17,[1]Trav!$A$86:$D$90,4),0)</f>
        <v>0</v>
      </c>
      <c r="E17" s="190">
        <f>Scénario!K61*2</f>
        <v>0</v>
      </c>
      <c r="F17" s="173">
        <f t="shared" ref="F17:F18" si="15">IF(B17&gt;0,D17*E17/B17,0)</f>
        <v>0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0</v>
      </c>
      <c r="F20" s="173">
        <f>D20*E20</f>
        <v>0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0</v>
      </c>
      <c r="F21" s="173">
        <f t="shared" ref="F21:F22" si="16">D21*E21</f>
        <v>0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fort</v>
      </c>
      <c r="AV27" s="173">
        <f t="shared" si="17"/>
        <v>2</v>
      </c>
      <c r="AW27" s="173">
        <f t="shared" si="17"/>
        <v>2</v>
      </c>
      <c r="AX27" s="173">
        <f t="shared" si="17"/>
        <v>2</v>
      </c>
      <c r="AY27" s="173">
        <f t="shared" si="17"/>
        <v>2</v>
      </c>
      <c r="AZ27" s="173">
        <f t="shared" si="17"/>
        <v>2</v>
      </c>
      <c r="BA27" s="173">
        <f t="shared" si="17"/>
        <v>2</v>
      </c>
      <c r="BB27" s="173">
        <f t="shared" si="17"/>
        <v>2</v>
      </c>
      <c r="BC27" s="173">
        <f t="shared" si="17"/>
        <v>2</v>
      </c>
      <c r="BD27" s="173">
        <f t="shared" si="17"/>
        <v>2</v>
      </c>
      <c r="BE27" s="173">
        <f t="shared" si="17"/>
        <v>2</v>
      </c>
      <c r="BF27" s="173">
        <f t="shared" si="17"/>
        <v>2</v>
      </c>
      <c r="BG27" s="173">
        <f t="shared" si="17"/>
        <v>2</v>
      </c>
      <c r="BH27" s="173">
        <f t="shared" si="17"/>
        <v>2</v>
      </c>
      <c r="BI27" s="173">
        <f t="shared" si="17"/>
        <v>2</v>
      </c>
      <c r="BJ27" s="173">
        <f t="shared" si="17"/>
        <v>2</v>
      </c>
      <c r="BK27" s="173">
        <f t="shared" si="17"/>
        <v>2</v>
      </c>
      <c r="BL27" s="173">
        <f t="shared" si="18"/>
        <v>2</v>
      </c>
      <c r="BM27" s="173">
        <f t="shared" si="18"/>
        <v>2</v>
      </c>
      <c r="BN27" s="173">
        <f t="shared" si="18"/>
        <v>2</v>
      </c>
      <c r="BO27" s="173">
        <f t="shared" si="18"/>
        <v>2</v>
      </c>
      <c r="BP27" s="173">
        <f t="shared" si="18"/>
        <v>2</v>
      </c>
      <c r="BQ27" s="173">
        <f t="shared" si="18"/>
        <v>2</v>
      </c>
      <c r="BR27" s="173">
        <f t="shared" si="18"/>
        <v>2</v>
      </c>
      <c r="BS27" s="173">
        <f t="shared" si="18"/>
        <v>2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fort</v>
      </c>
      <c r="AV29" s="173">
        <f t="shared" si="17"/>
        <v>2</v>
      </c>
      <c r="AW29" s="173">
        <f t="shared" si="17"/>
        <v>2</v>
      </c>
      <c r="AX29" s="173">
        <f t="shared" si="17"/>
        <v>2</v>
      </c>
      <c r="AY29" s="173">
        <f t="shared" si="17"/>
        <v>2</v>
      </c>
      <c r="AZ29" s="173">
        <f t="shared" si="17"/>
        <v>2</v>
      </c>
      <c r="BA29" s="173">
        <f t="shared" si="17"/>
        <v>2</v>
      </c>
      <c r="BB29" s="173">
        <f t="shared" si="17"/>
        <v>2</v>
      </c>
      <c r="BC29" s="173">
        <f t="shared" si="17"/>
        <v>2</v>
      </c>
      <c r="BD29" s="173">
        <f t="shared" si="17"/>
        <v>2</v>
      </c>
      <c r="BE29" s="173">
        <f t="shared" si="17"/>
        <v>2</v>
      </c>
      <c r="BF29" s="173">
        <f t="shared" si="17"/>
        <v>2</v>
      </c>
      <c r="BG29" s="173">
        <f t="shared" si="17"/>
        <v>2</v>
      </c>
      <c r="BH29" s="173">
        <f t="shared" si="17"/>
        <v>2</v>
      </c>
      <c r="BI29" s="173">
        <f t="shared" si="17"/>
        <v>2</v>
      </c>
      <c r="BJ29" s="173">
        <f t="shared" si="17"/>
        <v>2</v>
      </c>
      <c r="BK29" s="173">
        <f t="shared" si="17"/>
        <v>2</v>
      </c>
      <c r="BL29" s="173">
        <f t="shared" si="18"/>
        <v>2</v>
      </c>
      <c r="BM29" s="173">
        <f t="shared" si="18"/>
        <v>2</v>
      </c>
      <c r="BN29" s="173">
        <f t="shared" si="18"/>
        <v>2</v>
      </c>
      <c r="BO29" s="173">
        <f t="shared" si="18"/>
        <v>2</v>
      </c>
      <c r="BP29" s="173">
        <f t="shared" si="18"/>
        <v>2</v>
      </c>
      <c r="BQ29" s="173">
        <f t="shared" si="18"/>
        <v>2</v>
      </c>
      <c r="BR29" s="173">
        <f t="shared" si="18"/>
        <v>2</v>
      </c>
      <c r="BS29" s="173">
        <f t="shared" si="18"/>
        <v>2</v>
      </c>
      <c r="BZ29" s="189" t="str">
        <f t="shared" si="19"/>
        <v>lot4</v>
      </c>
      <c r="CA29" s="192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288</v>
      </c>
      <c r="C31" s="190">
        <f>IF(B31&gt;0,VLOOKUP(Troupeau!B3,[1]Trav!$A$96:$B$99,2),0)</f>
        <v>110</v>
      </c>
      <c r="D31" s="172"/>
      <c r="E31" s="172"/>
      <c r="F31" s="173">
        <f>B31*C31/60</f>
        <v>528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14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84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273</v>
      </c>
      <c r="D35" s="190">
        <f>IF(Troupeau!B3="OL",[1]Trav!$B$103,0)</f>
        <v>2.4900000000000002</v>
      </c>
      <c r="E35" s="172"/>
      <c r="F35" s="173">
        <f>B35+C35*D35</f>
        <v>899.7700000000001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1</v>
      </c>
      <c r="BH37" s="173">
        <f>IF(CdTrp1!N52=1,3,IF(CdTrp1!N52=0.5,2,IF(CdTrp1!N52=0,1,0)))</f>
        <v>1</v>
      </c>
      <c r="BI37" s="173">
        <f>IF(CdTrp1!O52=1,3,IF(CdTrp1!O52=0.5,2,IF(CdTrp1!O52=0,1,0)))</f>
        <v>1</v>
      </c>
      <c r="BJ37" s="173">
        <f>IF(CdTrp1!P52=1,3,IF(CdTrp1!P52=0.5,2,IF(CdTrp1!P52=0,1,0)))</f>
        <v>1</v>
      </c>
      <c r="BK37" s="173">
        <f>IF(CdTrp1!Q52=1,3,IF(CdTrp1!Q52=0.5,2,IF(CdTrp1!Q52=0,1,0)))</f>
        <v>1</v>
      </c>
      <c r="BL37" s="173">
        <f>IF(CdTrp1!R52=1,3,IF(CdTrp1!R52=0.5,2,IF(CdTrp1!R52=0,1,0)))</f>
        <v>1</v>
      </c>
      <c r="BM37" s="173">
        <f>IF(CdTrp1!S52=1,3,IF(CdTrp1!S52=0.5,2,IF(CdTrp1!S52=0,1,0)))</f>
        <v>1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2</v>
      </c>
      <c r="CI37" s="173">
        <f>IF(CdTrp2!I52=1,3,IF(CdTrp2!I52=0.5,2,IF(CdTrp2!I52=0,1,0)))</f>
        <v>2</v>
      </c>
      <c r="CJ37" s="173">
        <f>IF(CdTrp2!J52=1,3,IF(CdTrp2!J52=0.5,2,IF(CdTrp2!J52=0,1,0)))</f>
        <v>2</v>
      </c>
      <c r="CK37" s="173">
        <f>IF(CdTrp2!K52=1,3,IF(CdTrp2!K52=0.5,2,IF(CdTrp2!K52=0,1,0)))</f>
        <v>2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2</v>
      </c>
      <c r="CU37" s="173">
        <f>IF(CdTrp2!U52=1,3,IF(CdTrp2!U52=0.5,2,IF(CdTrp2!U52=0,1,0)))</f>
        <v>2</v>
      </c>
      <c r="CV37" s="173">
        <f>IF(CdTrp2!V52=1,3,IF(CdTrp2!V52=0.5,2,IF(CdTrp2!V52=0,1,0)))</f>
        <v>2</v>
      </c>
      <c r="CW37" s="173">
        <f>IF(CdTrp2!W52=1,3,IF(CdTrp2!W52=0.5,2,IF(CdTrp2!W52=0,1,0)))</f>
        <v>2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2</v>
      </c>
      <c r="AW38" s="173">
        <f>IF(CdTrp1!C53=1,3,IF(CdTrp1!C53=0.5,2,IF(CdTrp1!C53=0,1,0)))</f>
        <v>2</v>
      </c>
      <c r="AX38" s="173">
        <f>IF(CdTrp1!D53=1,3,IF(CdTrp1!D53=0.5,2,IF(CdTrp1!D53=0,1,0)))</f>
        <v>2</v>
      </c>
      <c r="AY38" s="173">
        <f>IF(CdTrp1!E53=1,3,IF(CdTrp1!E53=0.5,2,IF(CdTrp1!E53=0,1,0)))</f>
        <v>2</v>
      </c>
      <c r="AZ38" s="173">
        <f>IF(CdTrp1!F53=1,3,IF(CdTrp1!F53=0.5,2,IF(CdTrp1!F53=0,1,0)))</f>
        <v>2</v>
      </c>
      <c r="BA38" s="173">
        <f>IF(CdTrp1!G53=1,3,IF(CdTrp1!G53=0.5,2,IF(CdTrp1!G53=0,1,0)))</f>
        <v>2</v>
      </c>
      <c r="BB38" s="173">
        <f>IF(CdTrp1!H53=1,3,IF(CdTrp1!H53=0.5,2,IF(CdTrp1!H53=0,1,0)))</f>
        <v>2</v>
      </c>
      <c r="BC38" s="173">
        <f>IF(CdTrp1!I53=1,3,IF(CdTrp1!I53=0.5,2,IF(CdTrp1!I53=0,1,0)))</f>
        <v>2</v>
      </c>
      <c r="BD38" s="173">
        <f>IF(CdTrp1!J53=1,3,IF(CdTrp1!J53=0.5,2,IF(CdTrp1!J53=0,1,0)))</f>
        <v>2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2</v>
      </c>
      <c r="BP38" s="173">
        <f>IF(CdTrp1!V53=1,3,IF(CdTrp1!V53=0.5,2,IF(CdTrp1!V53=0,1,0)))</f>
        <v>2</v>
      </c>
      <c r="BQ38" s="173">
        <f>IF(CdTrp1!W53=1,3,IF(CdTrp1!W53=0.5,2,IF(CdTrp1!W53=0,1,0)))</f>
        <v>2</v>
      </c>
      <c r="BR38" s="173">
        <f>IF(CdTrp1!X53=1,3,IF(CdTrp1!X53=0.5,2,IF(CdTrp1!X53=0,1,0)))</f>
        <v>2</v>
      </c>
      <c r="BS38" s="173">
        <f>IF(CdTrp1!Y53=1,3,IF(CdTrp1!Y53=0.5,2,IF(CdTrp1!Y53=0,1,0)))</f>
        <v>2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0</v>
      </c>
      <c r="CC38" s="173">
        <f>IF(CdTrp2!C53=1,3,IF(CdTrp2!C53=0.5,2,IF(CdTrp2!C53=0,1,0)))</f>
        <v>0</v>
      </c>
      <c r="CD38" s="173">
        <f>IF(CdTrp2!D53=1,3,IF(CdTrp2!D53=0.5,2,IF(CdTrp2!D53=0,1,0)))</f>
        <v>0</v>
      </c>
      <c r="CE38" s="173">
        <f>IF(CdTrp2!E53=1,3,IF(CdTrp2!E53=0.5,2,IF(CdTrp2!E53=0,1,0)))</f>
        <v>0</v>
      </c>
      <c r="CF38" s="173">
        <f>IF(CdTrp2!F53=1,3,IF(CdTrp2!F53=0.5,2,IF(CdTrp2!F53=0,1,0)))</f>
        <v>0</v>
      </c>
      <c r="CG38" s="173">
        <f>IF(CdTrp2!G53=1,3,IF(CdTrp2!G53=0.5,2,IF(CdTrp2!G53=0,1,0)))</f>
        <v>1</v>
      </c>
      <c r="CH38" s="173">
        <f>IF(CdTrp2!H53=1,3,IF(CdTrp2!H53=0.5,2,IF(CdTrp2!H53=0,1,0)))</f>
        <v>1</v>
      </c>
      <c r="CI38" s="173">
        <f>IF(CdTrp2!I53=1,3,IF(CdTrp2!I53=0.5,2,IF(CdTrp2!I53=0,1,0)))</f>
        <v>1</v>
      </c>
      <c r="CJ38" s="173">
        <f>IF(CdTrp2!J53=1,3,IF(CdTrp2!J53=0.5,2,IF(CdTrp2!J53=0,1,0)))</f>
        <v>1</v>
      </c>
      <c r="CK38" s="173">
        <f>IF(CdTrp2!K53=1,3,IF(CdTrp2!K53=0.5,2,IF(CdTrp2!K53=0,1,0)))</f>
        <v>1</v>
      </c>
      <c r="CL38" s="173">
        <f>IF(CdTrp2!L53=1,3,IF(CdTrp2!L53=0.5,2,IF(CdTrp2!L53=0,1,0)))</f>
        <v>1</v>
      </c>
      <c r="CM38" s="173">
        <f>IF(CdTrp2!M53=1,3,IF(CdTrp2!M53=0.5,2,IF(CdTrp2!M53=0,1,0)))</f>
        <v>1</v>
      </c>
      <c r="CN38" s="173">
        <f>IF(CdTrp2!N53=1,3,IF(CdTrp2!N53=0.5,2,IF(CdTrp2!N53=0,1,0)))</f>
        <v>1</v>
      </c>
      <c r="CO38" s="173">
        <f>IF(CdTrp2!O53=1,3,IF(CdTrp2!O53=0.5,2,IF(CdTrp2!O53=0,1,0)))</f>
        <v>1</v>
      </c>
      <c r="CP38" s="173">
        <f>IF(CdTrp2!P53=1,3,IF(CdTrp2!P53=0.5,2,IF(CdTrp2!P53=0,1,0)))</f>
        <v>1</v>
      </c>
      <c r="CQ38" s="173">
        <f>IF(CdTrp2!Q53=1,3,IF(CdTrp2!Q53=0.5,2,IF(CdTrp2!Q53=0,1,0)))</f>
        <v>1</v>
      </c>
      <c r="CR38" s="173">
        <f>IF(CdTrp2!R53=1,3,IF(CdTrp2!R53=0.5,2,IF(CdTrp2!R53=0,1,0)))</f>
        <v>1</v>
      </c>
      <c r="CS38" s="173">
        <f>IF(CdTrp2!S53=1,3,IF(CdTrp2!S53=0.5,2,IF(CdTrp2!S53=0,1,0)))</f>
        <v>1</v>
      </c>
      <c r="CT38" s="173">
        <f>IF(CdTrp2!T53=1,3,IF(CdTrp2!T53=0.5,2,IF(CdTrp2!T53=0,1,0)))</f>
        <v>1</v>
      </c>
      <c r="CU38" s="173">
        <f>IF(CdTrp2!U53=1,3,IF(CdTrp2!U53=0.5,2,IF(CdTrp2!U53=0,1,0)))</f>
        <v>1</v>
      </c>
      <c r="CV38" s="173">
        <f>IF(CdTrp2!V53=1,3,IF(CdTrp2!V53=0.5,2,IF(CdTrp2!V53=0,1,0)))</f>
        <v>2</v>
      </c>
      <c r="CW38" s="173">
        <f>IF(CdTrp2!W53=1,3,IF(CdTrp2!W53=0.5,2,IF(CdTrp2!W53=0,1,0)))</f>
        <v>2</v>
      </c>
      <c r="CX38" s="173">
        <f>IF(CdTrp2!X53=1,3,IF(CdTrp2!X53=0.5,2,IF(CdTrp2!X53=0,1,0)))</f>
        <v>0</v>
      </c>
      <c r="CY38" s="173">
        <f>IF(CdTrp2!Y53=1,3,IF(CdTrp2!Y53=0.5,2,IF(CdTrp2!Y53=0,1,0)))</f>
        <v>0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37947</v>
      </c>
      <c r="C39" s="190">
        <f>IF(B39=0,0,VLOOKUP(Troupeau!B3,[1]Trav!$A$108:$B$109,2))</f>
        <v>2.2799999999999998</v>
      </c>
      <c r="D39" s="172"/>
      <c r="E39" s="172"/>
      <c r="F39" s="173">
        <f>ROUND(B39*C39/60,0)</f>
        <v>1442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2</v>
      </c>
      <c r="BB39" s="173">
        <f>IF(CdTrp1!H54=1,3,IF(CdTrp1!H54=0.5,2,IF(CdTrp1!H54=0,1,0)))</f>
        <v>2</v>
      </c>
      <c r="BC39" s="173">
        <f>IF(CdTrp1!I54=1,3,IF(CdTrp1!I54=0.5,2,IF(CdTrp1!I54=0,1,0)))</f>
        <v>2</v>
      </c>
      <c r="BD39" s="173">
        <f>IF(CdTrp1!J54=1,3,IF(CdTrp1!J54=0.5,2,IF(CdTrp1!J54=0,1,0)))</f>
        <v>2</v>
      </c>
      <c r="BE39" s="173">
        <f>IF(CdTrp1!K54=1,3,IF(CdTrp1!K54=0.5,2,IF(CdTrp1!K54=0,1,0)))</f>
        <v>2</v>
      </c>
      <c r="BF39" s="173">
        <f>IF(CdTrp1!L54=1,3,IF(CdTrp1!L54=0.5,2,IF(CdTrp1!L54=0,1,0)))</f>
        <v>2</v>
      </c>
      <c r="BG39" s="173">
        <f>IF(CdTrp1!M54=1,3,IF(CdTrp1!M54=0.5,2,IF(CdTrp1!M54=0,1,0)))</f>
        <v>2</v>
      </c>
      <c r="BH39" s="173">
        <f>IF(CdTrp1!N54=1,3,IF(CdTrp1!N54=0.5,2,IF(CdTrp1!N54=0,1,0)))</f>
        <v>2</v>
      </c>
      <c r="BI39" s="173">
        <f>IF(CdTrp1!O54=1,3,IF(CdTrp1!O54=0.5,2,IF(CdTrp1!O54=0,1,0)))</f>
        <v>2</v>
      </c>
      <c r="BJ39" s="173">
        <f>IF(CdTrp1!P54=1,3,IF(CdTrp1!P54=0.5,2,IF(CdTrp1!P54=0,1,0)))</f>
        <v>2</v>
      </c>
      <c r="BK39" s="173">
        <f>IF(CdTrp1!Q54=1,3,IF(CdTrp1!Q54=0.5,2,IF(CdTrp1!Q54=0,1,0)))</f>
        <v>2</v>
      </c>
      <c r="BL39" s="173">
        <f>IF(CdTrp1!R54=1,3,IF(CdTrp1!R54=0.5,2,IF(CdTrp1!R54=0,1,0)))</f>
        <v>2</v>
      </c>
      <c r="BM39" s="173">
        <f>IF(CdTrp1!S54=1,3,IF(CdTrp1!S54=0.5,2,IF(CdTrp1!S54=0,1,0)))</f>
        <v>2</v>
      </c>
      <c r="BN39" s="173">
        <f>IF(CdTrp1!T54=1,3,IF(CdTrp1!T54=0.5,2,IF(CdTrp1!T54=0,1,0)))</f>
        <v>2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1</v>
      </c>
      <c r="AW40" s="173">
        <f>IF(CdTrp1!C55=1,3,IF(CdTrp1!C55=0.5,2,IF(CdTrp1!C55=0,1,0)))</f>
        <v>1</v>
      </c>
      <c r="AX40" s="173">
        <f>IF(CdTrp1!D55=1,3,IF(CdTrp1!D55=0.5,2,IF(CdTrp1!D55=0,1,0)))</f>
        <v>1</v>
      </c>
      <c r="AY40" s="173">
        <f>IF(CdTrp1!E55=1,3,IF(CdTrp1!E55=0.5,2,IF(CdTrp1!E55=0,1,0)))</f>
        <v>1</v>
      </c>
      <c r="AZ40" s="173">
        <f>IF(CdTrp1!F55=1,3,IF(CdTrp1!F55=0.5,2,IF(CdTrp1!F55=0,1,0)))</f>
        <v>1</v>
      </c>
      <c r="BA40" s="173">
        <f>IF(CdTrp1!G55=1,3,IF(CdTrp1!G55=0.5,2,IF(CdTrp1!G55=0,1,0)))</f>
        <v>1</v>
      </c>
      <c r="BB40" s="173">
        <f>IF(CdTrp1!H55=1,3,IF(CdTrp1!H55=0.5,2,IF(CdTrp1!H55=0,1,0)))</f>
        <v>1</v>
      </c>
      <c r="BC40" s="173">
        <f>IF(CdTrp1!I55=1,3,IF(CdTrp1!I55=0.5,2,IF(CdTrp1!I55=0,1,0)))</f>
        <v>1</v>
      </c>
      <c r="BD40" s="173">
        <f>IF(CdTrp1!J55=1,3,IF(CdTrp1!J55=0.5,2,IF(CdTrp1!J55=0,1,0)))</f>
        <v>1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1</v>
      </c>
      <c r="BP40" s="173">
        <f>IF(CdTrp1!V55=1,3,IF(CdTrp1!V55=0.5,2,IF(CdTrp1!V55=0,1,0)))</f>
        <v>1</v>
      </c>
      <c r="BQ40" s="173">
        <f>IF(CdTrp1!W55=1,3,IF(CdTrp1!W55=0.5,2,IF(CdTrp1!W55=0,1,0)))</f>
        <v>1</v>
      </c>
      <c r="BR40" s="173">
        <f>IF(CdTrp1!X55=1,3,IF(CdTrp1!X55=0.5,2,IF(CdTrp1!X55=0,1,0)))</f>
        <v>1</v>
      </c>
      <c r="BS40" s="173">
        <f>IF(CdTrp1!Y55=1,3,IF(CdTrp1!Y55=0.5,2,IF(CdTrp1!Y55=0,1,0)))</f>
        <v>1</v>
      </c>
      <c r="BZ40" s="189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0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1</v>
      </c>
      <c r="CI48" s="173">
        <f>IF(CdTrp2!I76=1,1,IF(CdTrp2!I76=2,2,IF(CdTrp2!I76=3,2,0)))</f>
        <v>1</v>
      </c>
      <c r="CJ48" s="173">
        <f>IF(CdTrp2!J76=1,1,IF(CdTrp2!J76=2,2,IF(CdTrp2!J76=3,2,0)))</f>
        <v>2</v>
      </c>
      <c r="CK48" s="173">
        <f>IF(CdTrp2!K76=1,1,IF(CdTrp2!K76=2,2,IF(CdTrp2!K76=3,2,0)))</f>
        <v>2</v>
      </c>
      <c r="CL48" s="173">
        <f>IF(CdTrp2!L76=1,1,IF(CdTrp2!L76=2,2,IF(CdTrp2!L76=3,2,0)))</f>
        <v>2</v>
      </c>
      <c r="CM48" s="173">
        <f>IF(CdTrp2!M76=1,1,IF(CdTrp2!M76=2,2,IF(CdTrp2!M76=3,2,0)))</f>
        <v>2</v>
      </c>
      <c r="CN48" s="173">
        <f>IF(CdTrp2!N76=1,1,IF(CdTrp2!N76=2,2,IF(CdTrp2!N76=3,2,0)))</f>
        <v>2</v>
      </c>
      <c r="CO48" s="173">
        <f>IF(CdTrp2!O76=1,1,IF(CdTrp2!O76=2,2,IF(CdTrp2!O76=3,2,0)))</f>
        <v>1</v>
      </c>
      <c r="CP48" s="173">
        <f>IF(CdTrp2!P76=1,1,IF(CdTrp2!P76=2,2,IF(CdTrp2!P76=3,2,0)))</f>
        <v>1</v>
      </c>
      <c r="CQ48" s="173">
        <f>IF(CdTrp2!Q76=1,1,IF(CdTrp2!Q76=2,2,IF(CdTrp2!Q76=3,2,0)))</f>
        <v>1</v>
      </c>
      <c r="CR48" s="173">
        <f>IF(CdTrp2!R76=1,1,IF(CdTrp2!R76=2,2,IF(CdTrp2!R76=3,2,0)))</f>
        <v>2</v>
      </c>
      <c r="CS48" s="173">
        <f>IF(CdTrp2!S76=1,1,IF(CdTrp2!S76=2,2,IF(CdTrp2!S76=3,2,0)))</f>
        <v>2</v>
      </c>
      <c r="CT48" s="173">
        <f>IF(CdTrp2!T76=1,1,IF(CdTrp2!T76=2,2,IF(CdTrp2!T76=3,2,0)))</f>
        <v>2</v>
      </c>
      <c r="CU48" s="173">
        <f>IF(CdTrp2!U76=1,1,IF(CdTrp2!U76=2,2,IF(CdTrp2!U76=3,2,0)))</f>
        <v>2</v>
      </c>
      <c r="CV48" s="173">
        <f>IF(CdTrp2!V76=1,1,IF(CdTrp2!V76=2,2,IF(CdTrp2!V76=3,2,0)))</f>
        <v>2</v>
      </c>
      <c r="CW48" s="173">
        <f>IF(CdTrp2!W76=1,1,IF(CdTrp2!W76=2,2,IF(CdTrp2!W76=3,2,0)))</f>
        <v>2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2</v>
      </c>
      <c r="AW49" s="173">
        <f>IF(CdTrp1!C77=1,1,IF(CdTrp1!C77=2,2,IF(CdTrp1!C77=3,2,0)))</f>
        <v>2</v>
      </c>
      <c r="AX49" s="173">
        <f>IF(CdTrp1!D77=1,1,IF(CdTrp1!D77=2,2,IF(CdTrp1!D77=3,2,0)))</f>
        <v>2</v>
      </c>
      <c r="AY49" s="173">
        <f>IF(CdTrp1!E77=1,1,IF(CdTrp1!E77=2,2,IF(CdTrp1!E77=3,2,0)))</f>
        <v>2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0</v>
      </c>
      <c r="BF49" s="173">
        <f>IF(CdTrp1!L77=1,1,IF(CdTrp1!L77=2,2,IF(CdTrp1!L77=3,2,0)))</f>
        <v>0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0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2</v>
      </c>
      <c r="BS49" s="173">
        <f>IF(CdTrp1!Y77=1,1,IF(CdTrp1!Y77=2,2,IF(CdTrp1!Y77=3,2,0)))</f>
        <v>2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0</v>
      </c>
      <c r="CE49" s="173">
        <f>IF(CdTrp2!E77=1,1,IF(CdTrp2!E77=2,2,IF(CdTrp2!E77=3,2,0)))</f>
        <v>0</v>
      </c>
      <c r="CF49" s="173">
        <f>IF(CdTrp2!F77=1,1,IF(CdTrp2!F77=2,2,IF(CdTrp2!F77=3,2,0)))</f>
        <v>0</v>
      </c>
      <c r="CG49" s="173">
        <f>IF(CdTrp2!G77=1,1,IF(CdTrp2!G77=2,2,IF(CdTrp2!G77=3,2,0)))</f>
        <v>1</v>
      </c>
      <c r="CH49" s="173">
        <f>IF(CdTrp2!H77=1,1,IF(CdTrp2!H77=2,2,IF(CdTrp2!H77=3,2,0)))</f>
        <v>1</v>
      </c>
      <c r="CI49" s="173">
        <f>IF(CdTrp2!I77=1,1,IF(CdTrp2!I77=2,2,IF(CdTrp2!I77=3,2,0)))</f>
        <v>1</v>
      </c>
      <c r="CJ49" s="173">
        <f>IF(CdTrp2!J77=1,1,IF(CdTrp2!J77=2,2,IF(CdTrp2!J77=3,2,0)))</f>
        <v>1</v>
      </c>
      <c r="CK49" s="173">
        <f>IF(CdTrp2!K77=1,1,IF(CdTrp2!K77=2,2,IF(CdTrp2!K77=3,2,0)))</f>
        <v>1</v>
      </c>
      <c r="CL49" s="173">
        <f>IF(CdTrp2!L77=1,1,IF(CdTrp2!L77=2,2,IF(CdTrp2!L77=3,2,0)))</f>
        <v>1</v>
      </c>
      <c r="CM49" s="173">
        <f>IF(CdTrp2!M77=1,1,IF(CdTrp2!M77=2,2,IF(CdTrp2!M77=3,2,0)))</f>
        <v>1</v>
      </c>
      <c r="CN49" s="173">
        <f>IF(CdTrp2!N77=1,1,IF(CdTrp2!N77=2,2,IF(CdTrp2!N77=3,2,0)))</f>
        <v>1</v>
      </c>
      <c r="CO49" s="173">
        <f>IF(CdTrp2!O77=1,1,IF(CdTrp2!O77=2,2,IF(CdTrp2!O77=3,2,0)))</f>
        <v>1</v>
      </c>
      <c r="CP49" s="173">
        <f>IF(CdTrp2!P77=1,1,IF(CdTrp2!P77=2,2,IF(CdTrp2!P77=3,2,0)))</f>
        <v>1</v>
      </c>
      <c r="CQ49" s="173">
        <f>IF(CdTrp2!Q77=1,1,IF(CdTrp2!Q77=2,2,IF(CdTrp2!Q77=3,2,0)))</f>
        <v>1</v>
      </c>
      <c r="CR49" s="173">
        <f>IF(CdTrp2!R77=1,1,IF(CdTrp2!R77=2,2,IF(CdTrp2!R77=3,2,0)))</f>
        <v>1</v>
      </c>
      <c r="CS49" s="173">
        <f>IF(CdTrp2!S77=1,1,IF(CdTrp2!S77=2,2,IF(CdTrp2!S77=3,2,0)))</f>
        <v>1</v>
      </c>
      <c r="CT49" s="173">
        <f>IF(CdTrp2!T77=1,1,IF(CdTrp2!T77=2,2,IF(CdTrp2!T77=3,2,0)))</f>
        <v>1</v>
      </c>
      <c r="CU49" s="173">
        <f>IF(CdTrp2!U77=1,1,IF(CdTrp2!U77=2,2,IF(CdTrp2!U77=3,2,0)))</f>
        <v>1</v>
      </c>
      <c r="CV49" s="173">
        <f>IF(CdTrp2!V77=1,1,IF(CdTrp2!V77=2,2,IF(CdTrp2!V77=3,2,0)))</f>
        <v>1</v>
      </c>
      <c r="CW49" s="173">
        <f>IF(CdTrp2!W77=1,1,IF(CdTrp2!W77=2,2,IF(CdTrp2!W77=3,2,0)))</f>
        <v>1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0</v>
      </c>
      <c r="C50" s="190">
        <f>IF(B50&gt;[1]Trav!$E$116,[1]Trav!C116,[1]Trav!B116)</f>
        <v>11</v>
      </c>
      <c r="E50" s="172"/>
      <c r="F50" s="173">
        <f>ROUND(B50*C50,0)</f>
        <v>0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1</v>
      </c>
      <c r="AY50" s="173">
        <f>IF(CdTrp1!E78=1,1,IF(CdTrp1!E78=2,2,IF(CdTrp1!E78=3,2,0)))</f>
        <v>1</v>
      </c>
      <c r="AZ50" s="173">
        <f>IF(CdTrp1!F78=1,1,IF(CdTrp1!F78=2,2,IF(CdTrp1!F78=3,2,0)))</f>
        <v>1</v>
      </c>
      <c r="BA50" s="173">
        <f>IF(CdTrp1!G78=1,1,IF(CdTrp1!G78=2,2,IF(CdTrp1!G78=3,2,0)))</f>
        <v>1</v>
      </c>
      <c r="BB50" s="173">
        <f>IF(CdTrp1!H78=1,1,IF(CdTrp1!H78=2,2,IF(CdTrp1!H78=3,2,0)))</f>
        <v>1</v>
      </c>
      <c r="BC50" s="173">
        <f>IF(CdTrp1!I78=1,1,IF(CdTrp1!I78=2,2,IF(CdTrp1!I78=3,2,0)))</f>
        <v>1</v>
      </c>
      <c r="BD50" s="173">
        <f>IF(CdTrp1!J78=1,1,IF(CdTrp1!J78=2,2,IF(CdTrp1!J78=3,2,0)))</f>
        <v>1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1</v>
      </c>
      <c r="BH50" s="173">
        <f>IF(CdTrp1!N78=1,1,IF(CdTrp1!N78=2,2,IF(CdTrp1!N78=3,2,0)))</f>
        <v>1</v>
      </c>
      <c r="BI50" s="173">
        <f>IF(CdTrp1!O78=1,1,IF(CdTrp1!O78=2,2,IF(CdTrp1!O78=3,2,0)))</f>
        <v>1</v>
      </c>
      <c r="BJ50" s="173">
        <f>IF(CdTrp1!P78=1,1,IF(CdTrp1!P78=2,2,IF(CdTrp1!P78=3,2,0)))</f>
        <v>1</v>
      </c>
      <c r="BK50" s="173">
        <f>IF(CdTrp1!Q78=1,1,IF(CdTrp1!Q78=2,2,IF(CdTrp1!Q78=3,2,0)))</f>
        <v>1</v>
      </c>
      <c r="BL50" s="173">
        <f>IF(CdTrp1!R78=1,1,IF(CdTrp1!R78=2,2,IF(CdTrp1!R78=3,2,0)))</f>
        <v>1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2</v>
      </c>
      <c r="CE50" s="173">
        <f>IF(CdTrp2!E78=1,1,IF(CdTrp2!E78=2,2,IF(CdTrp2!E78=3,2,0)))</f>
        <v>2</v>
      </c>
      <c r="CF50" s="173">
        <f>IF(CdTrp2!F78=1,1,IF(CdTrp2!F78=2,2,IF(CdTrp2!F78=3,2,0)))</f>
        <v>2</v>
      </c>
      <c r="CG50" s="173">
        <f>IF(CdTrp2!G78=1,1,IF(CdTrp2!G78=2,2,IF(CdTrp2!G78=3,2,0)))</f>
        <v>2</v>
      </c>
      <c r="CH50" s="173">
        <f>IF(CdTrp2!H78=1,1,IF(CdTrp2!H78=2,2,IF(CdTrp2!H78=3,2,0)))</f>
        <v>2</v>
      </c>
      <c r="CI50" s="173">
        <f>IF(CdTrp2!I78=1,1,IF(CdTrp2!I78=2,2,IF(CdTrp2!I78=3,2,0)))</f>
        <v>2</v>
      </c>
      <c r="CJ50" s="173">
        <f>IF(CdTrp2!J78=1,1,IF(CdTrp2!J78=2,2,IF(CdTrp2!J78=3,2,0)))</f>
        <v>2</v>
      </c>
      <c r="CK50" s="173">
        <f>IF(CdTrp2!K78=1,1,IF(CdTrp2!K78=2,2,IF(CdTrp2!K78=3,2,0)))</f>
        <v>2</v>
      </c>
      <c r="CL50" s="173">
        <f>IF(CdTrp2!L78=1,1,IF(CdTrp2!L78=2,2,IF(CdTrp2!L78=3,2,0)))</f>
        <v>2</v>
      </c>
      <c r="CM50" s="173">
        <f>IF(CdTrp2!M78=1,1,IF(CdTrp2!M78=2,2,IF(CdTrp2!M78=3,2,0)))</f>
        <v>2</v>
      </c>
      <c r="CN50" s="173">
        <f>IF(CdTrp2!N78=1,1,IF(CdTrp2!N78=2,2,IF(CdTrp2!N78=3,2,0)))</f>
        <v>2</v>
      </c>
      <c r="CO50" s="173">
        <f>IF(CdTrp2!O78=1,1,IF(CdTrp2!O78=2,2,IF(CdTrp2!O78=3,2,0)))</f>
        <v>2</v>
      </c>
      <c r="CP50" s="173">
        <f>IF(CdTrp2!P78=1,1,IF(CdTrp2!P78=2,2,IF(CdTrp2!P78=3,2,0)))</f>
        <v>2</v>
      </c>
      <c r="CQ50" s="173">
        <f>IF(CdTrp2!Q78=1,1,IF(CdTrp2!Q78=2,2,IF(CdTrp2!Q78=3,2,0)))</f>
        <v>2</v>
      </c>
      <c r="CR50" s="173">
        <f>IF(CdTrp2!R78=1,1,IF(CdTrp2!R78=2,2,IF(CdTrp2!R78=3,2,0)))</f>
        <v>2</v>
      </c>
      <c r="CS50" s="173">
        <f>IF(CdTrp2!S78=1,1,IF(CdTrp2!S78=2,2,IF(CdTrp2!S78=3,2,0)))</f>
        <v>2</v>
      </c>
      <c r="CT50" s="173">
        <f>IF(CdTrp2!T78=1,1,IF(CdTrp2!T78=2,2,IF(CdTrp2!T78=3,2,0)))</f>
        <v>2</v>
      </c>
      <c r="CU50" s="173">
        <f>IF(CdTrp2!U78=1,1,IF(CdTrp2!U78=2,2,IF(CdTrp2!U78=3,2,0)))</f>
        <v>1</v>
      </c>
      <c r="CV50" s="173">
        <f>IF(CdTrp2!V78=1,1,IF(CdTrp2!V78=2,2,IF(CdTrp2!V78=3,2,0)))</f>
        <v>1</v>
      </c>
      <c r="CW50" s="173">
        <f>IF(CdTrp2!W78=1,1,IF(CdTrp2!W78=2,2,IF(CdTrp2!W78=3,2,0)))</f>
        <v>1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2</v>
      </c>
      <c r="AW51" s="173">
        <f>IF(CdTrp1!C79=1,1,IF(CdTrp1!C79=2,2,IF(CdTrp1!C79=3,2,0)))</f>
        <v>2</v>
      </c>
      <c r="AX51" s="173">
        <f>IF(CdTrp1!D79=1,1,IF(CdTrp1!D79=2,2,IF(CdTrp1!D79=3,2,0)))</f>
        <v>2</v>
      </c>
      <c r="AY51" s="173">
        <f>IF(CdTrp1!E79=1,1,IF(CdTrp1!E79=2,2,IF(CdTrp1!E79=3,2,0)))</f>
        <v>2</v>
      </c>
      <c r="AZ51" s="173">
        <f>IF(CdTrp1!F79=1,1,IF(CdTrp1!F79=2,2,IF(CdTrp1!F79=3,2,0)))</f>
        <v>2</v>
      </c>
      <c r="BA51" s="173">
        <f>IF(CdTrp1!G79=1,1,IF(CdTrp1!G79=2,2,IF(CdTrp1!G79=3,2,0)))</f>
        <v>2</v>
      </c>
      <c r="BB51" s="173">
        <f>IF(CdTrp1!H79=1,1,IF(CdTrp1!H79=2,2,IF(CdTrp1!H79=3,2,0)))</f>
        <v>2</v>
      </c>
      <c r="BC51" s="173">
        <f>IF(CdTrp1!I79=1,1,IF(CdTrp1!I79=2,2,IF(CdTrp1!I79=3,2,0)))</f>
        <v>2</v>
      </c>
      <c r="BD51" s="173">
        <f>IF(CdTrp1!J79=1,1,IF(CdTrp1!J79=2,2,IF(CdTrp1!J79=3,2,0)))</f>
        <v>1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2</v>
      </c>
      <c r="BP51" s="173">
        <f>IF(CdTrp1!V79=1,1,IF(CdTrp1!V79=2,2,IF(CdTrp1!V79=3,2,0)))</f>
        <v>2</v>
      </c>
      <c r="BQ51" s="173">
        <f>IF(CdTrp1!W79=1,1,IF(CdTrp1!W79=2,2,IF(CdTrp1!W79=3,2,0)))</f>
        <v>2</v>
      </c>
      <c r="BR51" s="173">
        <f>IF(CdTrp1!X79=1,1,IF(CdTrp1!X79=2,2,IF(CdTrp1!X79=3,2,0)))</f>
        <v>2</v>
      </c>
      <c r="BS51" s="173">
        <f>IF(CdTrp1!Y79=1,1,IF(CdTrp1!Y79=2,2,IF(CdTrp1!Y79=3,2,0)))</f>
        <v>2</v>
      </c>
      <c r="BU51">
        <v>0</v>
      </c>
      <c r="BV51" t="s">
        <v>786</v>
      </c>
      <c r="BZ51" s="189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1.25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1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28</v>
      </c>
      <c r="C54" s="190">
        <f>IF(B54&gt;[1]Trav!E119,[1]Trav!C119,[1]Trav!B119)</f>
        <v>1.4</v>
      </c>
      <c r="D54"/>
      <c r="E54" s="172"/>
      <c r="F54" s="173">
        <f t="shared" si="32"/>
        <v>39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17.37</v>
      </c>
      <c r="C55" s="190">
        <f>IF(B55&gt;[1]Trav!E121,[1]Trav!C121,[1]Trav!B121)</f>
        <v>7.2</v>
      </c>
      <c r="D55"/>
      <c r="E55" s="172"/>
      <c r="F55" s="173">
        <f t="shared" si="32"/>
        <v>125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16</v>
      </c>
      <c r="C56" s="190">
        <f>IF(B56&gt;[1]Trav!E121,[1]Trav!C121,[1]Trav!B121)</f>
        <v>7.2</v>
      </c>
      <c r="D56"/>
      <c r="E56" s="172"/>
      <c r="F56" s="173">
        <f t="shared" si="32"/>
        <v>115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0</v>
      </c>
      <c r="C57" s="190">
        <f>IF(B57&gt;[1]Trav!E121,[1]Trav!C121,[1]Trav!B121)</f>
        <v>7.2</v>
      </c>
      <c r="D57"/>
      <c r="E57" s="172"/>
      <c r="F57" s="173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1.9299999999999997</v>
      </c>
      <c r="C58" s="190">
        <f>IF(B58&gt;[1]Trav!E122,[1]Trav!C122,[1]Trav!B122)</f>
        <v>4.4000000000000004</v>
      </c>
      <c r="E58" s="172"/>
      <c r="F58" s="173">
        <f t="shared" si="32"/>
        <v>8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0</v>
      </c>
      <c r="C59" s="190">
        <f>[1]Trav!$B$123</f>
        <v>7.2</v>
      </c>
      <c r="E59" s="172"/>
      <c r="F59" s="173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11</v>
      </c>
      <c r="BZ59" s="14" t="s">
        <v>796</v>
      </c>
      <c r="CA59" s="30">
        <f>VALUE(CONCATENATE(Scénario!K8,Travail!CA2))</f>
        <v>12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10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210</v>
      </c>
      <c r="BH60" s="173">
        <f>IF(BH15=0,0,IF(BH37=3,0,VALUE(CONCATENATE(Travail!BH26,Travail!BH37,Travail!BH48))))</f>
        <v>210</v>
      </c>
      <c r="BI60" s="173">
        <f>IF(BI15=0,0,IF(BI37=3,0,VALUE(CONCATENATE(Travail!BI26,Travail!BI37,Travail!BI48))))</f>
        <v>210</v>
      </c>
      <c r="BJ60" s="173">
        <f>IF(BJ15=0,0,IF(BJ37=3,0,VALUE(CONCATENATE(Travail!BJ26,Travail!BJ37,Travail!BJ48))))</f>
        <v>210</v>
      </c>
      <c r="BK60" s="173">
        <f>IF(BK15=0,0,IF(BK37=3,0,VALUE(CONCATENATE(Travail!BK26,Travail!BK37,Travail!BK48))))</f>
        <v>210</v>
      </c>
      <c r="BL60" s="173">
        <f>IF(BL15=0,0,IF(BL37=3,0,VALUE(CONCATENATE(Travail!BL26,Travail!BL37,Travail!BL48))))</f>
        <v>210</v>
      </c>
      <c r="BM60" s="173">
        <f>IF(BM15=0,0,IF(BM37=3,0,VALUE(CONCATENATE(Travail!BM26,Travail!BM37,Travail!BM48))))</f>
        <v>210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221</v>
      </c>
      <c r="CI60" s="173">
        <f>IF(CI15=0,0,IF(CI37=3,0,VALUE(CONCATENATE(Travail!CI26,Travail!CI37,Travail!CI48))))</f>
        <v>221</v>
      </c>
      <c r="CJ60" s="173">
        <f>IF(CJ15=0,0,IF(CJ37=3,0,VALUE(CONCATENATE(Travail!CJ26,Travail!CJ37,Travail!CJ48))))</f>
        <v>222</v>
      </c>
      <c r="CK60" s="173">
        <f>IF(CK15=0,0,IF(CK37=3,0,VALUE(CONCATENATE(Travail!CK26,Travail!CK37,Travail!CK48))))</f>
        <v>222</v>
      </c>
      <c r="CL60" s="173">
        <f>IF(CL15=0,0,IF(CL37=3,0,VALUE(CONCATENATE(Travail!CL26,Travail!CL37,Travail!CL48))))</f>
        <v>212</v>
      </c>
      <c r="CM60" s="173">
        <f>IF(CM15=0,0,IF(CM37=3,0,VALUE(CONCATENATE(Travail!CM26,Travail!CM37,Travail!CM48))))</f>
        <v>212</v>
      </c>
      <c r="CN60" s="173">
        <f>IF(CN15=0,0,IF(CN37=3,0,VALUE(CONCATENATE(Travail!CN26,Travail!CN37,Travail!CN48))))</f>
        <v>212</v>
      </c>
      <c r="CO60" s="173">
        <f>IF(CO15=0,0,IF(CO37=3,0,VALUE(CONCATENATE(Travail!CO26,Travail!CO37,Travail!CO48))))</f>
        <v>211</v>
      </c>
      <c r="CP60" s="173">
        <f>IF(CP15=0,0,IF(CP37=3,0,VALUE(CONCATENATE(Travail!CP26,Travail!CP37,Travail!CP48))))</f>
        <v>211</v>
      </c>
      <c r="CQ60" s="173">
        <f>IF(CQ15=0,0,IF(CQ37=3,0,VALUE(CONCATENATE(Travail!CQ26,Travail!CQ37,Travail!CQ48))))</f>
        <v>211</v>
      </c>
      <c r="CR60" s="173">
        <f>IF(CR15=0,0,IF(CR37=3,0,VALUE(CONCATENATE(Travail!CR26,Travail!CR37,Travail!CR48))))</f>
        <v>212</v>
      </c>
      <c r="CS60" s="173">
        <f>IF(CS15=0,0,IF(CS37=3,0,VALUE(CONCATENATE(Travail!CS26,Travail!CS37,Travail!CS48))))</f>
        <v>212</v>
      </c>
      <c r="CT60" s="173">
        <f>IF(CT15=0,0,IF(CT37=3,0,VALUE(CONCATENATE(Travail!CT26,Travail!CT37,Travail!CT48))))</f>
        <v>222</v>
      </c>
      <c r="CU60" s="173">
        <f>IF(CU15=0,0,IF(CU37=3,0,VALUE(CONCATENATE(Travail!CU26,Travail!CU37,Travail!CU48))))</f>
        <v>222</v>
      </c>
      <c r="CV60" s="173">
        <f>IF(CV15=0,0,IF(CV37=3,0,VALUE(CONCATENATE(Travail!CV26,Travail!CV37,Travail!CV48))))</f>
        <v>222</v>
      </c>
      <c r="CW60" s="173">
        <f>IF(CW15=0,0,IF(CW37=3,0,VALUE(CONCATENATE(Travail!CW26,Travail!CW37,Travail!CW48))))</f>
        <v>222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222</v>
      </c>
      <c r="AW61" s="173">
        <f>IF(AW16=0,0,IF(AW38=3,0,VALUE(CONCATENATE(Travail!AW27,Travail!AW38,Travail!AW49))))</f>
        <v>222</v>
      </c>
      <c r="AX61" s="173">
        <f>IF(AX16=0,0,IF(AX38=3,0,VALUE(CONCATENATE(Travail!AX27,Travail!AX38,Travail!AX49))))</f>
        <v>222</v>
      </c>
      <c r="AY61" s="173">
        <f>IF(AY16=0,0,IF(AY38=3,0,VALUE(CONCATENATE(Travail!AY27,Travail!AY38,Travail!AY49))))</f>
        <v>222</v>
      </c>
      <c r="AZ61" s="173">
        <f>IF(AZ16=0,0,IF(AZ38=3,0,VALUE(CONCATENATE(Travail!AZ27,Travail!AZ38,Travail!AZ49))))</f>
        <v>222</v>
      </c>
      <c r="BA61" s="173">
        <f>IF(BA16=0,0,IF(BA38=3,0,VALUE(CONCATENATE(Travail!BA27,Travail!BA38,Travail!BA49))))</f>
        <v>222</v>
      </c>
      <c r="BB61" s="173">
        <f>IF(BB16=0,0,IF(BB38=3,0,VALUE(CONCATENATE(Travail!BB27,Travail!BB38,Travail!BB49))))</f>
        <v>222</v>
      </c>
      <c r="BC61" s="173">
        <f>IF(BC16=0,0,IF(BC38=3,0,VALUE(CONCATENATE(Travail!BC27,Travail!BC38,Travail!BC49))))</f>
        <v>222</v>
      </c>
      <c r="BD61" s="173">
        <f>IF(BD16=0,0,IF(BD38=3,0,VALUE(CONCATENATE(Travail!BD27,Travail!BD38,Travail!BD49))))</f>
        <v>222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222</v>
      </c>
      <c r="BP61" s="173">
        <f>IF(BP16=0,0,IF(BP38=3,0,VALUE(CONCATENATE(Travail!BP27,Travail!BP38,Travail!BP49))))</f>
        <v>222</v>
      </c>
      <c r="BQ61" s="173">
        <f>IF(BQ16=0,0,IF(BQ38=3,0,VALUE(CONCATENATE(Travail!BQ27,Travail!BQ38,Travail!BQ49))))</f>
        <v>222</v>
      </c>
      <c r="BR61" s="173">
        <f>IF(BR16=0,0,IF(BR38=3,0,VALUE(CONCATENATE(Travail!BR27,Travail!BR38,Travail!BR49))))</f>
        <v>222</v>
      </c>
      <c r="BS61" s="173">
        <f>IF(BS16=0,0,IF(BS38=3,0,VALUE(CONCATENATE(Travail!BS27,Travail!BS38,Travail!BS49))))</f>
        <v>222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211</v>
      </c>
      <c r="CH61" s="173">
        <f>IF(CH16=0,0,IF(CH38=3,0,VALUE(CONCATENATE(Travail!CH27,Travail!CH38,Travail!CH49))))</f>
        <v>211</v>
      </c>
      <c r="CI61" s="173">
        <f>IF(CI16=0,0,IF(CI38=3,0,VALUE(CONCATENATE(Travail!CI27,Travail!CI38,Travail!CI49))))</f>
        <v>211</v>
      </c>
      <c r="CJ61" s="173">
        <f>IF(CJ16=0,0,IF(CJ38=3,0,VALUE(CONCATENATE(Travail!CJ27,Travail!CJ38,Travail!CJ49))))</f>
        <v>211</v>
      </c>
      <c r="CK61" s="173">
        <f>IF(CK16=0,0,IF(CK38=3,0,VALUE(CONCATENATE(Travail!CK27,Travail!CK38,Travail!CK49))))</f>
        <v>211</v>
      </c>
      <c r="CL61" s="173">
        <f>IF(CL16=0,0,IF(CL38=3,0,VALUE(CONCATENATE(Travail!CL27,Travail!CL38,Travail!CL49))))</f>
        <v>211</v>
      </c>
      <c r="CM61" s="173">
        <f>IF(CM16=0,0,IF(CM38=3,0,VALUE(CONCATENATE(Travail!CM27,Travail!CM38,Travail!CM49))))</f>
        <v>211</v>
      </c>
      <c r="CN61" s="173">
        <f>IF(CN16=0,0,IF(CN38=3,0,VALUE(CONCATENATE(Travail!CN27,Travail!CN38,Travail!CN49))))</f>
        <v>211</v>
      </c>
      <c r="CO61" s="173">
        <f>IF(CO16=0,0,IF(CO38=3,0,VALUE(CONCATENATE(Travail!CO27,Travail!CO38,Travail!CO49))))</f>
        <v>211</v>
      </c>
      <c r="CP61" s="173">
        <f>IF(CP16=0,0,IF(CP38=3,0,VALUE(CONCATENATE(Travail!CP27,Travail!CP38,Travail!CP49))))</f>
        <v>211</v>
      </c>
      <c r="CQ61" s="173">
        <f>IF(CQ16=0,0,IF(CQ38=3,0,VALUE(CONCATENATE(Travail!CQ27,Travail!CQ38,Travail!CQ49))))</f>
        <v>211</v>
      </c>
      <c r="CR61" s="173">
        <f>IF(CR16=0,0,IF(CR38=3,0,VALUE(CONCATENATE(Travail!CR27,Travail!CR38,Travail!CR49))))</f>
        <v>211</v>
      </c>
      <c r="CS61" s="173">
        <f>IF(CS16=0,0,IF(CS38=3,0,VALUE(CONCATENATE(Travail!CS27,Travail!CS38,Travail!CS49))))</f>
        <v>211</v>
      </c>
      <c r="CT61" s="173">
        <f>IF(CT16=0,0,IF(CT38=3,0,VALUE(CONCATENATE(Travail!CT27,Travail!CT38,Travail!CT49))))</f>
        <v>211</v>
      </c>
      <c r="CU61" s="173">
        <f>IF(CU16=0,0,IF(CU38=3,0,VALUE(CONCATENATE(Travail!CU27,Travail!CU38,Travail!CU49))))</f>
        <v>211</v>
      </c>
      <c r="CV61" s="173">
        <f>IF(CV16=0,0,IF(CV38=3,0,VALUE(CONCATENATE(Travail!CV27,Travail!CV38,Travail!CV49))))</f>
        <v>221</v>
      </c>
      <c r="CW61" s="173">
        <f>IF(CW16=0,0,IF(CW38=3,0,VALUE(CONCATENATE(Travail!CW27,Travail!CW38,Travail!CW49))))</f>
        <v>221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221</v>
      </c>
      <c r="BB62" s="173">
        <f>IF(BB17=0,0,IF(BB39=3,0,VALUE(CONCATENATE(Travail!BB28,Travail!BB39,Travail!BB50))))</f>
        <v>221</v>
      </c>
      <c r="BC62" s="173">
        <f>IF(BC17=0,0,IF(BC39=3,0,VALUE(CONCATENATE(Travail!BC28,Travail!BC39,Travail!BC50))))</f>
        <v>221</v>
      </c>
      <c r="BD62" s="173">
        <f>IF(BD17=0,0,IF(BD39=3,0,VALUE(CONCATENATE(Travail!BD28,Travail!BD39,Travail!BD50))))</f>
        <v>221</v>
      </c>
      <c r="BE62" s="173">
        <f>IF(BE17=0,0,IF(BE39=3,0,VALUE(CONCATENATE(Travail!BE28,Travail!BE39,Travail!BE50))))</f>
        <v>221</v>
      </c>
      <c r="BF62" s="173">
        <f>IF(BF17=0,0,IF(BF39=3,0,VALUE(CONCATENATE(Travail!BF28,Travail!BF39,Travail!BF50))))</f>
        <v>221</v>
      </c>
      <c r="BG62" s="173">
        <f>IF(BG17=0,0,IF(BG39=3,0,VALUE(CONCATENATE(Travail!BG28,Travail!BG39,Travail!BG50))))</f>
        <v>221</v>
      </c>
      <c r="BH62" s="173">
        <f>IF(BH17=0,0,IF(BH39=3,0,VALUE(CONCATENATE(Travail!BH28,Travail!BH39,Travail!BH50))))</f>
        <v>221</v>
      </c>
      <c r="BI62" s="173">
        <f>IF(BI17=0,0,IF(BI39=3,0,VALUE(CONCATENATE(Travail!BI28,Travail!BI39,Travail!BI50))))</f>
        <v>221</v>
      </c>
      <c r="BJ62" s="173">
        <f>IF(BJ17=0,0,IF(BJ39=3,0,VALUE(CONCATENATE(Travail!BJ28,Travail!BJ39,Travail!BJ50))))</f>
        <v>221</v>
      </c>
      <c r="BK62" s="173">
        <f>IF(BK17=0,0,IF(BK39=3,0,VALUE(CONCATENATE(Travail!BK28,Travail!BK39,Travail!BK50))))</f>
        <v>221</v>
      </c>
      <c r="BL62" s="173">
        <f>IF(BL17=0,0,IF(BL39=3,0,VALUE(CONCATENATE(Travail!BL28,Travail!BL39,Travail!BL50))))</f>
        <v>221</v>
      </c>
      <c r="BM62" s="173">
        <f>IF(BM17=0,0,IF(BM39=3,0,VALUE(CONCATENATE(Travail!BM28,Travail!BM39,Travail!BM50))))</f>
        <v>221</v>
      </c>
      <c r="BN62" s="173">
        <f>IF(BN17=0,0,IF(BN39=3,0,VALUE(CONCATENATE(Travail!BN28,Travail!BN39,Travail!BN50))))</f>
        <v>221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112</v>
      </c>
      <c r="CE62" s="173">
        <f>IF(CE17=0,0,IF(CE39=3,0,VALUE(CONCATENATE(Travail!CE28,Travail!CE39,Travail!CE50))))</f>
        <v>112</v>
      </c>
      <c r="CF62" s="173">
        <f>IF(CF17=0,0,IF(CF39=3,0,VALUE(CONCATENATE(Travail!CF28,Travail!CF39,Travail!CF50))))</f>
        <v>112</v>
      </c>
      <c r="CG62" s="173">
        <f>IF(CG17=0,0,IF(CG39=3,0,VALUE(CONCATENATE(Travail!CG28,Travail!CG39,Travail!CG50))))</f>
        <v>112</v>
      </c>
      <c r="CH62" s="173">
        <f>IF(CH17=0,0,IF(CH39=3,0,VALUE(CONCATENATE(Travail!CH28,Travail!CH39,Travail!CH50))))</f>
        <v>112</v>
      </c>
      <c r="CI62" s="173">
        <f>IF(CI17=0,0,IF(CI39=3,0,VALUE(CONCATENATE(Travail!CI28,Travail!CI39,Travail!CI50))))</f>
        <v>112</v>
      </c>
      <c r="CJ62" s="173">
        <f>IF(CJ17=0,0,IF(CJ39=3,0,VALUE(CONCATENATE(Travail!CJ28,Travail!CJ39,Travail!CJ50))))</f>
        <v>112</v>
      </c>
      <c r="CK62" s="173">
        <f>IF(CK17=0,0,IF(CK39=3,0,VALUE(CONCATENATE(Travail!CK28,Travail!CK39,Travail!CK50))))</f>
        <v>112</v>
      </c>
      <c r="CL62" s="173">
        <f>IF(CL17=0,0,IF(CL39=3,0,VALUE(CONCATENATE(Travail!CL28,Travail!CL39,Travail!CL50))))</f>
        <v>112</v>
      </c>
      <c r="CM62" s="173">
        <f>IF(CM17=0,0,IF(CM39=3,0,VALUE(CONCATENATE(Travail!CM28,Travail!CM39,Travail!CM50))))</f>
        <v>112</v>
      </c>
      <c r="CN62" s="173">
        <f>IF(CN17=0,0,IF(CN39=3,0,VALUE(CONCATENATE(Travail!CN28,Travail!CN39,Travail!CN50))))</f>
        <v>112</v>
      </c>
      <c r="CO62" s="173">
        <f>IF(CO17=0,0,IF(CO39=3,0,VALUE(CONCATENATE(Travail!CO28,Travail!CO39,Travail!CO50))))</f>
        <v>112</v>
      </c>
      <c r="CP62" s="173">
        <f>IF(CP17=0,0,IF(CP39=3,0,VALUE(CONCATENATE(Travail!CP28,Travail!CP39,Travail!CP50))))</f>
        <v>112</v>
      </c>
      <c r="CQ62" s="173">
        <f>IF(CQ17=0,0,IF(CQ39=3,0,VALUE(CONCATENATE(Travail!CQ28,Travail!CQ39,Travail!CQ50))))</f>
        <v>112</v>
      </c>
      <c r="CR62" s="173">
        <f>IF(CR17=0,0,IF(CR39=3,0,VALUE(CONCATENATE(Travail!CR28,Travail!CR39,Travail!CR50))))</f>
        <v>112</v>
      </c>
      <c r="CS62" s="173">
        <f>IF(CS17=0,0,IF(CS39=3,0,VALUE(CONCATENATE(Travail!CS28,Travail!CS39,Travail!CS50))))</f>
        <v>112</v>
      </c>
      <c r="CT62" s="173">
        <f>IF(CT17=0,0,IF(CT39=3,0,VALUE(CONCATENATE(Travail!CT28,Travail!CT39,Travail!CT50))))</f>
        <v>112</v>
      </c>
      <c r="CU62" s="173">
        <f>IF(CU17=0,0,IF(CU39=3,0,VALUE(CONCATENATE(Travail!CU28,Travail!CU39,Travail!CU50))))</f>
        <v>111</v>
      </c>
      <c r="CV62" s="173">
        <f>IF(CV17=0,0,IF(CV39=3,0,VALUE(CONCATENATE(Travail!CV28,Travail!CV39,Travail!CV50))))</f>
        <v>111</v>
      </c>
      <c r="CW62" s="173">
        <f>IF(CW17=0,0,IF(CW39=3,0,VALUE(CONCATENATE(Travail!CW28,Travail!CW39,Travail!CW50))))</f>
        <v>111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212</v>
      </c>
      <c r="AW63" s="173">
        <f>IF(AW18=0,0,IF(AW40=3,0,VALUE(CONCATENATE(Travail!AW29,Travail!AW40,Travail!AW51))))</f>
        <v>212</v>
      </c>
      <c r="AX63" s="173">
        <f>IF(AX18=0,0,IF(AX40=3,0,VALUE(CONCATENATE(Travail!AX29,Travail!AX40,Travail!AX51))))</f>
        <v>212</v>
      </c>
      <c r="AY63" s="173">
        <f>IF(AY18=0,0,IF(AY40=3,0,VALUE(CONCATENATE(Travail!AY29,Travail!AY40,Travail!AY51))))</f>
        <v>212</v>
      </c>
      <c r="AZ63" s="173">
        <f>IF(AZ18=0,0,IF(AZ40=3,0,VALUE(CONCATENATE(Travail!AZ29,Travail!AZ40,Travail!AZ51))))</f>
        <v>212</v>
      </c>
      <c r="BA63" s="173">
        <f>IF(BA18=0,0,IF(BA40=3,0,VALUE(CONCATENATE(Travail!BA29,Travail!BA40,Travail!BA51))))</f>
        <v>212</v>
      </c>
      <c r="BB63" s="173">
        <f>IF(BB18=0,0,IF(BB40=3,0,VALUE(CONCATENATE(Travail!BB29,Travail!BB40,Travail!BB51))))</f>
        <v>212</v>
      </c>
      <c r="BC63" s="173">
        <f>IF(BC18=0,0,IF(BC40=3,0,VALUE(CONCATENATE(Travail!BC29,Travail!BC40,Travail!BC51))))</f>
        <v>212</v>
      </c>
      <c r="BD63" s="173">
        <f>IF(BD18=0,0,IF(BD40=3,0,VALUE(CONCATENATE(Travail!BD29,Travail!BD40,Travail!BD51))))</f>
        <v>211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212</v>
      </c>
      <c r="BP63" s="173">
        <f>IF(BP18=0,0,IF(BP40=3,0,VALUE(CONCATENATE(Travail!BP29,Travail!BP40,Travail!BP51))))</f>
        <v>212</v>
      </c>
      <c r="BQ63" s="173">
        <f>IF(BQ18=0,0,IF(BQ40=3,0,VALUE(CONCATENATE(Travail!BQ29,Travail!BQ40,Travail!BQ51))))</f>
        <v>212</v>
      </c>
      <c r="BR63" s="173">
        <f>IF(BR18=0,0,IF(BR40=3,0,VALUE(CONCATENATE(Travail!BR29,Travail!BR40,Travail!BR51))))</f>
        <v>212</v>
      </c>
      <c r="BS63" s="173">
        <f>IF(BS18=0,0,IF(BS40=3,0,VALUE(CONCATENATE(Travail!BS29,Travail!BS40,Travail!BS51))))</f>
        <v>212</v>
      </c>
      <c r="BZ63" s="189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21</v>
      </c>
      <c r="BH71" s="173">
        <f t="shared" si="36"/>
        <v>21</v>
      </c>
      <c r="BI71" s="173">
        <f t="shared" si="36"/>
        <v>21</v>
      </c>
      <c r="BJ71" s="173">
        <f t="shared" si="36"/>
        <v>21</v>
      </c>
      <c r="BK71" s="173">
        <f t="shared" si="36"/>
        <v>21</v>
      </c>
      <c r="BL71" s="173">
        <f t="shared" si="36"/>
        <v>21</v>
      </c>
      <c r="BM71" s="173">
        <f t="shared" si="36"/>
        <v>21</v>
      </c>
      <c r="BN71" s="173">
        <f t="shared" si="36"/>
        <v>22</v>
      </c>
      <c r="BO71" s="173">
        <f t="shared" si="36"/>
        <v>22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22</v>
      </c>
      <c r="CI71" s="173">
        <f t="shared" si="37"/>
        <v>22</v>
      </c>
      <c r="CJ71" s="173">
        <f t="shared" si="37"/>
        <v>22</v>
      </c>
      <c r="CK71" s="173">
        <f t="shared" si="37"/>
        <v>22</v>
      </c>
      <c r="CL71" s="173">
        <f t="shared" si="37"/>
        <v>21</v>
      </c>
      <c r="CM71" s="173">
        <f t="shared" si="37"/>
        <v>21</v>
      </c>
      <c r="CN71" s="173">
        <f t="shared" si="37"/>
        <v>21</v>
      </c>
      <c r="CO71" s="173">
        <f t="shared" si="37"/>
        <v>21</v>
      </c>
      <c r="CP71" s="173">
        <f t="shared" si="37"/>
        <v>21</v>
      </c>
      <c r="CQ71" s="173">
        <f t="shared" si="37"/>
        <v>21</v>
      </c>
      <c r="CR71" s="173">
        <f t="shared" si="37"/>
        <v>21</v>
      </c>
      <c r="CS71" s="173">
        <f t="shared" si="37"/>
        <v>21</v>
      </c>
      <c r="CT71" s="173">
        <f t="shared" si="37"/>
        <v>22</v>
      </c>
      <c r="CU71" s="173">
        <f t="shared" si="37"/>
        <v>22</v>
      </c>
      <c r="CV71" s="173">
        <f t="shared" si="37"/>
        <v>22</v>
      </c>
      <c r="CW71" s="173">
        <f t="shared" si="37"/>
        <v>22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:F73" si="39">ROUND(SUM(G72:AD72),0)</f>
        <v>275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10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10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15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20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20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20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20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20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20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5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5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5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5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15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10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10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22</v>
      </c>
      <c r="AW72" s="173">
        <f t="shared" si="36"/>
        <v>22</v>
      </c>
      <c r="AX72" s="173">
        <f t="shared" si="36"/>
        <v>22</v>
      </c>
      <c r="AY72" s="173">
        <f t="shared" si="36"/>
        <v>22</v>
      </c>
      <c r="AZ72" s="173">
        <f t="shared" si="36"/>
        <v>22</v>
      </c>
      <c r="BA72" s="173">
        <f t="shared" si="36"/>
        <v>22</v>
      </c>
      <c r="BB72" s="173">
        <f t="shared" si="36"/>
        <v>22</v>
      </c>
      <c r="BC72" s="173">
        <f t="shared" si="36"/>
        <v>22</v>
      </c>
      <c r="BD72" s="173">
        <f t="shared" si="36"/>
        <v>22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22</v>
      </c>
      <c r="BP72" s="173">
        <f t="shared" si="36"/>
        <v>22</v>
      </c>
      <c r="BQ72" s="173">
        <f t="shared" si="36"/>
        <v>22</v>
      </c>
      <c r="BR72" s="173">
        <f t="shared" si="36"/>
        <v>22</v>
      </c>
      <c r="BS72" s="173">
        <f t="shared" si="36"/>
        <v>22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21</v>
      </c>
      <c r="CH72" s="173">
        <f t="shared" si="37"/>
        <v>21</v>
      </c>
      <c r="CI72" s="173">
        <f t="shared" si="37"/>
        <v>21</v>
      </c>
      <c r="CJ72" s="173">
        <f t="shared" si="37"/>
        <v>21</v>
      </c>
      <c r="CK72" s="173">
        <f t="shared" si="37"/>
        <v>21</v>
      </c>
      <c r="CL72" s="173">
        <f t="shared" si="37"/>
        <v>21</v>
      </c>
      <c r="CM72" s="173">
        <f t="shared" si="37"/>
        <v>21</v>
      </c>
      <c r="CN72" s="173">
        <f t="shared" si="37"/>
        <v>21</v>
      </c>
      <c r="CO72" s="173">
        <f t="shared" si="37"/>
        <v>21</v>
      </c>
      <c r="CP72" s="173">
        <f t="shared" si="37"/>
        <v>21</v>
      </c>
      <c r="CQ72" s="173">
        <f t="shared" si="37"/>
        <v>21</v>
      </c>
      <c r="CR72" s="173">
        <f t="shared" si="37"/>
        <v>21</v>
      </c>
      <c r="CS72" s="173">
        <f t="shared" si="37"/>
        <v>21</v>
      </c>
      <c r="CT72" s="173">
        <f t="shared" si="37"/>
        <v>21</v>
      </c>
      <c r="CU72" s="173">
        <f t="shared" si="37"/>
        <v>21</v>
      </c>
      <c r="CV72" s="173">
        <f t="shared" si="37"/>
        <v>22</v>
      </c>
      <c r="CW72" s="173">
        <f t="shared" si="37"/>
        <v>22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173">
        <f t="shared" si="39"/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0</v>
      </c>
      <c r="J73" s="173">
        <f>IF(AND(Troupeau!$C$3="BV",Scénario!$K$87&gt;2),Protection!F25*([1]Protect!$B$22+[1]Protect!$B$23),0)</f>
        <v>0</v>
      </c>
      <c r="K73" s="173">
        <f>IF(AND(Troupeau!$C$3="BV",Scénario!$K$87&gt;2),Protection!G25*([1]Protect!$B$22+[1]Protect!$B$23),0)</f>
        <v>0</v>
      </c>
      <c r="L73" s="173">
        <f>IF(AND(Troupeau!$C$3="BV",Scénario!$K$87&gt;2),Protection!H25*([1]Protect!$B$22+[1]Protect!$B$23),0)</f>
        <v>0</v>
      </c>
      <c r="M73" s="173">
        <f>IF(AND(Troupeau!$C$3="BV",Scénario!$K$87&gt;2),Protection!I25*([1]Protect!$B$22+[1]Protect!$B$23),0)</f>
        <v>0</v>
      </c>
      <c r="N73" s="173">
        <f>IF(AND(Troupeau!$C$3="BV",Scénario!$K$87&gt;2),Protection!J25*([1]Protect!$B$22+[1]Protect!$B$23),0)</f>
        <v>0</v>
      </c>
      <c r="O73" s="173">
        <f>IF(AND(Troupeau!$C$3="BV",Scénario!$K$87&gt;2),Protection!K25*([1]Protect!$B$22+[1]Protect!$B$23),0)</f>
        <v>0</v>
      </c>
      <c r="P73" s="173">
        <f>IF(AND(Troupeau!$C$3="BV",Scénario!$K$87&gt;2),Protection!L25*([1]Protect!$B$22+[1]Protect!$B$23),0)</f>
        <v>0</v>
      </c>
      <c r="Q73" s="173">
        <f>IF(AND(Troupeau!$C$3="BV",Scénario!$K$87&gt;2),Protection!M25*([1]Protect!$B$22+[1]Protect!$B$23),0)</f>
        <v>0</v>
      </c>
      <c r="R73" s="173">
        <f>IF(AND(Troupeau!$C$3="BV",Scénario!$K$87&gt;2),Protection!N25*([1]Protect!$B$22+[1]Protect!$B$23),0)</f>
        <v>0</v>
      </c>
      <c r="S73" s="173">
        <f>IF(AND(Troupeau!$C$3="BV",Scénario!$K$87&gt;2),Protection!O25*([1]Protect!$B$22+[1]Protect!$B$23),0)</f>
        <v>0</v>
      </c>
      <c r="T73" s="173">
        <f>IF(AND(Troupeau!$C$3="BV",Scénario!$K$87&gt;2),Protection!P25*([1]Protect!$B$22+[1]Protect!$B$23),0)</f>
        <v>0</v>
      </c>
      <c r="U73" s="173">
        <f>IF(AND(Troupeau!$C$3="BV",Scénario!$K$87&gt;2),Protection!Q25*([1]Protect!$B$22+[1]Protect!$B$23),0)</f>
        <v>0</v>
      </c>
      <c r="V73" s="173">
        <f>IF(AND(Troupeau!$C$3="BV",Scénario!$K$87&gt;2),Protection!R25*([1]Protect!$B$22+[1]Protect!$B$23),0)</f>
        <v>0</v>
      </c>
      <c r="W73" s="173">
        <f>IF(AND(Troupeau!$C$3="BV",Scénario!$K$87&gt;2),Protection!S25*([1]Protect!$B$22+[1]Protect!$B$23),0)</f>
        <v>0</v>
      </c>
      <c r="X73" s="173">
        <f>IF(AND(Troupeau!$C$3="BV",Scénario!$K$87&gt;2),Protection!T25*([1]Protect!$B$22+[1]Protect!$B$23),0)</f>
        <v>0</v>
      </c>
      <c r="Y73" s="173">
        <f>IF(AND(Troupeau!$C$3="BV",Scénario!$K$87&gt;2),Protection!U25*([1]Protect!$B$22+[1]Protect!$B$23),0)</f>
        <v>0</v>
      </c>
      <c r="Z73" s="173">
        <f>IF(AND(Troupeau!$C$3="BV",Scénario!$K$87&gt;2),Protection!V25*([1]Protect!$B$22+[1]Protect!$B$23),0)</f>
        <v>0</v>
      </c>
      <c r="AA73" s="173">
        <f>IF(AND(Troupeau!$C$3="BV",Scénario!$K$87&gt;2),Protection!W25*([1]Protect!$B$22+[1]Protect!$B$23),0)</f>
        <v>0</v>
      </c>
      <c r="AB73" s="173">
        <f>IF(AND(Troupeau!$C$3="BV",Scénario!$K$87&gt;2),Protection!X25*([1]Protect!$B$22+[1]Protect!$B$23),0)</f>
        <v>0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22</v>
      </c>
      <c r="BB73" s="173">
        <f t="shared" si="36"/>
        <v>22</v>
      </c>
      <c r="BC73" s="173">
        <f t="shared" si="36"/>
        <v>22</v>
      </c>
      <c r="BD73" s="173">
        <f t="shared" si="36"/>
        <v>22</v>
      </c>
      <c r="BE73" s="173">
        <f t="shared" si="36"/>
        <v>22</v>
      </c>
      <c r="BF73" s="173">
        <f t="shared" si="36"/>
        <v>22</v>
      </c>
      <c r="BG73" s="173">
        <f t="shared" si="36"/>
        <v>22</v>
      </c>
      <c r="BH73" s="173">
        <f t="shared" si="36"/>
        <v>22</v>
      </c>
      <c r="BI73" s="173">
        <f t="shared" si="36"/>
        <v>22</v>
      </c>
      <c r="BJ73" s="173">
        <f t="shared" si="36"/>
        <v>22</v>
      </c>
      <c r="BK73" s="173">
        <f t="shared" si="36"/>
        <v>22</v>
      </c>
      <c r="BL73" s="173">
        <f t="shared" si="36"/>
        <v>22</v>
      </c>
      <c r="BM73" s="173">
        <f t="shared" si="36"/>
        <v>22</v>
      </c>
      <c r="BN73" s="173">
        <f t="shared" si="36"/>
        <v>22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11</v>
      </c>
      <c r="CE73" s="173">
        <f t="shared" si="37"/>
        <v>11</v>
      </c>
      <c r="CF73" s="173">
        <f t="shared" si="37"/>
        <v>11</v>
      </c>
      <c r="CG73" s="173">
        <f t="shared" si="37"/>
        <v>11</v>
      </c>
      <c r="CH73" s="173">
        <f t="shared" si="37"/>
        <v>11</v>
      </c>
      <c r="CI73" s="173">
        <f t="shared" si="37"/>
        <v>11</v>
      </c>
      <c r="CJ73" s="173">
        <f t="shared" si="37"/>
        <v>11</v>
      </c>
      <c r="CK73" s="173">
        <f t="shared" si="37"/>
        <v>11</v>
      </c>
      <c r="CL73" s="173">
        <f t="shared" si="37"/>
        <v>11</v>
      </c>
      <c r="CM73" s="173">
        <f t="shared" si="37"/>
        <v>11</v>
      </c>
      <c r="CN73" s="173">
        <f t="shared" si="37"/>
        <v>11</v>
      </c>
      <c r="CO73" s="173">
        <f t="shared" si="37"/>
        <v>11</v>
      </c>
      <c r="CP73" s="173">
        <f t="shared" si="37"/>
        <v>11</v>
      </c>
      <c r="CQ73" s="173">
        <f t="shared" si="37"/>
        <v>11</v>
      </c>
      <c r="CR73" s="173">
        <f t="shared" si="37"/>
        <v>11</v>
      </c>
      <c r="CS73" s="173">
        <f t="shared" si="37"/>
        <v>11</v>
      </c>
      <c r="CT73" s="173">
        <f t="shared" si="37"/>
        <v>11</v>
      </c>
      <c r="CU73" s="173">
        <f t="shared" si="37"/>
        <v>11</v>
      </c>
      <c r="CV73" s="173">
        <f t="shared" si="37"/>
        <v>11</v>
      </c>
      <c r="CW73" s="173">
        <f t="shared" si="37"/>
        <v>11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21</v>
      </c>
      <c r="AW74" s="173">
        <f t="shared" si="36"/>
        <v>21</v>
      </c>
      <c r="AX74" s="173">
        <f t="shared" si="36"/>
        <v>21</v>
      </c>
      <c r="AY74" s="173">
        <f t="shared" si="36"/>
        <v>21</v>
      </c>
      <c r="AZ74" s="173">
        <f t="shared" si="36"/>
        <v>21</v>
      </c>
      <c r="BA74" s="173">
        <f t="shared" si="36"/>
        <v>21</v>
      </c>
      <c r="BB74" s="173">
        <f t="shared" si="36"/>
        <v>21</v>
      </c>
      <c r="BC74" s="173">
        <f t="shared" si="36"/>
        <v>21</v>
      </c>
      <c r="BD74" s="173">
        <f t="shared" si="36"/>
        <v>21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21</v>
      </c>
      <c r="BP74" s="173">
        <f t="shared" si="36"/>
        <v>21</v>
      </c>
      <c r="BQ74" s="173">
        <f t="shared" si="36"/>
        <v>21</v>
      </c>
      <c r="BR74" s="173">
        <f t="shared" si="36"/>
        <v>21</v>
      </c>
      <c r="BS74" s="173">
        <f t="shared" si="36"/>
        <v>21</v>
      </c>
      <c r="BZ74" s="189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1417</v>
      </c>
      <c r="F75" s="198">
        <f>IF(Protection!$AJ$8=0,0,SUM(G75:AD75))</f>
        <v>133</v>
      </c>
      <c r="G75" s="198">
        <f>IF(Protection!C195=0,0,[1]Protect!$B$9*Protection!C195*14)</f>
        <v>7</v>
      </c>
      <c r="H75" s="198">
        <f>IF(Protection!D195=0,0,[1]Protect!$B$9*Protection!D195*14)</f>
        <v>7</v>
      </c>
      <c r="I75" s="198">
        <f>IF(Protection!E195=0,0,[1]Protect!$B$9*Protection!E195*14)</f>
        <v>7</v>
      </c>
      <c r="J75" s="198">
        <f>IF(Protection!F195=0,0,[1]Protect!$B$9*Protection!F195*14)</f>
        <v>7</v>
      </c>
      <c r="K75" s="198">
        <f>IF(Protection!G195=0,0,[1]Protect!$B$9*Protection!G195*14)</f>
        <v>7</v>
      </c>
      <c r="L75" s="198">
        <f>IF(Protection!H195=0,0,[1]Protect!$B$9*Protection!H195*14)</f>
        <v>7</v>
      </c>
      <c r="M75" s="198">
        <f>IF(Protection!I195=0,0,[1]Protect!$B$9*Protection!I195*14)</f>
        <v>7</v>
      </c>
      <c r="N75" s="198">
        <f>IF(Protection!J195=0,0,[1]Protect!$B$9*Protection!J195*14)</f>
        <v>7</v>
      </c>
      <c r="O75" s="198">
        <f>IF(Protection!K195=0,0,[1]Protect!$B$9*Protection!K195*14)</f>
        <v>7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7</v>
      </c>
      <c r="AA75" s="198">
        <f>IF(Protection!W195=0,0,[1]Protect!$B$9*Protection!W195*14)</f>
        <v>7</v>
      </c>
      <c r="AB75" s="198">
        <f>IF(Protection!X195=0,0,[1]Protect!$B$9*Protection!X195*14)</f>
        <v>7</v>
      </c>
      <c r="AC75" s="198">
        <f>IF(Protection!Y195=0,0,[1]Protect!$B$9*Protection!Y195*14)</f>
        <v>7</v>
      </c>
      <c r="AD75" s="198">
        <f>IF(Protection!Z195=0,0,[1]Protect!$B$9*Protection!Z195*14)</f>
        <v>7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1418</v>
      </c>
      <c r="F76" s="198">
        <f>IF(Protection!$AJ$8=0,0,SUM(G76:AD76))</f>
        <v>49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7</v>
      </c>
      <c r="S76" s="198">
        <f>IF(Protection!O196=0,0,[1]Protect!$B$9*Protection!O196*14)</f>
        <v>7</v>
      </c>
      <c r="T76" s="198">
        <f>IF(Protection!P196=0,0,[1]Protect!$B$9*Protection!P196*14)</f>
        <v>7</v>
      </c>
      <c r="U76" s="198">
        <f>IF(Protection!Q196=0,0,[1]Protect!$B$9*Protection!Q196*14)</f>
        <v>7</v>
      </c>
      <c r="V76" s="198">
        <f>IF(Protection!R196=0,0,[1]Protect!$B$9*Protection!R196*14)</f>
        <v>7</v>
      </c>
      <c r="W76" s="198">
        <f>IF(Protection!S196=0,0,[1]Protect!$B$9*Protection!S196*14)</f>
        <v>7</v>
      </c>
      <c r="X76" s="198">
        <f>IF(Protection!T196=0,0,[1]Protect!$B$9*Protection!T196*14)</f>
        <v>7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457</v>
      </c>
      <c r="G77" s="46">
        <f t="shared" ref="G77:AD77" si="43">+SUM(G69:G76)</f>
        <v>17</v>
      </c>
      <c r="H77" s="46">
        <f t="shared" si="43"/>
        <v>17</v>
      </c>
      <c r="I77" s="46">
        <f t="shared" si="43"/>
        <v>22</v>
      </c>
      <c r="J77" s="46">
        <f t="shared" si="43"/>
        <v>27</v>
      </c>
      <c r="K77" s="46">
        <f t="shared" si="43"/>
        <v>27</v>
      </c>
      <c r="L77" s="46">
        <f t="shared" si="43"/>
        <v>27</v>
      </c>
      <c r="M77" s="46">
        <f t="shared" si="43"/>
        <v>27</v>
      </c>
      <c r="N77" s="46">
        <f t="shared" si="43"/>
        <v>27</v>
      </c>
      <c r="O77" s="46">
        <f t="shared" si="43"/>
        <v>27</v>
      </c>
      <c r="P77" s="46">
        <f t="shared" si="43"/>
        <v>13.5</v>
      </c>
      <c r="Q77" s="46">
        <f t="shared" si="43"/>
        <v>13.5</v>
      </c>
      <c r="R77" s="46">
        <f t="shared" si="43"/>
        <v>15.5</v>
      </c>
      <c r="S77" s="46">
        <f t="shared" si="43"/>
        <v>15.5</v>
      </c>
      <c r="T77" s="46">
        <f t="shared" si="43"/>
        <v>15.5</v>
      </c>
      <c r="U77" s="46">
        <f t="shared" si="43"/>
        <v>15.5</v>
      </c>
      <c r="V77" s="46">
        <f t="shared" si="43"/>
        <v>15.5</v>
      </c>
      <c r="W77" s="46">
        <f t="shared" si="43"/>
        <v>15.5</v>
      </c>
      <c r="X77" s="46">
        <f t="shared" si="43"/>
        <v>15.5</v>
      </c>
      <c r="Y77" s="46">
        <f t="shared" si="43"/>
        <v>13.5</v>
      </c>
      <c r="Z77" s="46">
        <f t="shared" si="43"/>
        <v>22</v>
      </c>
      <c r="AA77" s="46">
        <f t="shared" si="43"/>
        <v>17</v>
      </c>
      <c r="AB77" s="46">
        <f t="shared" si="43"/>
        <v>17</v>
      </c>
      <c r="AC77" s="46">
        <f t="shared" si="43"/>
        <v>17</v>
      </c>
      <c r="AD77" s="46">
        <f t="shared" si="43"/>
        <v>17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1.43</v>
      </c>
      <c r="C81" s="190">
        <f>[1]Protect!$B$10</f>
        <v>4</v>
      </c>
      <c r="D81" s="172"/>
      <c r="E81" s="172"/>
      <c r="F81" s="173">
        <f>ROUND(C81*B81*8,0)</f>
        <v>46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2</v>
      </c>
      <c r="AW81" s="173">
        <f t="shared" ref="AW81:BS81" si="44">COUNTIF(AW$71:AW$80,23)</f>
        <v>2</v>
      </c>
      <c r="AX81" s="173">
        <f t="shared" si="44"/>
        <v>2</v>
      </c>
      <c r="AY81" s="173">
        <f t="shared" si="44"/>
        <v>1</v>
      </c>
      <c r="AZ81" s="173">
        <f t="shared" si="44"/>
        <v>1</v>
      </c>
      <c r="BA81" s="173">
        <f t="shared" si="44"/>
        <v>0</v>
      </c>
      <c r="BB81" s="173">
        <f t="shared" si="44"/>
        <v>0</v>
      </c>
      <c r="BC81" s="173">
        <f t="shared" si="44"/>
        <v>0</v>
      </c>
      <c r="BD81" s="173">
        <f t="shared" si="44"/>
        <v>0</v>
      </c>
      <c r="BE81" s="173">
        <f t="shared" si="44"/>
        <v>0</v>
      </c>
      <c r="BF81" s="173">
        <f t="shared" si="44"/>
        <v>0</v>
      </c>
      <c r="BG81" s="173">
        <f t="shared" si="44"/>
        <v>0</v>
      </c>
      <c r="BH81" s="173">
        <f t="shared" si="44"/>
        <v>0</v>
      </c>
      <c r="BI81" s="173">
        <f t="shared" si="44"/>
        <v>0</v>
      </c>
      <c r="BJ81" s="173">
        <f t="shared" si="44"/>
        <v>0</v>
      </c>
      <c r="BK81" s="173">
        <f t="shared" si="44"/>
        <v>0</v>
      </c>
      <c r="BL81" s="173">
        <f t="shared" si="44"/>
        <v>0</v>
      </c>
      <c r="BM81" s="173">
        <f t="shared" si="44"/>
        <v>0</v>
      </c>
      <c r="BN81" s="173">
        <f t="shared" si="44"/>
        <v>0</v>
      </c>
      <c r="BO81" s="173">
        <f t="shared" si="44"/>
        <v>0</v>
      </c>
      <c r="BP81" s="173">
        <f t="shared" si="44"/>
        <v>1</v>
      </c>
      <c r="BQ81" s="173">
        <f t="shared" si="44"/>
        <v>2</v>
      </c>
      <c r="BR81" s="173">
        <f t="shared" si="44"/>
        <v>2</v>
      </c>
      <c r="BS81" s="173">
        <f t="shared" si="44"/>
        <v>2</v>
      </c>
      <c r="BZ81" s="19" t="s">
        <v>817</v>
      </c>
      <c r="CB81" s="173">
        <f>COUNTIF(CB$71:CB$80,23)</f>
        <v>1</v>
      </c>
      <c r="CC81" s="173">
        <f>COUNTIF(CC$71:CC$80,23)</f>
        <v>1</v>
      </c>
      <c r="CD81" s="173">
        <f t="shared" ref="CD81:CY81" si="45">COUNTIF(CD$71:CD$80,23)</f>
        <v>1</v>
      </c>
      <c r="CE81" s="173">
        <f t="shared" si="45"/>
        <v>1</v>
      </c>
      <c r="CF81" s="173">
        <f t="shared" si="45"/>
        <v>1</v>
      </c>
      <c r="CG81" s="173">
        <f t="shared" si="45"/>
        <v>1</v>
      </c>
      <c r="CH81" s="173">
        <f t="shared" si="45"/>
        <v>0</v>
      </c>
      <c r="CI81" s="173">
        <f t="shared" si="45"/>
        <v>0</v>
      </c>
      <c r="CJ81" s="173">
        <f t="shared" si="45"/>
        <v>0</v>
      </c>
      <c r="CK81" s="173">
        <f t="shared" si="45"/>
        <v>0</v>
      </c>
      <c r="CL81" s="173">
        <f t="shared" si="45"/>
        <v>0</v>
      </c>
      <c r="CM81" s="173">
        <f t="shared" si="45"/>
        <v>0</v>
      </c>
      <c r="CN81" s="173">
        <f t="shared" si="45"/>
        <v>0</v>
      </c>
      <c r="CO81" s="173">
        <f t="shared" si="45"/>
        <v>0</v>
      </c>
      <c r="CP81" s="173">
        <f t="shared" si="45"/>
        <v>0</v>
      </c>
      <c r="CQ81" s="173">
        <f t="shared" si="45"/>
        <v>0</v>
      </c>
      <c r="CR81" s="173">
        <f t="shared" si="45"/>
        <v>0</v>
      </c>
      <c r="CS81" s="173">
        <f t="shared" si="45"/>
        <v>0</v>
      </c>
      <c r="CT81" s="173">
        <f t="shared" si="45"/>
        <v>0</v>
      </c>
      <c r="CU81" s="173">
        <f t="shared" si="45"/>
        <v>0</v>
      </c>
      <c r="CV81" s="173">
        <f t="shared" si="45"/>
        <v>0</v>
      </c>
      <c r="CW81" s="173">
        <f t="shared" si="45"/>
        <v>0</v>
      </c>
      <c r="CX81" s="173">
        <f t="shared" si="45"/>
        <v>1</v>
      </c>
      <c r="CY81" s="173">
        <f t="shared" si="45"/>
        <v>1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9.3650000000000002</v>
      </c>
      <c r="C83" s="190">
        <f>[1]Protect!$B$24+[1]Protect!$B$26</f>
        <v>0.33</v>
      </c>
      <c r="D83" s="172"/>
      <c r="E83" s="172"/>
      <c r="F83" s="173">
        <f>ROUND(B83*C83,1)</f>
        <v>3.1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1</v>
      </c>
      <c r="AW83" s="173">
        <f t="shared" ref="AW83:BS83" si="50">COUNTIF(AW$71:AW$80,22)</f>
        <v>1</v>
      </c>
      <c r="AX83" s="173">
        <f t="shared" si="50"/>
        <v>1</v>
      </c>
      <c r="AY83" s="173">
        <f t="shared" si="50"/>
        <v>2</v>
      </c>
      <c r="AZ83" s="173">
        <f t="shared" si="50"/>
        <v>2</v>
      </c>
      <c r="BA83" s="173">
        <f t="shared" si="50"/>
        <v>3</v>
      </c>
      <c r="BB83" s="173">
        <f t="shared" si="50"/>
        <v>3</v>
      </c>
      <c r="BC83" s="173">
        <f t="shared" si="50"/>
        <v>3</v>
      </c>
      <c r="BD83" s="173">
        <f t="shared" si="50"/>
        <v>3</v>
      </c>
      <c r="BE83" s="173">
        <f t="shared" si="50"/>
        <v>2</v>
      </c>
      <c r="BF83" s="173">
        <f t="shared" si="50"/>
        <v>2</v>
      </c>
      <c r="BG83" s="173">
        <f t="shared" si="50"/>
        <v>1</v>
      </c>
      <c r="BH83" s="173">
        <f t="shared" si="50"/>
        <v>1</v>
      </c>
      <c r="BI83" s="173">
        <f t="shared" si="50"/>
        <v>1</v>
      </c>
      <c r="BJ83" s="173">
        <f t="shared" si="50"/>
        <v>1</v>
      </c>
      <c r="BK83" s="173">
        <f t="shared" si="50"/>
        <v>1</v>
      </c>
      <c r="BL83" s="173">
        <f t="shared" si="50"/>
        <v>1</v>
      </c>
      <c r="BM83" s="173">
        <f t="shared" si="50"/>
        <v>1</v>
      </c>
      <c r="BN83" s="173">
        <f t="shared" si="50"/>
        <v>2</v>
      </c>
      <c r="BO83" s="173">
        <f t="shared" si="50"/>
        <v>2</v>
      </c>
      <c r="BP83" s="173">
        <f t="shared" si="50"/>
        <v>1</v>
      </c>
      <c r="BQ83" s="173">
        <f t="shared" si="50"/>
        <v>1</v>
      </c>
      <c r="BR83" s="173">
        <f t="shared" si="50"/>
        <v>1</v>
      </c>
      <c r="BS83" s="173">
        <f t="shared" si="50"/>
        <v>1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1</v>
      </c>
      <c r="CI83" s="173">
        <f t="shared" si="51"/>
        <v>1</v>
      </c>
      <c r="CJ83" s="173">
        <f t="shared" si="51"/>
        <v>1</v>
      </c>
      <c r="CK83" s="173">
        <f t="shared" si="51"/>
        <v>1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1</v>
      </c>
      <c r="CU83" s="173">
        <f t="shared" si="51"/>
        <v>1</v>
      </c>
      <c r="CV83" s="173">
        <f t="shared" si="51"/>
        <v>2</v>
      </c>
      <c r="CW83" s="173">
        <f t="shared" si="51"/>
        <v>2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7.5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22</v>
      </c>
      <c r="BB85" s="62">
        <f t="shared" si="56"/>
        <v>22</v>
      </c>
      <c r="BC85" s="62">
        <f t="shared" si="56"/>
        <v>22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22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22</v>
      </c>
      <c r="CU85" s="62">
        <f t="shared" si="57"/>
        <v>22</v>
      </c>
      <c r="CV85" s="62">
        <f t="shared" si="57"/>
        <v>22</v>
      </c>
      <c r="CW85" s="62">
        <f t="shared" si="57"/>
        <v>22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7</v>
      </c>
      <c r="C86" s="176"/>
      <c r="D86" s="176"/>
      <c r="E86" s="176"/>
      <c r="F86" s="173">
        <f>B86*[1]Eco!$B$108*[1]Eco!$B$109</f>
        <v>1680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21</v>
      </c>
      <c r="BB86" s="190">
        <f>IF(BB85=0,0,HLOOKUP(BB85,[1]Trav!$C$39:$G$59,$AU$105))</f>
        <v>21</v>
      </c>
      <c r="BC86" s="190">
        <f>IF(BC85=0,0,HLOOKUP(BC85,[1]Trav!$C$39:$G$59,$AU$105))</f>
        <v>21</v>
      </c>
      <c r="BD86" s="190">
        <f>IF(BD85=0,0,HLOOKUP(BD85,[1]Trav!$C$39:$G$59,$AU$105))</f>
        <v>21</v>
      </c>
      <c r="BE86" s="190">
        <f>IF(BE85=0,0,HLOOKUP(BE85,[1]Trav!$C$39:$G$59,$AU$105))</f>
        <v>21</v>
      </c>
      <c r="BF86" s="190">
        <f>IF(BF85=0,0,HLOOKUP(BF85,[1]Trav!$C$39:$G$59,$AU$105))</f>
        <v>21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21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21</v>
      </c>
      <c r="CI86" s="190">
        <f>IF(CI85=0,0,HLOOKUP(CI85,[1]Trav!$C$39:$G$59,$AU$105))</f>
        <v>21</v>
      </c>
      <c r="CJ86" s="190">
        <f>IF(CJ85=0,0,HLOOKUP(CJ85,[1]Trav!$C$39:$G$59,$AU$105))</f>
        <v>21</v>
      </c>
      <c r="CK86" s="190">
        <f>IF(CK85=0,0,HLOOKUP(CK85,[1]Trav!$C$39:$G$59,$AU$105))</f>
        <v>21</v>
      </c>
      <c r="CL86" s="190">
        <f>IF(CL85=0,0,HLOOKUP(CL85,[1]Trav!$C$39:$G$59,$AU$105))</f>
        <v>0</v>
      </c>
      <c r="CM86" s="190">
        <f>IF(CM85=0,0,HLOOKUP(CM85,[1]Trav!$C$39:$G$59,$AU$105))</f>
        <v>0</v>
      </c>
      <c r="CN86" s="190">
        <f>IF(CN85=0,0,HLOOKUP(CN85,[1]Trav!$C$39:$G$59,$AU$105))</f>
        <v>0</v>
      </c>
      <c r="CO86" s="190">
        <f>IF(CO85=0,0,HLOOKUP(CO85,[1]Trav!$C$39:$G$59,$AU$105))</f>
        <v>0</v>
      </c>
      <c r="CP86" s="190">
        <f>IF(CP85=0,0,HLOOKUP(CP85,[1]Trav!$C$39:$G$59,$AU$105))</f>
        <v>0</v>
      </c>
      <c r="CQ86" s="190">
        <f>IF(CQ85=0,0,HLOOKUP(CQ85,[1]Trav!$C$39:$G$59,$AU$105))</f>
        <v>0</v>
      </c>
      <c r="CR86" s="190">
        <f>IF(CR85=0,0,HLOOKUP(CR85,[1]Trav!$C$39:$G$59,$AU$105))</f>
        <v>0</v>
      </c>
      <c r="CS86" s="190">
        <f>IF(CS85=0,0,HLOOKUP(CS85,[1]Trav!$C$39:$G$59,$AU$105))</f>
        <v>0</v>
      </c>
      <c r="CT86" s="190">
        <f>IF(CT85=0,0,HLOOKUP(CT85,[1]Trav!$C$39:$G$59,$AU$105))</f>
        <v>21</v>
      </c>
      <c r="CU86" s="190">
        <f>IF(CU85=0,0,HLOOKUP(CU85,[1]Trav!$C$39:$G$59,$AU$105))</f>
        <v>21</v>
      </c>
      <c r="CV86" s="190">
        <f>IF(CV85=0,0,HLOOKUP(CV85,[1]Trav!$C$39:$G$59,$AU$105))</f>
        <v>21</v>
      </c>
      <c r="CW86" s="190">
        <f>IF(CW85=0,0,HLOOKUP(CW85,[1]Trav!$C$39:$G$59,$AU$105))</f>
        <v>21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1388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0</v>
      </c>
      <c r="CM87" s="190">
        <f>IF(CM85=0,0,HLOOKUP(CM85,[1]Trav!$C$62:$G$82,$AU$105))</f>
        <v>0</v>
      </c>
      <c r="CN87" s="190">
        <f>IF(CN85=0,0,HLOOKUP(CN85,[1]Trav!$C$62:$G$82,$AU$105))</f>
        <v>0</v>
      </c>
      <c r="CO87" s="190">
        <f>IF(CO85=0,0,HLOOKUP(CO85,[1]Trav!$C$62:$G$82,$AU$105))</f>
        <v>0</v>
      </c>
      <c r="CP87" s="190">
        <f>IF(CP85=0,0,HLOOKUP(CP85,[1]Trav!$C$62:$G$82,$AU$105))</f>
        <v>0</v>
      </c>
      <c r="CQ87" s="190">
        <f>IF(CQ85=0,0,HLOOKUP(CQ85,[1]Trav!$C$62:$G$82,$AU$105))</f>
        <v>0</v>
      </c>
      <c r="CR87" s="190">
        <f>IF(CR85=0,0,HLOOKUP(CR85,[1]Trav!$C$62:$G$82,$AU$105))</f>
        <v>0</v>
      </c>
      <c r="CS87" s="190">
        <f>IF(CS85=0,0,HLOOKUP(CS85,[1]Trav!$C$62:$G$82,$AU$105))</f>
        <v>0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264.3478260869565</v>
      </c>
      <c r="AW90" s="173">
        <f t="shared" si="60"/>
        <v>261.70434782608697</v>
      </c>
      <c r="AX90" s="173">
        <f t="shared" si="60"/>
        <v>259.06086956521739</v>
      </c>
      <c r="AY90" s="173">
        <f t="shared" si="60"/>
        <v>257.73913043478262</v>
      </c>
      <c r="AZ90" s="173">
        <f t="shared" si="60"/>
        <v>256.4173913043478</v>
      </c>
      <c r="BA90" s="173">
        <f t="shared" si="60"/>
        <v>255.09565217391304</v>
      </c>
      <c r="BB90" s="173">
        <f t="shared" si="60"/>
        <v>253.77391304347827</v>
      </c>
      <c r="BC90" s="173">
        <f t="shared" si="60"/>
        <v>252.45217391304348</v>
      </c>
      <c r="BD90" s="173">
        <f t="shared" si="60"/>
        <v>249.80869565217392</v>
      </c>
      <c r="BE90" s="173">
        <f t="shared" si="60"/>
        <v>255.09565217391304</v>
      </c>
      <c r="BF90" s="173">
        <f t="shared" si="60"/>
        <v>255.09565217391304</v>
      </c>
      <c r="BG90" s="173">
        <f t="shared" si="60"/>
        <v>0</v>
      </c>
      <c r="BH90" s="173">
        <f t="shared" si="60"/>
        <v>0</v>
      </c>
      <c r="BI90" s="173">
        <f t="shared" si="60"/>
        <v>0</v>
      </c>
      <c r="BJ90" s="173">
        <f t="shared" si="60"/>
        <v>0</v>
      </c>
      <c r="BK90" s="173">
        <f t="shared" si="60"/>
        <v>0</v>
      </c>
      <c r="BL90" s="173">
        <f t="shared" si="60"/>
        <v>0</v>
      </c>
      <c r="BM90" s="173">
        <f t="shared" si="60"/>
        <v>0</v>
      </c>
      <c r="BN90" s="173">
        <f t="shared" si="60"/>
        <v>255.09565217391304</v>
      </c>
      <c r="BO90" s="173">
        <f t="shared" si="60"/>
        <v>278.88695652173914</v>
      </c>
      <c r="BP90" s="173">
        <f t="shared" si="60"/>
        <v>278.88695652173914</v>
      </c>
      <c r="BQ90" s="173">
        <f t="shared" si="60"/>
        <v>264.3478260869565</v>
      </c>
      <c r="BR90" s="173">
        <f t="shared" si="60"/>
        <v>264.3478260869565</v>
      </c>
      <c r="BS90" s="173">
        <f t="shared" si="60"/>
        <v>264.3478260869565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14.44</v>
      </c>
      <c r="CC90" s="173">
        <f t="shared" si="62"/>
        <v>14.44</v>
      </c>
      <c r="CD90" s="173">
        <f t="shared" si="62"/>
        <v>14.44</v>
      </c>
      <c r="CE90" s="173">
        <f t="shared" si="62"/>
        <v>14.44</v>
      </c>
      <c r="CF90" s="173">
        <f t="shared" si="62"/>
        <v>14.44</v>
      </c>
      <c r="CG90" s="173">
        <f t="shared" si="62"/>
        <v>14.44</v>
      </c>
      <c r="CH90" s="173">
        <f t="shared" si="62"/>
        <v>14.44</v>
      </c>
      <c r="CI90" s="173">
        <f t="shared" si="62"/>
        <v>14.44</v>
      </c>
      <c r="CJ90" s="173">
        <f t="shared" si="62"/>
        <v>14.44</v>
      </c>
      <c r="CK90" s="173">
        <f t="shared" si="62"/>
        <v>14.44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13.68</v>
      </c>
      <c r="CU90" s="173">
        <f t="shared" si="62"/>
        <v>13.68</v>
      </c>
      <c r="CV90" s="173">
        <f t="shared" si="62"/>
        <v>14.44</v>
      </c>
      <c r="CW90" s="173">
        <f t="shared" si="62"/>
        <v>14.44</v>
      </c>
      <c r="CX90" s="173">
        <f t="shared" si="62"/>
        <v>14.44</v>
      </c>
      <c r="CY90" s="173">
        <f t="shared" si="62"/>
        <v>14.44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1886.1554782608696</v>
      </c>
      <c r="C91" s="5"/>
      <c r="D91" s="202">
        <f>B91/Troupeau!$B$17</f>
        <v>6.2044588100686502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25.11304347826087</v>
      </c>
      <c r="AW91" s="173">
        <f t="shared" si="60"/>
        <v>25.11304347826087</v>
      </c>
      <c r="AX91" s="173">
        <f t="shared" si="60"/>
        <v>25.11304347826087</v>
      </c>
      <c r="AY91" s="173">
        <f t="shared" si="60"/>
        <v>25.11304347826087</v>
      </c>
      <c r="AZ91" s="173">
        <f t="shared" si="60"/>
        <v>25.11304347826087</v>
      </c>
      <c r="BA91" s="173">
        <f t="shared" si="60"/>
        <v>25.11304347826087</v>
      </c>
      <c r="BB91" s="173">
        <f t="shared" si="60"/>
        <v>25.11304347826087</v>
      </c>
      <c r="BC91" s="173">
        <f t="shared" si="60"/>
        <v>25.11304347826087</v>
      </c>
      <c r="BD91" s="173">
        <f t="shared" si="60"/>
        <v>25.11304347826087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25.11304347826087</v>
      </c>
      <c r="BP91" s="173">
        <f t="shared" si="60"/>
        <v>25.11304347826087</v>
      </c>
      <c r="BQ91" s="173">
        <f t="shared" si="60"/>
        <v>25.11304347826087</v>
      </c>
      <c r="BR91" s="173">
        <f t="shared" si="60"/>
        <v>25.11304347826087</v>
      </c>
      <c r="BS91" s="173">
        <f t="shared" si="60"/>
        <v>25.11304347826087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0</v>
      </c>
      <c r="CH91" s="173">
        <f t="shared" si="62"/>
        <v>0</v>
      </c>
      <c r="CI91" s="173">
        <f t="shared" si="62"/>
        <v>0</v>
      </c>
      <c r="CJ91" s="173">
        <f t="shared" si="62"/>
        <v>0</v>
      </c>
      <c r="CK91" s="173">
        <f t="shared" si="62"/>
        <v>0</v>
      </c>
      <c r="CL91" s="173">
        <f t="shared" si="62"/>
        <v>0</v>
      </c>
      <c r="CM91" s="173">
        <f t="shared" si="62"/>
        <v>0</v>
      </c>
      <c r="CN91" s="173">
        <f t="shared" si="62"/>
        <v>0</v>
      </c>
      <c r="CO91" s="173">
        <f t="shared" si="62"/>
        <v>0</v>
      </c>
      <c r="CP91" s="173">
        <f t="shared" si="62"/>
        <v>0</v>
      </c>
      <c r="CQ91" s="173">
        <f t="shared" si="62"/>
        <v>0</v>
      </c>
      <c r="CR91" s="173">
        <f t="shared" si="62"/>
        <v>0</v>
      </c>
      <c r="CS91" s="173">
        <f t="shared" si="62"/>
        <v>0</v>
      </c>
      <c r="CT91" s="173">
        <f t="shared" si="62"/>
        <v>0</v>
      </c>
      <c r="CU91" s="173">
        <f t="shared" si="62"/>
        <v>0</v>
      </c>
      <c r="CV91" s="173">
        <f t="shared" si="62"/>
        <v>1.52</v>
      </c>
      <c r="CW91" s="173">
        <f t="shared" si="62"/>
        <v>0.76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693</v>
      </c>
      <c r="C92" s="5"/>
      <c r="D92" s="202">
        <f>IF(B92=0,0,B92/Troupeau!$C$17)</f>
        <v>36.473684210526315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68.730434782608697</v>
      </c>
      <c r="AW92" s="173">
        <f t="shared" si="60"/>
        <v>68.730434782608697</v>
      </c>
      <c r="AX92" s="173">
        <f t="shared" si="60"/>
        <v>68.730434782608697</v>
      </c>
      <c r="AY92" s="173">
        <f t="shared" si="60"/>
        <v>68.730434782608697</v>
      </c>
      <c r="AZ92" s="173">
        <f t="shared" si="60"/>
        <v>68.730434782608697</v>
      </c>
      <c r="BA92" s="173">
        <f t="shared" si="60"/>
        <v>68.730434782608697</v>
      </c>
      <c r="BB92" s="173">
        <f t="shared" si="60"/>
        <v>68.730434782608697</v>
      </c>
      <c r="BC92" s="173">
        <f t="shared" si="60"/>
        <v>68.730434782608697</v>
      </c>
      <c r="BD92" s="173">
        <f t="shared" si="60"/>
        <v>68.730434782608697</v>
      </c>
      <c r="BE92" s="173">
        <f t="shared" si="60"/>
        <v>68.730434782608697</v>
      </c>
      <c r="BF92" s="173">
        <f t="shared" si="60"/>
        <v>68.730434782608697</v>
      </c>
      <c r="BG92" s="173">
        <f t="shared" si="60"/>
        <v>68.730434782608697</v>
      </c>
      <c r="BH92" s="173">
        <f t="shared" si="60"/>
        <v>68.730434782608697</v>
      </c>
      <c r="BI92" s="173">
        <f t="shared" si="60"/>
        <v>68.730434782608697</v>
      </c>
      <c r="BJ92" s="173">
        <f t="shared" si="60"/>
        <v>68.730434782608697</v>
      </c>
      <c r="BK92" s="173">
        <f t="shared" si="60"/>
        <v>68.730434782608697</v>
      </c>
      <c r="BL92" s="173">
        <f t="shared" si="60"/>
        <v>68.730434782608697</v>
      </c>
      <c r="BM92" s="173">
        <f t="shared" si="60"/>
        <v>68.730434782608697</v>
      </c>
      <c r="BN92" s="173">
        <f t="shared" si="60"/>
        <v>68.730434782608697</v>
      </c>
      <c r="BO92" s="173">
        <f t="shared" si="60"/>
        <v>0</v>
      </c>
      <c r="BP92" s="173">
        <f t="shared" si="60"/>
        <v>0</v>
      </c>
      <c r="BQ92" s="173">
        <f t="shared" si="60"/>
        <v>68.730434782608697</v>
      </c>
      <c r="BR92" s="173">
        <f t="shared" si="60"/>
        <v>68.730434782608697</v>
      </c>
      <c r="BS92" s="173">
        <f t="shared" si="60"/>
        <v>68.730434782608697</v>
      </c>
      <c r="BY92" s="2"/>
      <c r="BZ92" s="189" t="str">
        <f t="shared" si="61"/>
        <v>genisses +1an</v>
      </c>
      <c r="CB92" s="173">
        <f t="shared" si="62"/>
        <v>9.1199999999999992</v>
      </c>
      <c r="CC92" s="173">
        <f t="shared" si="62"/>
        <v>9.1199999999999992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9.1199999999999992</v>
      </c>
      <c r="CY92" s="173">
        <f t="shared" si="62"/>
        <v>9.1199999999999992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0</v>
      </c>
      <c r="AW93" s="173">
        <f t="shared" si="60"/>
        <v>0</v>
      </c>
      <c r="AX93" s="173">
        <f t="shared" si="60"/>
        <v>0</v>
      </c>
      <c r="AY93" s="173">
        <f t="shared" si="60"/>
        <v>0</v>
      </c>
      <c r="AZ93" s="173">
        <f t="shared" si="60"/>
        <v>0</v>
      </c>
      <c r="BA93" s="173">
        <f t="shared" si="60"/>
        <v>0</v>
      </c>
      <c r="BB93" s="173">
        <f t="shared" si="60"/>
        <v>0</v>
      </c>
      <c r="BC93" s="173">
        <f t="shared" si="60"/>
        <v>0</v>
      </c>
      <c r="BD93" s="173">
        <f t="shared" si="60"/>
        <v>0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0</v>
      </c>
      <c r="BP93" s="173">
        <f t="shared" si="60"/>
        <v>0</v>
      </c>
      <c r="BQ93" s="173">
        <f t="shared" si="60"/>
        <v>0</v>
      </c>
      <c r="BR93" s="173">
        <f t="shared" si="60"/>
        <v>0</v>
      </c>
      <c r="BS93" s="173">
        <f t="shared" si="60"/>
        <v>0</v>
      </c>
      <c r="BY93" s="2"/>
      <c r="BZ93" s="189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2579.1554782608696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784</v>
      </c>
      <c r="C95" s="5"/>
      <c r="D95" s="202">
        <f>B95/Troupeau!$B$17</f>
        <v>2.5789473684210527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2">
        <f>IF(B96=0,0,B96/Troupeau!$C$17)</f>
        <v>0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784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1427.77</v>
      </c>
      <c r="C99" s="5"/>
      <c r="D99" s="202">
        <f>B99/Troupeau!$B$17</f>
        <v>4.6966118421052627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358.19130434782608</v>
      </c>
      <c r="AW99" s="62">
        <f t="shared" ref="AW99:BS99" si="68">SUM(AW90:AW98)</f>
        <v>355.54782608695655</v>
      </c>
      <c r="AX99" s="62">
        <f t="shared" si="68"/>
        <v>352.90434782608696</v>
      </c>
      <c r="AY99" s="62">
        <f t="shared" si="68"/>
        <v>351.5826086956522</v>
      </c>
      <c r="AZ99" s="62">
        <f t="shared" si="68"/>
        <v>350.26086956521738</v>
      </c>
      <c r="BA99" s="62">
        <f t="shared" si="68"/>
        <v>348.93913043478261</v>
      </c>
      <c r="BB99" s="62">
        <f t="shared" si="68"/>
        <v>347.61739130434785</v>
      </c>
      <c r="BC99" s="62">
        <f t="shared" si="68"/>
        <v>346.29565217391308</v>
      </c>
      <c r="BD99" s="62">
        <f t="shared" si="68"/>
        <v>343.6521739130435</v>
      </c>
      <c r="BE99" s="62">
        <f t="shared" si="68"/>
        <v>323.82608695652175</v>
      </c>
      <c r="BF99" s="62">
        <f t="shared" si="68"/>
        <v>323.82608695652175</v>
      </c>
      <c r="BG99" s="62">
        <f t="shared" si="68"/>
        <v>68.730434782608697</v>
      </c>
      <c r="BH99" s="62">
        <f t="shared" si="68"/>
        <v>68.730434782608697</v>
      </c>
      <c r="BI99" s="62">
        <f t="shared" si="68"/>
        <v>68.730434782608697</v>
      </c>
      <c r="BJ99" s="62">
        <f t="shared" si="68"/>
        <v>68.730434782608697</v>
      </c>
      <c r="BK99" s="62">
        <f t="shared" si="68"/>
        <v>68.730434782608697</v>
      </c>
      <c r="BL99" s="62">
        <f t="shared" si="68"/>
        <v>68.730434782608697</v>
      </c>
      <c r="BM99" s="62">
        <f t="shared" si="68"/>
        <v>68.730434782608697</v>
      </c>
      <c r="BN99" s="62">
        <f t="shared" si="68"/>
        <v>323.82608695652175</v>
      </c>
      <c r="BO99" s="62">
        <f t="shared" si="68"/>
        <v>304</v>
      </c>
      <c r="BP99" s="62">
        <f t="shared" si="68"/>
        <v>304</v>
      </c>
      <c r="BQ99" s="62">
        <f t="shared" si="68"/>
        <v>358.19130434782608</v>
      </c>
      <c r="BR99" s="62">
        <f t="shared" si="68"/>
        <v>358.19130434782608</v>
      </c>
      <c r="BS99" s="62">
        <f t="shared" si="68"/>
        <v>358.19130434782608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84</v>
      </c>
      <c r="C100" s="5"/>
      <c r="D100" s="202">
        <f>IF(B100=0,0,B100/Troupeau!$C$17)</f>
        <v>4.4210526315789478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7.1638260869565213</v>
      </c>
      <c r="AW100" s="173">
        <f t="shared" ref="AW100:BS100" si="71">IF($AT$2="OL",AW99/50,AW99/10)</f>
        <v>7.1109565217391308</v>
      </c>
      <c r="AX100" s="173">
        <f t="shared" si="71"/>
        <v>7.0580869565217395</v>
      </c>
      <c r="AY100" s="173">
        <f t="shared" si="71"/>
        <v>7.0316521739130442</v>
      </c>
      <c r="AZ100" s="173">
        <f t="shared" si="71"/>
        <v>7.0052173913043472</v>
      </c>
      <c r="BA100" s="173">
        <f t="shared" si="71"/>
        <v>6.9787826086956519</v>
      </c>
      <c r="BB100" s="173">
        <f t="shared" si="71"/>
        <v>6.9523478260869567</v>
      </c>
      <c r="BC100" s="173">
        <f t="shared" si="71"/>
        <v>6.9259130434782614</v>
      </c>
      <c r="BD100" s="173">
        <f t="shared" si="71"/>
        <v>6.87304347826087</v>
      </c>
      <c r="BE100" s="173">
        <f t="shared" si="71"/>
        <v>6.4765217391304351</v>
      </c>
      <c r="BF100" s="173">
        <f t="shared" si="71"/>
        <v>6.4765217391304351</v>
      </c>
      <c r="BG100" s="173">
        <f t="shared" si="71"/>
        <v>1.3746086956521739</v>
      </c>
      <c r="BH100" s="173">
        <f t="shared" si="71"/>
        <v>1.3746086956521739</v>
      </c>
      <c r="BI100" s="173">
        <f t="shared" si="71"/>
        <v>1.3746086956521739</v>
      </c>
      <c r="BJ100" s="173">
        <f t="shared" si="71"/>
        <v>1.3746086956521739</v>
      </c>
      <c r="BK100" s="173">
        <f t="shared" si="71"/>
        <v>1.3746086956521739</v>
      </c>
      <c r="BL100" s="173">
        <f t="shared" si="71"/>
        <v>1.3746086956521739</v>
      </c>
      <c r="BM100" s="173">
        <f t="shared" si="71"/>
        <v>1.3746086956521739</v>
      </c>
      <c r="BN100" s="173">
        <f t="shared" si="71"/>
        <v>6.4765217391304351</v>
      </c>
      <c r="BO100" s="173">
        <f t="shared" si="71"/>
        <v>6.08</v>
      </c>
      <c r="BP100" s="173">
        <f t="shared" si="71"/>
        <v>6.08</v>
      </c>
      <c r="BQ100" s="173">
        <f t="shared" si="71"/>
        <v>7.1638260869565213</v>
      </c>
      <c r="BR100" s="173">
        <f t="shared" si="71"/>
        <v>7.1638260869565213</v>
      </c>
      <c r="BS100" s="173">
        <f t="shared" si="71"/>
        <v>7.1638260869565213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6.1638260869565213</v>
      </c>
      <c r="AW101" s="173">
        <f t="shared" ref="AW101:BS101" si="74">IF(AW100&gt;1,AW100-1,0)</f>
        <v>6.1109565217391308</v>
      </c>
      <c r="AX101" s="173">
        <f t="shared" si="74"/>
        <v>6.0580869565217395</v>
      </c>
      <c r="AY101" s="173">
        <f t="shared" si="74"/>
        <v>6.0316521739130442</v>
      </c>
      <c r="AZ101" s="173">
        <f t="shared" si="74"/>
        <v>6.0052173913043472</v>
      </c>
      <c r="BA101" s="173">
        <f t="shared" si="74"/>
        <v>5.9787826086956519</v>
      </c>
      <c r="BB101" s="173">
        <f t="shared" si="74"/>
        <v>5.9523478260869567</v>
      </c>
      <c r="BC101" s="173">
        <f t="shared" si="74"/>
        <v>5.9259130434782614</v>
      </c>
      <c r="BD101" s="173">
        <f t="shared" si="74"/>
        <v>5.87304347826087</v>
      </c>
      <c r="BE101" s="173">
        <f t="shared" si="74"/>
        <v>5.4765217391304351</v>
      </c>
      <c r="BF101" s="173">
        <f t="shared" si="74"/>
        <v>5.4765217391304351</v>
      </c>
      <c r="BG101" s="173">
        <f t="shared" si="74"/>
        <v>0.37460869565217392</v>
      </c>
      <c r="BH101" s="173">
        <f t="shared" si="74"/>
        <v>0.37460869565217392</v>
      </c>
      <c r="BI101" s="173">
        <f t="shared" si="74"/>
        <v>0.37460869565217392</v>
      </c>
      <c r="BJ101" s="173">
        <f t="shared" si="74"/>
        <v>0.37460869565217392</v>
      </c>
      <c r="BK101" s="173">
        <f t="shared" si="74"/>
        <v>0.37460869565217392</v>
      </c>
      <c r="BL101" s="173">
        <f t="shared" si="74"/>
        <v>0.37460869565217392</v>
      </c>
      <c r="BM101" s="173">
        <f t="shared" si="74"/>
        <v>0.37460869565217392</v>
      </c>
      <c r="BN101" s="173">
        <f t="shared" si="74"/>
        <v>5.4765217391304351</v>
      </c>
      <c r="BO101" s="173">
        <f t="shared" si="74"/>
        <v>5.08</v>
      </c>
      <c r="BP101" s="173">
        <f t="shared" si="74"/>
        <v>5.08</v>
      </c>
      <c r="BQ101" s="173">
        <f t="shared" si="74"/>
        <v>6.1638260869565213</v>
      </c>
      <c r="BR101" s="173">
        <f t="shared" si="74"/>
        <v>6.1638260869565213</v>
      </c>
      <c r="BS101" s="173">
        <f t="shared" si="74"/>
        <v>6.1638260869565213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1511.77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52.786695652173911</v>
      </c>
      <c r="AW102" s="62">
        <f t="shared" ref="AW102:BS102" si="77">AW86+AW87*AW101</f>
        <v>52.694173913043478</v>
      </c>
      <c r="AX102" s="62">
        <f t="shared" si="77"/>
        <v>52.601652173913045</v>
      </c>
      <c r="AY102" s="62">
        <f t="shared" si="77"/>
        <v>52.555391304347829</v>
      </c>
      <c r="AZ102" s="62">
        <f t="shared" si="77"/>
        <v>52.509130434782605</v>
      </c>
      <c r="BA102" s="62">
        <f t="shared" si="77"/>
        <v>31.462869565217389</v>
      </c>
      <c r="BB102" s="62">
        <f t="shared" si="77"/>
        <v>31.416608695652172</v>
      </c>
      <c r="BC102" s="62">
        <f t="shared" si="77"/>
        <v>31.370347826086956</v>
      </c>
      <c r="BD102" s="62">
        <f t="shared" si="77"/>
        <v>31.277826086956523</v>
      </c>
      <c r="BE102" s="62">
        <f t="shared" si="77"/>
        <v>30.583913043478262</v>
      </c>
      <c r="BF102" s="62">
        <f t="shared" si="77"/>
        <v>30.583913043478262</v>
      </c>
      <c r="BG102" s="62">
        <f t="shared" si="77"/>
        <v>21.655565217391306</v>
      </c>
      <c r="BH102" s="62">
        <f t="shared" si="77"/>
        <v>21.655565217391306</v>
      </c>
      <c r="BI102" s="62">
        <f t="shared" si="77"/>
        <v>21.655565217391306</v>
      </c>
      <c r="BJ102" s="62">
        <f t="shared" si="77"/>
        <v>21.655565217391306</v>
      </c>
      <c r="BK102" s="62">
        <f t="shared" si="77"/>
        <v>21.655565217391306</v>
      </c>
      <c r="BL102" s="62">
        <f t="shared" si="77"/>
        <v>21.655565217391306</v>
      </c>
      <c r="BM102" s="62">
        <f t="shared" si="77"/>
        <v>21.655565217391306</v>
      </c>
      <c r="BN102" s="62">
        <f t="shared" si="77"/>
        <v>30.583913043478262</v>
      </c>
      <c r="BO102" s="62">
        <f t="shared" si="77"/>
        <v>29.89</v>
      </c>
      <c r="BP102" s="62">
        <f t="shared" si="77"/>
        <v>50.89</v>
      </c>
      <c r="BQ102" s="62">
        <f t="shared" si="77"/>
        <v>52.786695652173911</v>
      </c>
      <c r="BR102" s="62">
        <f t="shared" si="77"/>
        <v>52.786695652173911</v>
      </c>
      <c r="BS102" s="62">
        <f t="shared" si="77"/>
        <v>52.786695652173911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21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21</v>
      </c>
      <c r="CU102" s="62">
        <f t="shared" si="78"/>
        <v>21</v>
      </c>
      <c r="CV102" s="62">
        <f t="shared" si="78"/>
        <v>21</v>
      </c>
      <c r="CW102" s="62">
        <f t="shared" si="78"/>
        <v>21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1442</v>
      </c>
      <c r="C103" s="5"/>
      <c r="D103" s="202">
        <f>B103/Troupeau!$B$17</f>
        <v>4.7434210526315788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2</v>
      </c>
      <c r="BZ105" s="147" t="s">
        <v>853</v>
      </c>
      <c r="CA105" s="17">
        <f>VLOOKUP(CA59,[1]Trav!$B$12:$C$31,2)</f>
        <v>3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 t="e">
        <f>VLOOKUP(DD59,[1]Trav!$B$12:$C$31,2)</f>
        <v>#N/A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1442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0</v>
      </c>
      <c r="BH106" s="190">
        <f>IF(BH60&gt;0,HLOOKUP(BH60,[1]Trav!$C$11:$O$31,$AU$105),0)</f>
        <v>0</v>
      </c>
      <c r="BI106" s="190">
        <f>IF(BI60&gt;0,HLOOKUP(BI60,[1]Trav!$C$11:$O$31,$AU$105),0)</f>
        <v>0</v>
      </c>
      <c r="BJ106" s="190">
        <f>IF(BJ60&gt;0,HLOOKUP(BJ60,[1]Trav!$C$11:$O$31,$AU$105),0)</f>
        <v>0</v>
      </c>
      <c r="BK106" s="190">
        <f>IF(BK60&gt;0,HLOOKUP(BK60,[1]Trav!$C$11:$O$31,$AU$105),0)</f>
        <v>0</v>
      </c>
      <c r="BL106" s="190">
        <f>IF(BL60&gt;0,HLOOKUP(BL60,[1]Trav!$C$11:$O$31,$AU$105),0)</f>
        <v>0</v>
      </c>
      <c r="BM106" s="190">
        <f>IF(BM60&gt;0,HLOOKUP(BM60,[1]Trav!$C$11:$O$31,$AU$105),0)</f>
        <v>0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10.5</v>
      </c>
      <c r="CI106" s="190">
        <f>IF(CI60&gt;0,HLOOKUP(CI60,[1]Trav!$C$11:$O$31,$CA$105),0)</f>
        <v>10.5</v>
      </c>
      <c r="CJ106" s="190">
        <f>IF(CJ60&gt;0,HLOOKUP(CJ60,[1]Trav!$C$11:$O$31,$CA$105),0)</f>
        <v>14</v>
      </c>
      <c r="CK106" s="190">
        <f>IF(CK60&gt;0,HLOOKUP(CK60,[1]Trav!$C$11:$O$31,$CA$105),0)</f>
        <v>14</v>
      </c>
      <c r="CL106" s="190">
        <f>IF(CL60&gt;0,HLOOKUP(CL60,[1]Trav!$C$11:$O$31,$CA$105),0)</f>
        <v>5.25</v>
      </c>
      <c r="CM106" s="190">
        <f>IF(CM60&gt;0,HLOOKUP(CM60,[1]Trav!$C$11:$O$31,$CA$105),0)</f>
        <v>5.25</v>
      </c>
      <c r="CN106" s="190">
        <f>IF(CN60&gt;0,HLOOKUP(CN60,[1]Trav!$C$11:$O$31,$CA$105),0)</f>
        <v>5.25</v>
      </c>
      <c r="CO106" s="190">
        <f>IF(CO60&gt;0,HLOOKUP(CO60,[1]Trav!$C$11:$O$31,$CA$105),0)</f>
        <v>3.5</v>
      </c>
      <c r="CP106" s="190">
        <f>IF(CP60&gt;0,HLOOKUP(CP60,[1]Trav!$C$11:$O$31,$CA$105),0)</f>
        <v>3.5</v>
      </c>
      <c r="CQ106" s="190">
        <f>IF(CQ60&gt;0,HLOOKUP(CQ60,[1]Trav!$C$11:$O$31,$CA$105),0)</f>
        <v>3.5</v>
      </c>
      <c r="CR106" s="190">
        <f>IF(CR60&gt;0,HLOOKUP(CR60,[1]Trav!$C$11:$O$31,$CA$105),0)</f>
        <v>5.25</v>
      </c>
      <c r="CS106" s="190">
        <f>IF(CS60&gt;0,HLOOKUP(CS60,[1]Trav!$C$11:$O$31,$CA$105),0)</f>
        <v>5.25</v>
      </c>
      <c r="CT106" s="190">
        <f>IF(CT60&gt;0,HLOOKUP(CT60,[1]Trav!$C$11:$O$31,$CA$105),0)</f>
        <v>14</v>
      </c>
      <c r="CU106" s="190">
        <f>IF(CU60&gt;0,HLOOKUP(CU60,[1]Trav!$C$11:$O$31,$CA$105),0)</f>
        <v>14</v>
      </c>
      <c r="CV106" s="190">
        <f>IF(CV60&gt;0,HLOOKUP(CV60,[1]Trav!$C$11:$O$31,$CA$105),0)</f>
        <v>14</v>
      </c>
      <c r="CW106" s="190">
        <f>IF(CW60&gt;0,HLOOKUP(CW60,[1]Trav!$C$11:$O$31,$CA$105),0)</f>
        <v>14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21</v>
      </c>
      <c r="AW107" s="190">
        <f>IF(AW61&gt;0,HLOOKUP(AW61,[1]Trav!$C$11:$O$31,$AU$105),0)</f>
        <v>21</v>
      </c>
      <c r="AX107" s="190">
        <f>IF(AX61&gt;0,HLOOKUP(AX61,[1]Trav!$C$11:$O$31,$AU$105),0)</f>
        <v>21</v>
      </c>
      <c r="AY107" s="190">
        <f>IF(AY61&gt;0,HLOOKUP(AY61,[1]Trav!$C$11:$O$31,$AU$105),0)</f>
        <v>21</v>
      </c>
      <c r="AZ107" s="190">
        <f>IF(AZ61&gt;0,HLOOKUP(AZ61,[1]Trav!$C$11:$O$31,$AU$105),0)</f>
        <v>21</v>
      </c>
      <c r="BA107" s="190">
        <f>IF(BA61&gt;0,HLOOKUP(BA61,[1]Trav!$C$11:$O$31,$AU$105),0)</f>
        <v>21</v>
      </c>
      <c r="BB107" s="190">
        <f>IF(BB61&gt;0,HLOOKUP(BB61,[1]Trav!$C$11:$O$31,$AU$105),0)</f>
        <v>21</v>
      </c>
      <c r="BC107" s="190">
        <f>IF(BC61&gt;0,HLOOKUP(BC61,[1]Trav!$C$11:$O$31,$AU$105),0)</f>
        <v>21</v>
      </c>
      <c r="BD107" s="190">
        <f>IF(BD61&gt;0,HLOOKUP(BD61,[1]Trav!$C$11:$O$31,$AU$105),0)</f>
        <v>21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21</v>
      </c>
      <c r="BP107" s="190">
        <f>IF(BP61&gt;0,HLOOKUP(BP61,[1]Trav!$C$11:$O$31,$AU$105),0)</f>
        <v>21</v>
      </c>
      <c r="BQ107" s="190">
        <f>IF(BQ61&gt;0,HLOOKUP(BQ61,[1]Trav!$C$11:$O$31,$AU$105),0)</f>
        <v>21</v>
      </c>
      <c r="BR107" s="190">
        <f>IF(BR61&gt;0,HLOOKUP(BR61,[1]Trav!$C$11:$O$31,$AU$105),0)</f>
        <v>21</v>
      </c>
      <c r="BS107" s="190">
        <f>IF(BS61&gt;0,HLOOKUP(BS61,[1]Trav!$C$11:$O$31,$AU$105),0)</f>
        <v>21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3.5</v>
      </c>
      <c r="CH107" s="190">
        <f>IF(CH61&gt;0,HLOOKUP(CH61,[1]Trav!$C$11:$O$31,$CA$105),0)</f>
        <v>3.5</v>
      </c>
      <c r="CI107" s="190">
        <f>IF(CI61&gt;0,HLOOKUP(CI61,[1]Trav!$C$11:$O$31,$CA$105),0)</f>
        <v>3.5</v>
      </c>
      <c r="CJ107" s="190">
        <f>IF(CJ61&gt;0,HLOOKUP(CJ61,[1]Trav!$C$11:$O$31,$CA$105),0)</f>
        <v>3.5</v>
      </c>
      <c r="CK107" s="190">
        <f>IF(CK61&gt;0,HLOOKUP(CK61,[1]Trav!$C$11:$O$31,$CA$105),0)</f>
        <v>3.5</v>
      </c>
      <c r="CL107" s="190">
        <f>IF(CL61&gt;0,HLOOKUP(CL61,[1]Trav!$C$11:$O$31,$CA$105),0)</f>
        <v>3.5</v>
      </c>
      <c r="CM107" s="190">
        <f>IF(CM61&gt;0,HLOOKUP(CM61,[1]Trav!$C$11:$O$31,$CA$105),0)</f>
        <v>3.5</v>
      </c>
      <c r="CN107" s="190">
        <f>IF(CN61&gt;0,HLOOKUP(CN61,[1]Trav!$C$11:$O$31,$CA$105),0)</f>
        <v>3.5</v>
      </c>
      <c r="CO107" s="190">
        <f>IF(CO61&gt;0,HLOOKUP(CO61,[1]Trav!$C$11:$O$31,$CA$105),0)</f>
        <v>3.5</v>
      </c>
      <c r="CP107" s="190">
        <f>IF(CP61&gt;0,HLOOKUP(CP61,[1]Trav!$C$11:$O$31,$CA$105),0)</f>
        <v>3.5</v>
      </c>
      <c r="CQ107" s="190">
        <f>IF(CQ61&gt;0,HLOOKUP(CQ61,[1]Trav!$C$11:$O$31,$CA$105),0)</f>
        <v>3.5</v>
      </c>
      <c r="CR107" s="190">
        <f>IF(CR61&gt;0,HLOOKUP(CR61,[1]Trav!$C$11:$O$31,$CA$105),0)</f>
        <v>3.5</v>
      </c>
      <c r="CS107" s="190">
        <f>IF(CS61&gt;0,HLOOKUP(CS61,[1]Trav!$C$11:$O$31,$CA$105),0)</f>
        <v>3.5</v>
      </c>
      <c r="CT107" s="190">
        <f>IF(CT61&gt;0,HLOOKUP(CT61,[1]Trav!$C$11:$O$31,$CA$105),0)</f>
        <v>3.5</v>
      </c>
      <c r="CU107" s="190">
        <f>IF(CU61&gt;0,HLOOKUP(CU61,[1]Trav!$C$11:$O$31,$CA$105),0)</f>
        <v>3.5</v>
      </c>
      <c r="CV107" s="190">
        <f>IF(CV61&gt;0,HLOOKUP(CV61,[1]Trav!$C$11:$O$31,$CA$105),0)</f>
        <v>10.5</v>
      </c>
      <c r="CW107" s="190">
        <f>IF(CW61&gt;0,HLOOKUP(CW61,[1]Trav!$C$11:$O$31,$CA$105),0)</f>
        <v>10.5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304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14</v>
      </c>
      <c r="BB108" s="190">
        <f>IF(BB62&gt;0,HLOOKUP(BB62,[1]Trav!$C$11:$O$31,$AU$105),0)</f>
        <v>14</v>
      </c>
      <c r="BC108" s="190">
        <f>IF(BC62&gt;0,HLOOKUP(BC62,[1]Trav!$C$11:$O$31,$AU$105),0)</f>
        <v>14</v>
      </c>
      <c r="BD108" s="190">
        <f>IF(BD62&gt;0,HLOOKUP(BD62,[1]Trav!$C$11:$O$31,$AU$105),0)</f>
        <v>14</v>
      </c>
      <c r="BE108" s="190">
        <f>IF(BE62&gt;0,HLOOKUP(BE62,[1]Trav!$C$11:$O$31,$AU$105),0)</f>
        <v>14</v>
      </c>
      <c r="BF108" s="190">
        <f>IF(BF62&gt;0,HLOOKUP(BF62,[1]Trav!$C$11:$O$31,$AU$105),0)</f>
        <v>14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5.25</v>
      </c>
      <c r="CE108" s="190">
        <f>IF(CE62&gt;0,HLOOKUP(CE62,[1]Trav!$C$11:$O$31,$CA$105),0)</f>
        <v>5.25</v>
      </c>
      <c r="CF108" s="190">
        <f>IF(CF62&gt;0,HLOOKUP(CF62,[1]Trav!$C$11:$O$31,$CA$105),0)</f>
        <v>5.25</v>
      </c>
      <c r="CG108" s="190">
        <f>IF(CG62&gt;0,HLOOKUP(CG62,[1]Trav!$C$11:$O$31,$CA$105),0)</f>
        <v>5.25</v>
      </c>
      <c r="CH108" s="190">
        <f>IF(CH62&gt;0,HLOOKUP(CH62,[1]Trav!$C$11:$O$31,$CA$105),0)</f>
        <v>5.25</v>
      </c>
      <c r="CI108" s="190">
        <f>IF(CI62&gt;0,HLOOKUP(CI62,[1]Trav!$C$11:$O$31,$CA$105),0)</f>
        <v>5.25</v>
      </c>
      <c r="CJ108" s="190">
        <f>IF(CJ62&gt;0,HLOOKUP(CJ62,[1]Trav!$C$11:$O$31,$CA$105),0)</f>
        <v>5.25</v>
      </c>
      <c r="CK108" s="190">
        <f>IF(CK62&gt;0,HLOOKUP(CK62,[1]Trav!$C$11:$O$31,$CA$105),0)</f>
        <v>5.25</v>
      </c>
      <c r="CL108" s="190">
        <f>IF(CL62&gt;0,HLOOKUP(CL62,[1]Trav!$C$11:$O$31,$CA$105),0)</f>
        <v>5.25</v>
      </c>
      <c r="CM108" s="190">
        <f>IF(CM62&gt;0,HLOOKUP(CM62,[1]Trav!$C$11:$O$31,$CA$105),0)</f>
        <v>5.25</v>
      </c>
      <c r="CN108" s="190">
        <f>IF(CN62&gt;0,HLOOKUP(CN62,[1]Trav!$C$11:$O$31,$CA$105),0)</f>
        <v>5.25</v>
      </c>
      <c r="CO108" s="190">
        <f>IF(CO62&gt;0,HLOOKUP(CO62,[1]Trav!$C$11:$O$31,$CA$105),0)</f>
        <v>5.25</v>
      </c>
      <c r="CP108" s="190">
        <f>IF(CP62&gt;0,HLOOKUP(CP62,[1]Trav!$C$11:$O$31,$CA$105),0)</f>
        <v>5.25</v>
      </c>
      <c r="CQ108" s="190">
        <f>IF(CQ62&gt;0,HLOOKUP(CQ62,[1]Trav!$C$11:$O$31,$CA$105),0)</f>
        <v>5.25</v>
      </c>
      <c r="CR108" s="190">
        <f>IF(CR62&gt;0,HLOOKUP(CR62,[1]Trav!$C$11:$O$31,$CA$105),0)</f>
        <v>5.25</v>
      </c>
      <c r="CS108" s="190">
        <f>IF(CS62&gt;0,HLOOKUP(CS62,[1]Trav!$C$11:$O$31,$CA$105),0)</f>
        <v>5.25</v>
      </c>
      <c r="CT108" s="190">
        <f>IF(CT62&gt;0,HLOOKUP(CT62,[1]Trav!$C$11:$O$31,$CA$105),0)</f>
        <v>5.25</v>
      </c>
      <c r="CU108" s="190">
        <f>IF(CU62&gt;0,HLOOKUP(CU62,[1]Trav!$C$11:$O$31,$CA$105),0)</f>
        <v>3.5</v>
      </c>
      <c r="CV108" s="190">
        <f>IF(CV62&gt;0,HLOOKUP(CV62,[1]Trav!$C$11:$O$31,$CA$105),0)</f>
        <v>3.5</v>
      </c>
      <c r="CW108" s="190">
        <f>IF(CW62&gt;0,HLOOKUP(CW62,[1]Trav!$C$11:$O$31,$CA$105),0)</f>
        <v>3.5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275</v>
      </c>
      <c r="D109" s="197"/>
      <c r="AT109" s="189" t="str">
        <f t="shared" si="80"/>
        <v>beliers</v>
      </c>
      <c r="AV109" s="190">
        <f>IF(AV63&gt;0,HLOOKUP(AV63,[1]Trav!$C$11:$O$31,$AU$105),0)</f>
        <v>28</v>
      </c>
      <c r="AW109" s="190">
        <f>IF(AW63&gt;0,HLOOKUP(AW63,[1]Trav!$C$11:$O$31,$AU$105),0)</f>
        <v>28</v>
      </c>
      <c r="AX109" s="190">
        <f>IF(AX63&gt;0,HLOOKUP(AX63,[1]Trav!$C$11:$O$31,$AU$105),0)</f>
        <v>28</v>
      </c>
      <c r="AY109" s="190">
        <f>IF(AY63&gt;0,HLOOKUP(AY63,[1]Trav!$C$11:$O$31,$AU$105),0)</f>
        <v>28</v>
      </c>
      <c r="AZ109" s="190">
        <f>IF(AZ63&gt;0,HLOOKUP(AZ63,[1]Trav!$C$11:$O$31,$AU$105),0)</f>
        <v>28</v>
      </c>
      <c r="BA109" s="190">
        <f>IF(BA63&gt;0,HLOOKUP(BA63,[1]Trav!$C$11:$O$31,$AU$105),0)</f>
        <v>28</v>
      </c>
      <c r="BB109" s="190">
        <f>IF(BB63&gt;0,HLOOKUP(BB63,[1]Trav!$C$11:$O$31,$AU$105),0)</f>
        <v>28</v>
      </c>
      <c r="BC109" s="190">
        <f>IF(BC63&gt;0,HLOOKUP(BC63,[1]Trav!$C$11:$O$31,$AU$105),0)</f>
        <v>28</v>
      </c>
      <c r="BD109" s="190">
        <f>IF(BD63&gt;0,HLOOKUP(BD63,[1]Trav!$C$11:$O$31,$AU$105),0)</f>
        <v>21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28</v>
      </c>
      <c r="BP109" s="190">
        <f>IF(BP63&gt;0,HLOOKUP(BP63,[1]Trav!$C$11:$O$31,$AU$105),0)</f>
        <v>28</v>
      </c>
      <c r="BQ109" s="190">
        <f>IF(BQ63&gt;0,HLOOKUP(BQ63,[1]Trav!$C$11:$O$31,$AU$105),0)</f>
        <v>28</v>
      </c>
      <c r="BR109" s="190">
        <f>IF(BR63&gt;0,HLOOKUP(BR63,[1]Trav!$C$11:$O$31,$AU$105),0)</f>
        <v>28</v>
      </c>
      <c r="BS109" s="190">
        <f>IF(BS63&gt;0,HLOOKUP(BS63,[1]Trav!$C$11:$O$31,$AU$105),0)</f>
        <v>28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275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49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46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10.6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1680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49</v>
      </c>
      <c r="AW117" s="173">
        <f t="shared" ref="AW117:BS117" si="83">SUM(AW106:AW115)</f>
        <v>49</v>
      </c>
      <c r="AX117" s="173">
        <f t="shared" si="83"/>
        <v>49</v>
      </c>
      <c r="AY117" s="173">
        <f t="shared" si="83"/>
        <v>63</v>
      </c>
      <c r="AZ117" s="173">
        <f t="shared" si="83"/>
        <v>63</v>
      </c>
      <c r="BA117" s="173">
        <f t="shared" si="83"/>
        <v>77</v>
      </c>
      <c r="BB117" s="173">
        <f t="shared" si="83"/>
        <v>77</v>
      </c>
      <c r="BC117" s="173">
        <f t="shared" si="83"/>
        <v>77</v>
      </c>
      <c r="BD117" s="173">
        <f t="shared" si="83"/>
        <v>70</v>
      </c>
      <c r="BE117" s="173">
        <f t="shared" si="83"/>
        <v>28</v>
      </c>
      <c r="BF117" s="173">
        <f t="shared" si="83"/>
        <v>28</v>
      </c>
      <c r="BG117" s="173">
        <f t="shared" si="83"/>
        <v>14</v>
      </c>
      <c r="BH117" s="173">
        <f t="shared" si="83"/>
        <v>14</v>
      </c>
      <c r="BI117" s="173">
        <f t="shared" si="83"/>
        <v>14</v>
      </c>
      <c r="BJ117" s="173">
        <f t="shared" si="83"/>
        <v>14</v>
      </c>
      <c r="BK117" s="173">
        <f t="shared" si="83"/>
        <v>14</v>
      </c>
      <c r="BL117" s="173">
        <f t="shared" si="83"/>
        <v>14</v>
      </c>
      <c r="BM117" s="173">
        <f t="shared" si="83"/>
        <v>14</v>
      </c>
      <c r="BN117" s="173">
        <f t="shared" si="83"/>
        <v>28</v>
      </c>
      <c r="BO117" s="173">
        <f t="shared" si="83"/>
        <v>63</v>
      </c>
      <c r="BP117" s="173">
        <f t="shared" si="83"/>
        <v>49</v>
      </c>
      <c r="BQ117" s="173">
        <f t="shared" si="83"/>
        <v>49</v>
      </c>
      <c r="BR117" s="173">
        <f t="shared" si="83"/>
        <v>49</v>
      </c>
      <c r="BS117" s="173">
        <f t="shared" si="83"/>
        <v>49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5.25</v>
      </c>
      <c r="CE117" s="173">
        <f t="shared" si="84"/>
        <v>5.25</v>
      </c>
      <c r="CF117" s="173">
        <f t="shared" si="84"/>
        <v>5.25</v>
      </c>
      <c r="CG117" s="173">
        <f t="shared" si="84"/>
        <v>8.75</v>
      </c>
      <c r="CH117" s="173">
        <f t="shared" si="84"/>
        <v>19.25</v>
      </c>
      <c r="CI117" s="173">
        <f t="shared" si="84"/>
        <v>19.25</v>
      </c>
      <c r="CJ117" s="173">
        <f t="shared" si="84"/>
        <v>22.75</v>
      </c>
      <c r="CK117" s="173">
        <f t="shared" si="84"/>
        <v>22.75</v>
      </c>
      <c r="CL117" s="173">
        <f t="shared" si="84"/>
        <v>14</v>
      </c>
      <c r="CM117" s="173">
        <f t="shared" si="84"/>
        <v>14</v>
      </c>
      <c r="CN117" s="173">
        <f t="shared" si="84"/>
        <v>14</v>
      </c>
      <c r="CO117" s="173">
        <f t="shared" si="84"/>
        <v>12.25</v>
      </c>
      <c r="CP117" s="173">
        <f t="shared" si="84"/>
        <v>12.25</v>
      </c>
      <c r="CQ117" s="173">
        <f t="shared" si="84"/>
        <v>12.25</v>
      </c>
      <c r="CR117" s="173">
        <f t="shared" si="84"/>
        <v>14</v>
      </c>
      <c r="CS117" s="173">
        <f t="shared" si="84"/>
        <v>14</v>
      </c>
      <c r="CT117" s="173">
        <f t="shared" si="84"/>
        <v>22.75</v>
      </c>
      <c r="CU117" s="173">
        <f t="shared" si="84"/>
        <v>21</v>
      </c>
      <c r="CV117" s="173">
        <f t="shared" si="84"/>
        <v>28</v>
      </c>
      <c r="CW117" s="173">
        <f t="shared" si="84"/>
        <v>28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5539.9254782608696</v>
      </c>
      <c r="D118" s="202">
        <f>B118/Troupeau!$B$17</f>
        <v>18.223439073226544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777</v>
      </c>
      <c r="D119" s="202">
        <f>IF(B119=0,0,B119/Troupeau!$C$17)</f>
        <v>40.89473684210526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6316.9254782608696</v>
      </c>
    </row>
    <row r="123" spans="1:132" x14ac:dyDescent="0.25">
      <c r="A123" s="2" t="s">
        <v>856</v>
      </c>
      <c r="B123" s="30">
        <f>B108</f>
        <v>304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324</v>
      </c>
    </row>
    <row r="126" spans="1:132" x14ac:dyDescent="0.25">
      <c r="A126" s="2" t="s">
        <v>872</v>
      </c>
      <c r="B126" s="30">
        <f>B114+B115+B116</f>
        <v>1736.6</v>
      </c>
    </row>
    <row r="128" spans="1:132" x14ac:dyDescent="0.25">
      <c r="A128" s="2" t="s">
        <v>873</v>
      </c>
      <c r="B128" s="201">
        <f>SUM(B122:B126)</f>
        <v>9281.5254782608699</v>
      </c>
    </row>
    <row r="129" spans="1:2" x14ac:dyDescent="0.25">
      <c r="A129" s="2" t="s">
        <v>874</v>
      </c>
      <c r="B129" s="30">
        <f>IF(Scénario!K129=1,Travail!F77+Travail!F86,F86)</f>
        <v>2137</v>
      </c>
    </row>
    <row r="130" spans="1:2" x14ac:dyDescent="0.25">
      <c r="A130" s="2" t="s">
        <v>875</v>
      </c>
      <c r="B130" s="201">
        <f>ROUND((B128-B129)/(Scénario!K4+Scénario!K6),0)</f>
        <v>3572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L198" zoomScale="90" zoomScaleNormal="90" workbookViewId="0">
      <selection activeCell="T41" sqref="T41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0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0</v>
      </c>
      <c r="K5" s="173">
        <f>ROUND(B5*F5/1000,0)</f>
        <v>0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100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37947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78209</v>
      </c>
      <c r="K6" s="173">
        <f>ROUND(B6*F6/1000,0)</f>
        <v>78209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37947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6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0</v>
      </c>
      <c r="AC7" s="30" t="str">
        <f>LEFT(Alim_Surf!B35,10)</f>
        <v>0</v>
      </c>
      <c r="AD7" s="30">
        <f>+Alim_Surf!K35</f>
        <v>0</v>
      </c>
      <c r="AE7" s="30"/>
      <c r="AF7" s="173">
        <f t="shared" ref="AF7:AF15" si="4">IF($AC7=AF$5,$AD7,0)</f>
        <v>0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0</v>
      </c>
      <c r="AC8" s="30" t="str">
        <f>LEFT(Alim_Surf!B36,10)</f>
        <v>0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177.5</v>
      </c>
      <c r="C9" s="173">
        <f>Troupeau!C43</f>
        <v>6.5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972</v>
      </c>
      <c r="H9" s="190">
        <f>HLOOKUP(Troupeau!$L$17,[1]Anx!$A$122:$CO$164,'Calcul éco'!$O9)</f>
        <v>8</v>
      </c>
      <c r="I9" s="172"/>
      <c r="J9" s="173">
        <f>ROUND((B9*F9+C9*G9+D9*H9+E9*I9),0)</f>
        <v>13232</v>
      </c>
      <c r="K9" s="173">
        <f>ROUND(B9*F9,0)</f>
        <v>6914</v>
      </c>
      <c r="L9" s="173">
        <f t="shared" ref="L9:M16" si="5">ROUND(C9*G9,0)</f>
        <v>6318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117.5</v>
      </c>
      <c r="C10" s="173">
        <f>Troupeau!C39</f>
        <v>3.5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775</v>
      </c>
      <c r="H10" s="190">
        <f>HLOOKUP(Troupeau!$L$17,[1]Anx!$A$122:$CO$164,'Calcul éco'!$O10)</f>
        <v>13</v>
      </c>
      <c r="I10" s="172"/>
      <c r="J10" s="173">
        <f t="shared" ref="J10:J16" si="6">ROUND((B10*F10+C10*G10+D10*H10+E10*I10),0)</f>
        <v>7289</v>
      </c>
      <c r="K10" s="173">
        <f t="shared" ref="K10:K16" si="7">ROUND(B10*F10,0)</f>
        <v>4577</v>
      </c>
      <c r="L10" s="173">
        <f t="shared" si="5"/>
        <v>2713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45</v>
      </c>
      <c r="U11" s="173">
        <f>Troupeau!C37</f>
        <v>3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45</v>
      </c>
      <c r="C13" s="173">
        <f>U11-C14</f>
        <v>3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1196</v>
      </c>
      <c r="H13" s="190">
        <f>HLOOKUP(Troupeau!$L$17,[1]Anx!$A$122:$CO$164,'Calcul éco'!$O13)</f>
        <v>28</v>
      </c>
      <c r="I13" s="172"/>
      <c r="J13" s="173">
        <f t="shared" si="6"/>
        <v>4781</v>
      </c>
      <c r="K13" s="173">
        <f t="shared" si="7"/>
        <v>1193</v>
      </c>
      <c r="L13" s="173">
        <f t="shared" si="5"/>
        <v>3588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3.5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93</v>
      </c>
      <c r="K15" s="173">
        <f t="shared" si="7"/>
        <v>93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3.5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-350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 t="shared" si="6"/>
        <v>-1225</v>
      </c>
      <c r="K16" s="173">
        <f t="shared" si="7"/>
        <v>-1225</v>
      </c>
      <c r="L16" s="173">
        <f t="shared" si="5"/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-21.7</v>
      </c>
      <c r="S16" s="5">
        <f>IF(R16&gt;0,R16,0)</f>
        <v>0</v>
      </c>
      <c r="T16" s="5">
        <f>IF(R16&lt;0,-R16,0)</f>
        <v>21.7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0</v>
      </c>
      <c r="AD18" s="173">
        <f>Alim_Surf!K13</f>
        <v>-21.7</v>
      </c>
      <c r="AE18" s="173">
        <f>IF(AD18&gt;=0,AD18,0)</f>
        <v>0</v>
      </c>
      <c r="AF18" s="173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0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19</v>
      </c>
      <c r="AC27" s="173">
        <f>AA27*AB27</f>
        <v>3154</v>
      </c>
      <c r="AD27" s="5" t="s">
        <v>945</v>
      </c>
      <c r="AE27" s="190">
        <f>[1]Eco!$F$9</f>
        <v>24.3</v>
      </c>
      <c r="AF27" s="214">
        <f>IF(X30&gt;500,500,X30)</f>
        <v>304</v>
      </c>
      <c r="AG27" s="214">
        <f>AE27*AF27</f>
        <v>7387.2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19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19</v>
      </c>
      <c r="W28" s="14" t="s">
        <v>473</v>
      </c>
      <c r="X28" s="173">
        <f>V28/$T$25</f>
        <v>19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7387.2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304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304</v>
      </c>
      <c r="W30" s="14" t="s">
        <v>954</v>
      </c>
      <c r="X30" s="173">
        <f>(V30+V31)/$T$25</f>
        <v>304</v>
      </c>
      <c r="AB30" s="40" t="s">
        <v>949</v>
      </c>
      <c r="AC30" s="62">
        <f>SUM(AC27:AC29)*T25</f>
        <v>3154</v>
      </c>
    </row>
    <row r="31" spans="1:143" s="5" customFormat="1" x14ac:dyDescent="0.25">
      <c r="B31" s="18"/>
      <c r="D31" s="18"/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1430</v>
      </c>
      <c r="AH31" s="284"/>
      <c r="AI31" s="284"/>
      <c r="AJ31" s="284" t="s">
        <v>1431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1432</v>
      </c>
      <c r="AH32" s="280" t="s">
        <v>1433</v>
      </c>
      <c r="AI32" s="280" t="s">
        <v>169</v>
      </c>
      <c r="AJ32" s="280" t="s">
        <v>1434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19</v>
      </c>
      <c r="AH33" s="280">
        <f>ROUND(AG33*0.24,0)</f>
        <v>5</v>
      </c>
      <c r="AI33" s="280">
        <f>AG33+AH33*1.5*0.6</f>
        <v>23.5</v>
      </c>
      <c r="AJ33" s="280"/>
    </row>
    <row r="34" spans="1:143" x14ac:dyDescent="0.25">
      <c r="A34" t="s">
        <v>959</v>
      </c>
      <c r="J34" s="173">
        <f>AC30</f>
        <v>3154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M1</v>
      </c>
      <c r="AE35" s="280"/>
      <c r="AF35" s="280" t="s">
        <v>472</v>
      </c>
      <c r="AG35" s="280">
        <f t="shared" si="18"/>
        <v>304</v>
      </c>
      <c r="AH35" s="280"/>
      <c r="AI35" s="280">
        <f>AG35*0.15</f>
        <v>45.6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M1O</v>
      </c>
      <c r="AA36" s="5"/>
      <c r="AB36" s="14" t="s">
        <v>966</v>
      </c>
      <c r="AC36" s="190">
        <f>VLOOKUP(Z36,[1]Eco!$A$36:$B$45,2)</f>
        <v>258</v>
      </c>
      <c r="AD36" s="5"/>
      <c r="AE36" s="280"/>
      <c r="AF36" s="282" t="s">
        <v>670</v>
      </c>
      <c r="AG36" s="280"/>
      <c r="AH36" s="280"/>
      <c r="AI36" s="280">
        <f>SUM(AI33:AI35)</f>
        <v>69.099999999999994</v>
      </c>
      <c r="AJ36" s="282">
        <f>ROUND(AI36/V46,2)</f>
        <v>0.73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7387.2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1435</v>
      </c>
      <c r="AF37" s="280"/>
      <c r="AG37" s="280"/>
      <c r="AH37" s="280"/>
      <c r="AI37" s="280"/>
      <c r="AJ37" s="284" t="s">
        <v>1436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</f>
        <v>1</v>
      </c>
      <c r="U38" s="173">
        <v>1</v>
      </c>
      <c r="V38" s="173">
        <f>T38*U38</f>
        <v>1</v>
      </c>
      <c r="Y38" s="14" t="s">
        <v>975</v>
      </c>
      <c r="Z38" s="30">
        <f>V46</f>
        <v>94.88</v>
      </c>
      <c r="AA38" s="14" t="s">
        <v>976</v>
      </c>
      <c r="AB38" s="173">
        <f>IF(Z39&gt;25, 25,Z39)</f>
        <v>25</v>
      </c>
      <c r="AC38" s="173">
        <f>AC40+AC36</f>
        <v>328</v>
      </c>
      <c r="AD38" s="173">
        <f>AB38*AC38</f>
        <v>8200</v>
      </c>
      <c r="AE38" s="282">
        <f>IF($AJ$40=0,AB38*$AC$40,AD38*$AJ$40/100)</f>
        <v>8200</v>
      </c>
      <c r="AF38" s="280"/>
      <c r="AG38" s="280"/>
      <c r="AH38" s="280"/>
      <c r="AI38" s="285" t="s">
        <v>1437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18.7</v>
      </c>
      <c r="U39" s="173">
        <f>[1]Eco!$B$20/100</f>
        <v>1</v>
      </c>
      <c r="V39" s="173">
        <f t="shared" ref="V39:V41" si="20">T39*U39</f>
        <v>18.7</v>
      </c>
      <c r="Y39" s="14" t="s">
        <v>978</v>
      </c>
      <c r="Z39" s="30">
        <f>Z38/T25</f>
        <v>94.88</v>
      </c>
      <c r="AA39" s="14" t="s">
        <v>979</v>
      </c>
      <c r="AB39" s="173">
        <f>IF(Z39&gt;50,25,IF(Z39&gt;25,Z39-25,0))</f>
        <v>25</v>
      </c>
      <c r="AC39" s="173">
        <f>AC40+0.66*AC36</f>
        <v>240.28</v>
      </c>
      <c r="AD39" s="173">
        <f t="shared" ref="AD39:AD40" si="21">AB39*AC39</f>
        <v>6007</v>
      </c>
      <c r="AE39" s="282">
        <f>IF($AJ$40=0,AB39*$AC$40,AD39*$AJ$40/100)</f>
        <v>6007</v>
      </c>
      <c r="AF39" s="280"/>
      <c r="AG39" s="280"/>
      <c r="AH39" s="280"/>
      <c r="AI39" s="285" t="s">
        <v>1438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9.3000000000000007</v>
      </c>
      <c r="U40" s="173">
        <f>[1]Eco!$B$21/100</f>
        <v>1</v>
      </c>
      <c r="V40" s="173">
        <f t="shared" si="20"/>
        <v>9.3000000000000007</v>
      </c>
      <c r="AA40" s="14" t="s">
        <v>980</v>
      </c>
      <c r="AB40" s="173">
        <f>IF(Z39&gt;75,25,IF(Z39&gt;50,Z39-50,0))</f>
        <v>25</v>
      </c>
      <c r="AC40" s="190">
        <f>[1]Eco!$B$34</f>
        <v>70</v>
      </c>
      <c r="AD40" s="173">
        <f t="shared" si="21"/>
        <v>1750</v>
      </c>
      <c r="AE40" s="282">
        <f>IF($AJ$40=0,AB40*$AC$40,AD40*$AJ$40/100)</f>
        <v>1750</v>
      </c>
      <c r="AF40" s="280"/>
      <c r="AG40" s="280"/>
      <c r="AH40" s="280"/>
      <c r="AI40" s="285" t="s">
        <v>1439</v>
      </c>
      <c r="AJ40" s="282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11.1</v>
      </c>
      <c r="U41" s="173">
        <f>[1]Eco!$B$22/100</f>
        <v>0.6</v>
      </c>
      <c r="V41" s="173">
        <f t="shared" si="20"/>
        <v>6.6599999999999993</v>
      </c>
      <c r="AC41" s="40" t="s">
        <v>949</v>
      </c>
      <c r="AD41" s="62">
        <f>SUM(AD38:AD40)*T25</f>
        <v>15957</v>
      </c>
      <c r="AE41" s="283">
        <f>ROUND(SUM(AE38:AE40)*T25,0)</f>
        <v>15957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94.88</v>
      </c>
      <c r="C42" s="215">
        <f>[1]Eco!$B$24</f>
        <v>97</v>
      </c>
      <c r="J42" s="173">
        <f>B42*C42</f>
        <v>9203.3599999999988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52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2548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94.88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6356.96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35.659999999999997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15957</v>
      </c>
      <c r="K45" s="173"/>
      <c r="L45" s="173"/>
      <c r="M45" s="173"/>
      <c r="N45" s="173"/>
      <c r="O45" s="210"/>
      <c r="U45" s="14" t="s">
        <v>990</v>
      </c>
      <c r="V45" s="173">
        <f>S55</f>
        <v>59.22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12500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94.88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21.4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21.4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37.008695652173913</v>
      </c>
      <c r="AI47" s="221">
        <f>CdTrp1!C39</f>
        <v>36.638608695652181</v>
      </c>
      <c r="AJ47" s="221">
        <f>CdTrp1!D39</f>
        <v>36.268521739130435</v>
      </c>
      <c r="AK47" s="221">
        <f>CdTrp1!E39</f>
        <v>36.083478260869569</v>
      </c>
      <c r="AL47" s="221">
        <f>CdTrp1!F39</f>
        <v>35.898434782608696</v>
      </c>
      <c r="AM47" s="221">
        <f>CdTrp1!G39</f>
        <v>35.71339130434783</v>
      </c>
      <c r="AN47" s="221">
        <f>CdTrp1!H39</f>
        <v>35.528347826086964</v>
      </c>
      <c r="AO47" s="221">
        <f>CdTrp1!I39</f>
        <v>35.343304347826091</v>
      </c>
      <c r="AP47" s="221">
        <f>CdTrp1!J39</f>
        <v>34.973217391304352</v>
      </c>
      <c r="AQ47" s="221">
        <f>CdTrp1!K39</f>
        <v>35.71339130434783</v>
      </c>
      <c r="AR47" s="221">
        <f>CdTrp1!L39</f>
        <v>35.71339130434783</v>
      </c>
      <c r="AS47" s="221">
        <f>CdTrp1!M39</f>
        <v>35.71339130434783</v>
      </c>
      <c r="AT47" s="221">
        <f>CdTrp1!N39</f>
        <v>35.71339130434783</v>
      </c>
      <c r="AU47" s="221">
        <f>CdTrp1!O39</f>
        <v>35.71339130434783</v>
      </c>
      <c r="AV47" s="221">
        <f>CdTrp1!P39</f>
        <v>35.71339130434783</v>
      </c>
      <c r="AW47" s="221">
        <f>CdTrp1!Q39</f>
        <v>35.71339130434783</v>
      </c>
      <c r="AX47" s="221">
        <f>CdTrp1!R39</f>
        <v>35.71339130434783</v>
      </c>
      <c r="AY47" s="221">
        <f>CdTrp1!S39</f>
        <v>35.71339130434783</v>
      </c>
      <c r="AZ47" s="221">
        <f>CdTrp1!T39</f>
        <v>35.71339130434783</v>
      </c>
      <c r="BA47" s="221">
        <f>CdTrp1!U39</f>
        <v>39.04417391304348</v>
      </c>
      <c r="BB47" s="221">
        <f>CdTrp1!V39</f>
        <v>39.04417391304348</v>
      </c>
      <c r="BC47" s="221">
        <f>CdTrp1!W39</f>
        <v>37.008695652173913</v>
      </c>
      <c r="BD47" s="221">
        <f>CdTrp1!X39</f>
        <v>37.008695652173913</v>
      </c>
      <c r="BE47" s="221">
        <f>CdTrp1!Y39</f>
        <v>37.008695652173913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13.920159999999999</v>
      </c>
      <c r="BJ47" s="217">
        <f>CdTrp2!C39</f>
        <v>13.862399999999999</v>
      </c>
      <c r="BK47" s="217">
        <f>CdTrp2!D39</f>
        <v>13.862399999999999</v>
      </c>
      <c r="BL47" s="217">
        <f>CdTrp2!E39</f>
        <v>13.862399999999999</v>
      </c>
      <c r="BM47" s="217">
        <f>CdTrp2!F39</f>
        <v>13.862399999999999</v>
      </c>
      <c r="BN47" s="217">
        <f>CdTrp2!G39</f>
        <v>13.05376</v>
      </c>
      <c r="BO47" s="217">
        <f>CdTrp2!H39</f>
        <v>12.793839999999999</v>
      </c>
      <c r="BP47" s="217">
        <f>CdTrp2!I39</f>
        <v>12.53392</v>
      </c>
      <c r="BQ47" s="217">
        <f>CdTrp2!J39</f>
        <v>12.273999999999999</v>
      </c>
      <c r="BR47" s="217">
        <f>CdTrp2!K39</f>
        <v>12.273999999999999</v>
      </c>
      <c r="BS47" s="217">
        <f>CdTrp2!L39</f>
        <v>12.273999999999999</v>
      </c>
      <c r="BT47" s="217">
        <f>CdTrp2!M39</f>
        <v>12.273999999999999</v>
      </c>
      <c r="BU47" s="217">
        <f>CdTrp2!N39</f>
        <v>12.273999999999999</v>
      </c>
      <c r="BV47" s="217">
        <f>CdTrp2!O39</f>
        <v>12.273999999999999</v>
      </c>
      <c r="BW47" s="217">
        <f>CdTrp2!P39</f>
        <v>12.273999999999999</v>
      </c>
      <c r="BX47" s="217">
        <f>CdTrp2!Q39</f>
        <v>12.273999999999999</v>
      </c>
      <c r="BY47" s="217">
        <f>CdTrp2!R39</f>
        <v>11.628</v>
      </c>
      <c r="BZ47" s="217">
        <f>CdTrp2!S39</f>
        <v>11.628</v>
      </c>
      <c r="CA47" s="217">
        <f>CdTrp2!T39</f>
        <v>11.95632</v>
      </c>
      <c r="CB47" s="217">
        <f>CdTrp2!U39</f>
        <v>12.284640000000001</v>
      </c>
      <c r="CC47" s="217">
        <f>CdTrp2!V39</f>
        <v>13.313679999999998</v>
      </c>
      <c r="CD47" s="217">
        <f>CdTrp2!W39</f>
        <v>13.573599999999999</v>
      </c>
      <c r="CE47" s="217">
        <f>CdTrp2!X39</f>
        <v>13.833519999999998</v>
      </c>
      <c r="CF47" s="217">
        <f>CdTrp2!Y39</f>
        <v>14.093439999999999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159485.52000000002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3.5158260869565221</v>
      </c>
      <c r="AI48" s="221">
        <f>CdTrp1!C40</f>
        <v>3.5158260869565221</v>
      </c>
      <c r="AJ48" s="221">
        <f>CdTrp1!D40</f>
        <v>3.5158260869565221</v>
      </c>
      <c r="AK48" s="221">
        <f>CdTrp1!E40</f>
        <v>3.5158260869565221</v>
      </c>
      <c r="AL48" s="221">
        <f>CdTrp1!F40</f>
        <v>3.5158260869565221</v>
      </c>
      <c r="AM48" s="221">
        <f>CdTrp1!G40</f>
        <v>3.5158260869565221</v>
      </c>
      <c r="AN48" s="221">
        <f>CdTrp1!H40</f>
        <v>3.5158260869565221</v>
      </c>
      <c r="AO48" s="221">
        <f>CdTrp1!I40</f>
        <v>3.5158260869565221</v>
      </c>
      <c r="AP48" s="221">
        <f>CdTrp1!J40</f>
        <v>3.5158260869565221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3.5158260869565221</v>
      </c>
      <c r="BB48" s="221">
        <f>CdTrp1!V40</f>
        <v>3.5158260869565221</v>
      </c>
      <c r="BC48" s="221">
        <f>CdTrp1!W40</f>
        <v>3.5158260869565221</v>
      </c>
      <c r="BD48" s="221">
        <f>CdTrp1!X40</f>
        <v>3.5158260869565221</v>
      </c>
      <c r="BE48" s="221">
        <f>CdTrp1!Y40</f>
        <v>3.5158260869565221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0.53199999999999992</v>
      </c>
      <c r="BO48" s="217">
        <f>CdTrp2!H40</f>
        <v>1.0639999999999998</v>
      </c>
      <c r="BP48" s="217">
        <f>CdTrp2!I40</f>
        <v>1.5959999999999999</v>
      </c>
      <c r="BQ48" s="217">
        <f>CdTrp2!J40</f>
        <v>1.5959999999999999</v>
      </c>
      <c r="BR48" s="217">
        <f>CdTrp2!K40</f>
        <v>1.5959999999999999</v>
      </c>
      <c r="BS48" s="217">
        <f>CdTrp2!L40</f>
        <v>1.5959999999999999</v>
      </c>
      <c r="BT48" s="217">
        <f>CdTrp2!M40</f>
        <v>1.5959999999999999</v>
      </c>
      <c r="BU48" s="217">
        <f>CdTrp2!N40</f>
        <v>1.5959999999999999</v>
      </c>
      <c r="BV48" s="217">
        <f>CdTrp2!O40</f>
        <v>1.5959999999999999</v>
      </c>
      <c r="BW48" s="217">
        <f>CdTrp2!P40</f>
        <v>1.5959999999999999</v>
      </c>
      <c r="BX48" s="217">
        <f>CdTrp2!Q40</f>
        <v>1.5959999999999999</v>
      </c>
      <c r="BY48" s="217">
        <f>CdTrp2!R40</f>
        <v>1.5959999999999999</v>
      </c>
      <c r="BZ48" s="217">
        <f>CdTrp2!S40</f>
        <v>1.5959999999999999</v>
      </c>
      <c r="CA48" s="217">
        <f>CdTrp2!T40</f>
        <v>1.3299999999999998</v>
      </c>
      <c r="CB48" s="217">
        <f>CdTrp2!U40</f>
        <v>1.3299999999999998</v>
      </c>
      <c r="CC48" s="217">
        <f>CdTrp2!V40</f>
        <v>0.53199999999999992</v>
      </c>
      <c r="CD48" s="217">
        <f>CdTrp2!W40</f>
        <v>0.26599999999999996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57.449999999999996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57.449999999999996</v>
      </c>
      <c r="AD49" s="217"/>
      <c r="AE49" s="217"/>
      <c r="AF49" s="217"/>
      <c r="AG49" s="272" t="str">
        <f>CdTrp1!A41</f>
        <v>agnelles</v>
      </c>
      <c r="AH49" s="221">
        <f>CdTrp1!B41</f>
        <v>1.9244521739130436</v>
      </c>
      <c r="AI49" s="221">
        <f>CdTrp1!C41</f>
        <v>1.9244521739130436</v>
      </c>
      <c r="AJ49" s="221">
        <f>CdTrp1!D41</f>
        <v>1.9244521739130436</v>
      </c>
      <c r="AK49" s="221">
        <f>CdTrp1!E41</f>
        <v>1.9244521739130436</v>
      </c>
      <c r="AL49" s="221">
        <f>CdTrp1!F41</f>
        <v>1.9244521739130436</v>
      </c>
      <c r="AM49" s="221">
        <f>CdTrp1!G41</f>
        <v>1.9244521739130436</v>
      </c>
      <c r="AN49" s="221">
        <f>CdTrp1!H41</f>
        <v>1.9244521739130436</v>
      </c>
      <c r="AO49" s="221">
        <f>CdTrp1!I41</f>
        <v>1.9244521739130436</v>
      </c>
      <c r="AP49" s="221">
        <f>CdTrp1!J41</f>
        <v>4.8111304347826094</v>
      </c>
      <c r="AQ49" s="221">
        <f>CdTrp1!K41</f>
        <v>4.8111304347826094</v>
      </c>
      <c r="AR49" s="221">
        <f>CdTrp1!L41</f>
        <v>4.8111304347826094</v>
      </c>
      <c r="AS49" s="221">
        <f>CdTrp1!M41</f>
        <v>4.8111304347826094</v>
      </c>
      <c r="AT49" s="221">
        <f>CdTrp1!N41</f>
        <v>4.8111304347826094</v>
      </c>
      <c r="AU49" s="221">
        <f>CdTrp1!O41</f>
        <v>4.8111304347826094</v>
      </c>
      <c r="AV49" s="221">
        <f>CdTrp1!P41</f>
        <v>4.8111304347826094</v>
      </c>
      <c r="AW49" s="221">
        <f>CdTrp1!Q41</f>
        <v>4.8111304347826094</v>
      </c>
      <c r="AX49" s="221">
        <f>CdTrp1!R41</f>
        <v>4.8111304347826094</v>
      </c>
      <c r="AY49" s="221">
        <f>CdTrp1!S41</f>
        <v>4.8111304347826094</v>
      </c>
      <c r="AZ49" s="221">
        <f>CdTrp1!T41</f>
        <v>4.8111304347826094</v>
      </c>
      <c r="BA49" s="221">
        <f>CdTrp1!U41</f>
        <v>0</v>
      </c>
      <c r="BB49" s="221">
        <f>CdTrp1!V41</f>
        <v>0</v>
      </c>
      <c r="BC49" s="221">
        <f>CdTrp1!W41</f>
        <v>1.9244521739130436</v>
      </c>
      <c r="BD49" s="221">
        <f>CdTrp1!X41</f>
        <v>1.9244521739130436</v>
      </c>
      <c r="BE49" s="221">
        <f>CdTrp1!Y41</f>
        <v>1.9244521739130436</v>
      </c>
      <c r="BF49" s="217"/>
      <c r="BG49" s="218"/>
      <c r="BH49" s="272" t="str">
        <f>CdTrp2!A41</f>
        <v>genisses +1an</v>
      </c>
      <c r="BI49" s="217">
        <f>CdTrp2!B41</f>
        <v>6.3839999999999995</v>
      </c>
      <c r="BJ49" s="217">
        <f>CdTrp2!C41</f>
        <v>6.3839999999999995</v>
      </c>
      <c r="BK49" s="217">
        <f>CdTrp2!D41</f>
        <v>6.3839999999999995</v>
      </c>
      <c r="BL49" s="217">
        <f>CdTrp2!E41</f>
        <v>6.3839999999999995</v>
      </c>
      <c r="BM49" s="217">
        <f>CdTrp2!F41</f>
        <v>6.3839999999999995</v>
      </c>
      <c r="BN49" s="217">
        <f>CdTrp2!G41</f>
        <v>6.3839999999999995</v>
      </c>
      <c r="BO49" s="217">
        <f>CdTrp2!H41</f>
        <v>6.3839999999999995</v>
      </c>
      <c r="BP49" s="217">
        <f>CdTrp2!I41</f>
        <v>6.3839999999999995</v>
      </c>
      <c r="BQ49" s="217">
        <f>CdTrp2!J41</f>
        <v>6.3839999999999995</v>
      </c>
      <c r="BR49" s="217">
        <f>CdTrp2!K41</f>
        <v>6.3839999999999995</v>
      </c>
      <c r="BS49" s="217">
        <f>CdTrp2!L41</f>
        <v>6.3839999999999995</v>
      </c>
      <c r="BT49" s="217">
        <f>CdTrp2!M41</f>
        <v>6.3839999999999995</v>
      </c>
      <c r="BU49" s="217">
        <f>CdTrp2!N41</f>
        <v>6.3839999999999995</v>
      </c>
      <c r="BV49" s="217">
        <f>CdTrp2!O41</f>
        <v>6.3839999999999995</v>
      </c>
      <c r="BW49" s="217">
        <f>CdTrp2!P41</f>
        <v>6.3839999999999995</v>
      </c>
      <c r="BX49" s="217">
        <f>CdTrp2!Q41</f>
        <v>6.3839999999999995</v>
      </c>
      <c r="BY49" s="217">
        <f>CdTrp2!R41</f>
        <v>6.3839999999999995</v>
      </c>
      <c r="BZ49" s="217">
        <f>CdTrp2!S41</f>
        <v>6.3839999999999995</v>
      </c>
      <c r="CA49" s="217">
        <f>CdTrp2!T41</f>
        <v>6.3839999999999995</v>
      </c>
      <c r="CB49" s="217">
        <f>CdTrp2!U41</f>
        <v>6.3839999999999995</v>
      </c>
      <c r="CC49" s="217">
        <f>CdTrp2!V41</f>
        <v>6.3839999999999995</v>
      </c>
      <c r="CD49" s="217">
        <f>CdTrp2!W41</f>
        <v>6.3839999999999995</v>
      </c>
      <c r="CE49" s="217">
        <f>CdTrp2!X41</f>
        <v>6.3839999999999995</v>
      </c>
      <c r="CF49" s="217">
        <f>CdTrp2!Y41</f>
        <v>6.3839999999999995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126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1.1102608695652176</v>
      </c>
      <c r="AI50" s="221">
        <f>CdTrp1!C42</f>
        <v>1.1102608695652176</v>
      </c>
      <c r="AJ50" s="221">
        <f>CdTrp1!D42</f>
        <v>1.1102608695652176</v>
      </c>
      <c r="AK50" s="221">
        <f>CdTrp1!E42</f>
        <v>1.1102608695652176</v>
      </c>
      <c r="AL50" s="221">
        <f>CdTrp1!F42</f>
        <v>1.1102608695652176</v>
      </c>
      <c r="AM50" s="221">
        <f>CdTrp1!G42</f>
        <v>1.1102608695652176</v>
      </c>
      <c r="AN50" s="221">
        <f>CdTrp1!H42</f>
        <v>1.1102608695652176</v>
      </c>
      <c r="AO50" s="221">
        <f>CdTrp1!I42</f>
        <v>1.1102608695652176</v>
      </c>
      <c r="AP50" s="221">
        <f>CdTrp1!J42</f>
        <v>1.1102608695652176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1.1102608695652176</v>
      </c>
      <c r="BB50" s="221">
        <f>CdTrp1!V42</f>
        <v>1.1102608695652176</v>
      </c>
      <c r="BC50" s="221">
        <f>CdTrp1!W42</f>
        <v>1.1102608695652176</v>
      </c>
      <c r="BD50" s="221">
        <f>CdTrp1!X42</f>
        <v>1.1102608695652176</v>
      </c>
      <c r="BE50" s="221">
        <f>CdTrp1!Y42</f>
        <v>1.1102608695652176</v>
      </c>
      <c r="BF50" s="217"/>
      <c r="BG50" s="218"/>
      <c r="BH50" s="217" t="str">
        <f>CdTrp2!A42</f>
        <v>lot4</v>
      </c>
      <c r="BI50" s="217">
        <f>CdTrp2!B42</f>
        <v>0</v>
      </c>
      <c r="BJ50" s="217">
        <f>CdTrp2!C42</f>
        <v>0</v>
      </c>
      <c r="BK50" s="217">
        <f>CdTrp2!D42</f>
        <v>0</v>
      </c>
      <c r="BL50" s="217">
        <f>CdTrp2!E42</f>
        <v>0</v>
      </c>
      <c r="BM50" s="217">
        <f>CdTrp2!F42</f>
        <v>0</v>
      </c>
      <c r="BN50" s="217">
        <f>CdTrp2!G42</f>
        <v>0</v>
      </c>
      <c r="BO50" s="217">
        <f>CdTrp2!H42</f>
        <v>0</v>
      </c>
      <c r="BP50" s="217">
        <f>CdTrp2!I42</f>
        <v>0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</v>
      </c>
      <c r="CB50" s="217">
        <f>CdTrp2!U42</f>
        <v>0</v>
      </c>
      <c r="CC50" s="217">
        <f>CdTrp2!V42</f>
        <v>0</v>
      </c>
      <c r="CD50" s="217">
        <f>CdTrp2!W42</f>
        <v>0</v>
      </c>
      <c r="CE50" s="217">
        <f>CdTrp2!X42</f>
        <v>0</v>
      </c>
      <c r="CF50" s="217">
        <f>CdTrp2!Y42</f>
        <v>0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0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73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126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59.22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0</v>
      </c>
      <c r="AT58" s="221">
        <f>IF(CdTrp1!N76=4,1,0)</f>
        <v>0</v>
      </c>
      <c r="AU58" s="221">
        <f>IF(CdTrp1!O76=4,1,0)</f>
        <v>0</v>
      </c>
      <c r="AV58" s="221">
        <f>IF(CdTrp1!P76=4,1,0)</f>
        <v>0</v>
      </c>
      <c r="AW58" s="221">
        <f>IF(CdTrp1!Q76=4,1,0)</f>
        <v>0</v>
      </c>
      <c r="AX58" s="221">
        <f>IF(CdTrp1!R76=4,1,0)</f>
        <v>0</v>
      </c>
      <c r="AY58" s="221">
        <f>IF(CdTrp1!S76=4,1,0)</f>
        <v>0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0</v>
      </c>
      <c r="BT58" s="217">
        <f>IF(CdTrp2!M76=4,1,0)</f>
        <v>0</v>
      </c>
      <c r="BU58" s="217">
        <f>IF(CdTrp2!N76=4,1,0)</f>
        <v>0</v>
      </c>
      <c r="BV58" s="217">
        <f>IF(CdTrp2!O76=4,1,0)</f>
        <v>0</v>
      </c>
      <c r="BW58" s="217">
        <f>IF(CdTrp2!P76=4,1,0)</f>
        <v>0</v>
      </c>
      <c r="BX58" s="217">
        <f>IF(CdTrp2!Q76=4,1,0)</f>
        <v>0</v>
      </c>
      <c r="BY58" s="217">
        <f>IF(CdTrp2!R76=4,1,0)</f>
        <v>0</v>
      </c>
      <c r="BZ58" s="217">
        <f>IF(CdTrp2!S76=4,1,0)</f>
        <v>0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lot4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0</v>
      </c>
      <c r="AT69" s="221">
        <f t="shared" si="26"/>
        <v>0</v>
      </c>
      <c r="AU69" s="221">
        <f t="shared" si="26"/>
        <v>0</v>
      </c>
      <c r="AV69" s="221">
        <f t="shared" si="26"/>
        <v>0</v>
      </c>
      <c r="AW69" s="221">
        <f t="shared" si="26"/>
        <v>0</v>
      </c>
      <c r="AX69" s="221">
        <f t="shared" si="26"/>
        <v>0</v>
      </c>
      <c r="AY69" s="221">
        <f t="shared" si="26"/>
        <v>0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0</v>
      </c>
      <c r="BT69" s="217">
        <f t="shared" si="28"/>
        <v>0</v>
      </c>
      <c r="BU69" s="217">
        <f t="shared" si="28"/>
        <v>0</v>
      </c>
      <c r="BV69" s="217">
        <f t="shared" si="28"/>
        <v>0</v>
      </c>
      <c r="BW69" s="217">
        <f t="shared" si="28"/>
        <v>0</v>
      </c>
      <c r="BX69" s="217">
        <f t="shared" si="28"/>
        <v>0</v>
      </c>
      <c r="BY69" s="217">
        <f t="shared" si="28"/>
        <v>0</v>
      </c>
      <c r="BZ69" s="217">
        <f t="shared" si="28"/>
        <v>0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lot4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0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21.7</v>
      </c>
      <c r="E82" s="173">
        <f t="shared" ref="E82:F97" si="33">BZ89+CD89</f>
        <v>0</v>
      </c>
      <c r="F82" s="173">
        <f t="shared" si="33"/>
        <v>0</v>
      </c>
      <c r="J82" s="173">
        <f>SUM(K82:M82)</f>
        <v>4340</v>
      </c>
      <c r="K82" s="173">
        <f>$C82*D82</f>
        <v>4340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21.7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9.6999999999999993</v>
      </c>
      <c r="E92" s="173">
        <f t="shared" si="33"/>
        <v>0</v>
      </c>
      <c r="F92" s="173">
        <f t="shared" si="33"/>
        <v>0</v>
      </c>
      <c r="J92" s="173">
        <f t="shared" si="36"/>
        <v>4035.2</v>
      </c>
      <c r="K92" s="173">
        <f t="shared" si="37"/>
        <v>4035.2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3.4</v>
      </c>
      <c r="E94" s="173">
        <f t="shared" si="33"/>
        <v>0</v>
      </c>
      <c r="F94" s="173">
        <f t="shared" si="33"/>
        <v>0</v>
      </c>
      <c r="J94" s="173">
        <f t="shared" si="36"/>
        <v>1047.2</v>
      </c>
      <c r="K94" s="173">
        <f t="shared" si="37"/>
        <v>1047.2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6.7</v>
      </c>
      <c r="E95" s="173">
        <f t="shared" si="33"/>
        <v>0</v>
      </c>
      <c r="F95" s="173">
        <f t="shared" si="33"/>
        <v>0</v>
      </c>
      <c r="J95" s="173">
        <f t="shared" si="36"/>
        <v>1809</v>
      </c>
      <c r="K95" s="173">
        <f t="shared" si="37"/>
        <v>1809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5.3</v>
      </c>
      <c r="F96" s="173">
        <f t="shared" si="33"/>
        <v>0</v>
      </c>
      <c r="J96" s="173">
        <f t="shared" si="36"/>
        <v>1510.5</v>
      </c>
      <c r="K96" s="173">
        <f t="shared" si="37"/>
        <v>0</v>
      </c>
      <c r="L96" s="173">
        <f t="shared" si="34"/>
        <v>1510.5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2.2000000000000002</v>
      </c>
      <c r="F97" s="173">
        <f t="shared" si="33"/>
        <v>0</v>
      </c>
      <c r="J97" s="173">
        <f t="shared" si="36"/>
        <v>930.6</v>
      </c>
      <c r="K97" s="173">
        <f t="shared" si="37"/>
        <v>0</v>
      </c>
      <c r="L97" s="173">
        <f t="shared" si="34"/>
        <v>930.6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9.6999999999999993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3.4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6.7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5.3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2.2000000000000002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4286</v>
      </c>
      <c r="K110" s="177">
        <f t="shared" ref="K110:K115" si="55">ROUND(T132*U132,0)</f>
        <v>2432</v>
      </c>
      <c r="L110" s="177">
        <f>ROUND(V132*W132,0)</f>
        <v>1854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11231.400000000001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8688</v>
      </c>
      <c r="K111" s="177">
        <f t="shared" si="55"/>
        <v>6028</v>
      </c>
      <c r="L111" s="177">
        <f>ROUND(V133*W133,0)</f>
        <v>2660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2441.1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3225</v>
      </c>
      <c r="K112" s="177">
        <f t="shared" si="55"/>
        <v>3225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1243</v>
      </c>
      <c r="K113" s="177">
        <f t="shared" si="55"/>
        <v>912</v>
      </c>
      <c r="L113" s="177">
        <f>ROUND(V135*W135,0)</f>
        <v>331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1131</v>
      </c>
      <c r="K114" s="177">
        <f t="shared" si="55"/>
        <v>1064</v>
      </c>
      <c r="L114" s="177">
        <f>ROUND(U136*V136,0)</f>
        <v>67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24892.400000000001</v>
      </c>
      <c r="L116" s="62">
        <f t="shared" ref="L116:M116" si="57">SUM(L110:L115)+SUM(L82:L106)</f>
        <v>7353.1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45.359000000000009</v>
      </c>
      <c r="C118" s="190">
        <f>IF(Scénario!$K$12="BV",[1]Eco!$B$78,IF(Scénario!$K$12="BL",[1]Eco!$B$77,[1]Eco!$B$76))</f>
        <v>223</v>
      </c>
      <c r="J118" s="173">
        <f>B118*C118</f>
        <v>10115.057000000003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49.730399999999989</v>
      </c>
      <c r="C119" s="190">
        <f>[1]Eco!$B$79</f>
        <v>80</v>
      </c>
      <c r="J119" s="173">
        <f>B119*C119</f>
        <v>3978.4319999999989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6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0</v>
      </c>
      <c r="B123" s="173">
        <f>Alim_Surf!D35</f>
        <v>0</v>
      </c>
      <c r="C123" s="173">
        <f>Alim_Surf!E35</f>
        <v>0</v>
      </c>
      <c r="D123" s="190">
        <f>IF(B123=0,0,VLOOKUP(A123,[1]Anx!$A$212:$CO$218,3+Troupeau!$J$17))</f>
        <v>0</v>
      </c>
      <c r="J123" s="173">
        <f t="shared" ref="J123:J131" si="58">C123*D123</f>
        <v>0</v>
      </c>
      <c r="K123" s="172"/>
      <c r="L123" s="172"/>
      <c r="M123" s="172"/>
      <c r="N123" s="172"/>
      <c r="S123" s="14" t="s">
        <v>1031</v>
      </c>
      <c r="T123" s="171">
        <f>Troupeau!J17</f>
        <v>8</v>
      </c>
      <c r="U123" s="171">
        <f>Troupeau!K17</f>
        <v>9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0</v>
      </c>
      <c r="B124" s="173">
        <f>Alim_Surf!D36</f>
        <v>0</v>
      </c>
      <c r="C124" s="173">
        <f>Alim_Surf!E36</f>
        <v>0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37.950000000000003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8</v>
      </c>
      <c r="AG125" s="30">
        <f>Troupeau!K17</f>
        <v>9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41.45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177.5</v>
      </c>
      <c r="AG126" s="30">
        <f>C9</f>
        <v>6.5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304</v>
      </c>
      <c r="U127">
        <f>Troupeau!C17</f>
        <v>19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1495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117.5</v>
      </c>
      <c r="AG129" s="30">
        <f>C10</f>
        <v>3.5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700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8.6999999999999993</v>
      </c>
      <c r="D132" s="190">
        <f>HLOOKUP(Troupeau!$J$17,[1]Anx!$D$170:$CN$186,'Calcul éco'!O132)</f>
        <v>45</v>
      </c>
      <c r="E132" s="236"/>
      <c r="F132" s="236"/>
      <c r="G132" s="18"/>
      <c r="J132" s="173">
        <f>D132*C132</f>
        <v>391.49999999999994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304</v>
      </c>
      <c r="U132" s="190">
        <f>HLOOKUP($T$123,[1]Anx!$D$170:$CN$1177,$AB132)</f>
        <v>8</v>
      </c>
      <c r="V132" s="171">
        <f>$U$127</f>
        <v>19</v>
      </c>
      <c r="W132" s="190">
        <f>IF(V132=0,0,HLOOKUP(U$123,[1]Anx!$D$170:$CN$1177,$AB132))</f>
        <v>97.6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3.3</v>
      </c>
      <c r="D133" s="190">
        <f>HLOOKUP(Troupeau!$J$17,[1]Anx!$D$170:$CN$186,'Calcul éco'!O133)</f>
        <v>60.51</v>
      </c>
      <c r="E133" s="236"/>
      <c r="F133" s="236"/>
      <c r="G133" s="18"/>
      <c r="J133" s="173">
        <f t="shared" ref="J133:J138" si="61">D133*C133</f>
        <v>199.68299999999999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304</v>
      </c>
      <c r="U133" s="190">
        <f>HLOOKUP($T$123,[1]Anx!$D$170:$CN$1177,$AB133)</f>
        <v>19.829999999999998</v>
      </c>
      <c r="V133" s="171">
        <f>$U$127</f>
        <v>19</v>
      </c>
      <c r="W133" s="190">
        <f>IF(V133=0,0,HLOOKUP(U$123,[1]Anx!$D$170:$CN$1177,$AB133))</f>
        <v>140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11</v>
      </c>
      <c r="D134" s="190">
        <f>HLOOKUP(Troupeau!$J$17,[1]Anx!$D$170:$CN$186,'Calcul éco'!O134)</f>
        <v>67.75</v>
      </c>
      <c r="E134" s="236"/>
      <c r="F134" s="236"/>
      <c r="G134" s="18"/>
      <c r="J134" s="173">
        <f t="shared" si="61"/>
        <v>745.25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37947</v>
      </c>
      <c r="U134" s="190">
        <f>HLOOKUP($T$123,[1]Anx!$D$170:$CN$1177,$AB134)</f>
        <v>8.5000000000000006E-2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304</v>
      </c>
      <c r="U135" s="190">
        <f>HLOOKUP($T$123,[1]Anx!$D$170:$CN$1177,$AB135)</f>
        <v>3</v>
      </c>
      <c r="V135" s="171">
        <f>$U$127</f>
        <v>19</v>
      </c>
      <c r="W135" s="190">
        <f>IF(V135=0,0,HLOOKUP(U$123,[1]Anx!$D$170:$CN$1177,$AB135))</f>
        <v>17.399999999999999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0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304</v>
      </c>
      <c r="U136" s="190">
        <f>HLOOKUP($T$123,[1]Anx!$D$170:$CN$1177,$AB136)</f>
        <v>3.5</v>
      </c>
      <c r="V136" s="171">
        <f>$U$127</f>
        <v>19</v>
      </c>
      <c r="W136" s="190">
        <f>IF(V136=0,0,HLOOKUP(U$123,[1]Anx!$D$170:$CN$1177,$AB136))</f>
        <v>55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5</v>
      </c>
      <c r="D137" s="190">
        <f>HLOOKUP(Troupeau!$J$17,[1]Anx!$D$170:$CN$186,'Calcul éco'!O137)</f>
        <v>125.2</v>
      </c>
      <c r="E137" s="5"/>
      <c r="F137" s="5"/>
      <c r="G137" s="18"/>
      <c r="J137" s="173">
        <f t="shared" si="61"/>
        <v>626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60</v>
      </c>
      <c r="U137" s="190">
        <f>HLOOKUP($T$123,[1]Anx!$D$170:$CN$1177,$AB137)</f>
        <v>0</v>
      </c>
      <c r="V137" s="171">
        <f>Troupeau!C22</f>
        <v>3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0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45</v>
      </c>
      <c r="AG138" s="30">
        <f>C13</f>
        <v>3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9043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1042.8499999999999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3.5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58851.271999999997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4145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29</v>
      </c>
      <c r="C149" s="190">
        <f>HLOOKUP(Troupeau!J$17,[1]Anx!$A$170:$CN$220,'Calcul éco'!O149)</f>
        <v>32.6</v>
      </c>
      <c r="D149" s="5"/>
      <c r="G149" s="171"/>
      <c r="J149" s="173">
        <f t="shared" ref="J149:J154" si="67">B149*C149</f>
        <v>945.40000000000009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HLOOKUP(Troupeau!J$17,[1]Anx!$A$170:$CN$220,'Calcul éco'!O150)</f>
        <v>1500</v>
      </c>
      <c r="D150" s="5"/>
      <c r="G150" s="171"/>
      <c r="J150" s="173">
        <f t="shared" si="67"/>
        <v>1500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HLOOKUP(Troupeau!J$17,[1]Anx!$A$170:$CN$220,'Calcul éco'!O151)</f>
        <v>19182</v>
      </c>
      <c r="D151" s="5"/>
      <c r="G151" s="171"/>
      <c r="J151" s="173">
        <f t="shared" si="67"/>
        <v>19182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HLOOKUP(Troupeau!J$17,[1]Anx!$A$170:$CN$220,'Calcul éco'!O152)</f>
        <v>23300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HLOOKUP(Troupeau!J$17,[1]Anx!$A$170:$CN$220,'Calcul éco'!O153)</f>
        <v>16000</v>
      </c>
      <c r="D153" s="5"/>
      <c r="E153" s="5"/>
      <c r="G153" s="171"/>
      <c r="J153" s="173">
        <f t="shared" si="67"/>
        <v>16000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19.3</v>
      </c>
      <c r="X153" t="s">
        <v>52</v>
      </c>
      <c r="Y153" s="173">
        <f>W153-Scénario!K28</f>
        <v>-4.1999999999999993</v>
      </c>
      <c r="Z153" s="173">
        <f>Y153-Y156</f>
        <v>-3.7799999999999994</v>
      </c>
    </row>
    <row r="154" spans="1:39" x14ac:dyDescent="0.25">
      <c r="A154" t="s">
        <v>1076</v>
      </c>
      <c r="B154" s="173">
        <f>Scénario!K48</f>
        <v>29</v>
      </c>
      <c r="C154" s="190">
        <f>HLOOKUP(Troupeau!J$17,[1]Anx!$A$170:$CN$220,'Calcul éco'!O154)</f>
        <v>290.7</v>
      </c>
      <c r="D154" s="5"/>
      <c r="G154" s="171"/>
      <c r="J154" s="173">
        <f t="shared" si="67"/>
        <v>8430.2999999999993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16</v>
      </c>
      <c r="X154" t="s">
        <v>52</v>
      </c>
      <c r="Y154" s="173">
        <f>W154-Scénario!K29</f>
        <v>0</v>
      </c>
      <c r="Z154" s="173">
        <f>Y154</f>
        <v>0</v>
      </c>
    </row>
    <row r="155" spans="1:39" x14ac:dyDescent="0.25">
      <c r="A155" s="17" t="s">
        <v>1078</v>
      </c>
      <c r="B155" s="239">
        <f>B154</f>
        <v>29</v>
      </c>
      <c r="C155" s="190">
        <f>HLOOKUP(Troupeau!J$17,[1]Anx!$A$170:$CN$220,'Calcul éco'!O155)</f>
        <v>60</v>
      </c>
      <c r="D155" s="86"/>
      <c r="E155" s="17"/>
      <c r="G155" s="171"/>
      <c r="H155" s="17"/>
      <c r="I155" s="239">
        <f>B155*C155</f>
        <v>1740</v>
      </c>
      <c r="O155" s="234">
        <v>25</v>
      </c>
      <c r="V155" s="14" t="s">
        <v>1079</v>
      </c>
      <c r="W155" s="173">
        <f>W$228</f>
        <v>0</v>
      </c>
      <c r="X155" t="s">
        <v>52</v>
      </c>
      <c r="Y155" s="173">
        <f>W155-Scénario!K30</f>
        <v>0</v>
      </c>
      <c r="Z155" s="173">
        <f t="shared" ref="Z155:Z156" si="68">Y155</f>
        <v>0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-0.41999999999999993</v>
      </c>
      <c r="Z156" s="173">
        <f t="shared" si="68"/>
        <v>-0.41999999999999993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-3.7799999999999994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-136.83599999999998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0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0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-0.41999999999999993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-65.267999999999986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266</v>
      </c>
      <c r="S164" s="173">
        <f>Alim_Surf!R7</f>
        <v>2.7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2.7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2.7</v>
      </c>
      <c r="AI164" s="173">
        <f>IF(T164=1,AD164,0)</f>
        <v>0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241</v>
      </c>
      <c r="S165" s="173">
        <f>Alim_Surf!R8</f>
        <v>11</v>
      </c>
      <c r="T165" s="173">
        <f>VLOOKUP(R165,[1]MEP!$A$4:$M$300,13)</f>
        <v>2</v>
      </c>
      <c r="U165" s="173">
        <f t="shared" ref="U165:U207" si="72">IF($T165&gt;0,$S165,0)</f>
        <v>11</v>
      </c>
      <c r="V165" s="173">
        <f t="shared" ref="V165:V207" si="73">IF($T165&gt;1,$S165,0)</f>
        <v>11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11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11</v>
      </c>
      <c r="AN165" s="32" t="s">
        <v>659</v>
      </c>
      <c r="AO165" s="173">
        <f>SUM(AD164:AD183)</f>
        <v>18.7</v>
      </c>
    </row>
    <row r="166" spans="1:41" x14ac:dyDescent="0.25">
      <c r="A166" s="5" t="s">
        <v>1423</v>
      </c>
      <c r="B166" s="30">
        <f>T246*[1]Eco!$B$108*[1]Eco!$B$109</f>
        <v>1680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17858.400000000001</v>
      </c>
      <c r="K166" s="173"/>
      <c r="L166" s="173"/>
      <c r="M166" s="173"/>
      <c r="N166" s="173"/>
      <c r="Q166">
        <v>3</v>
      </c>
      <c r="R166" s="173">
        <f>Alim_Surf!Q9</f>
        <v>290</v>
      </c>
      <c r="S166" s="173">
        <f>Alim_Surf!R9</f>
        <v>0</v>
      </c>
      <c r="T166" s="173">
        <f>VLOOKUP(R166,[1]MEP!$A$4:$M$300,13)</f>
        <v>1</v>
      </c>
      <c r="U166" s="173">
        <f t="shared" si="72"/>
        <v>0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0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0</v>
      </c>
      <c r="AI166" s="173">
        <f t="shared" si="81"/>
        <v>0</v>
      </c>
      <c r="AJ166" s="173">
        <f t="shared" si="82"/>
        <v>0</v>
      </c>
      <c r="AN166" s="32" t="s">
        <v>660</v>
      </c>
      <c r="AO166" s="173">
        <f>SUM(AC164:AC183)</f>
        <v>0</v>
      </c>
    </row>
    <row r="167" spans="1:41" x14ac:dyDescent="0.25">
      <c r="A167" s="5" t="s">
        <v>1424</v>
      </c>
      <c r="B167" s="30">
        <f>IF(Scénario!K129=1,SUM(Travail!F69:F75)+Travail!F81+Travail!F83+Travail!F84,0)</f>
        <v>464.6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4938.6980000000003</v>
      </c>
      <c r="K167" s="173"/>
      <c r="L167" s="173"/>
      <c r="M167" s="173"/>
      <c r="N167" s="173"/>
      <c r="Q167">
        <v>4</v>
      </c>
      <c r="R167" s="173">
        <f>Alim_Surf!Q10</f>
        <v>242</v>
      </c>
      <c r="S167" s="173">
        <f>Alim_Surf!R10</f>
        <v>3.3</v>
      </c>
      <c r="T167" s="173">
        <f>VLOOKUP(R167,[1]MEP!$A$4:$M$300,13)</f>
        <v>1</v>
      </c>
      <c r="U167" s="173">
        <f t="shared" si="72"/>
        <v>3.3</v>
      </c>
      <c r="V167" s="173">
        <f t="shared" si="73"/>
        <v>0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3.3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3.3</v>
      </c>
      <c r="AJ167" s="173">
        <f t="shared" si="82"/>
        <v>0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239</v>
      </c>
      <c r="S168" s="173">
        <f>Alim_Surf!R11</f>
        <v>1.7</v>
      </c>
      <c r="T168" s="173">
        <f>VLOOKUP(R168,[1]MEP!$A$4:$M$300,13)</f>
        <v>0</v>
      </c>
      <c r="U168" s="173">
        <f t="shared" si="72"/>
        <v>0</v>
      </c>
      <c r="V168" s="173">
        <f t="shared" si="73"/>
        <v>0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1.7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1.7</v>
      </c>
      <c r="AI168" s="173">
        <f t="shared" si="81"/>
        <v>0</v>
      </c>
      <c r="AJ168" s="173">
        <f t="shared" si="82"/>
        <v>0</v>
      </c>
      <c r="AN168" s="32" t="s">
        <v>662</v>
      </c>
      <c r="AO168" s="173">
        <f>SUM(AD186:AD205)</f>
        <v>4.3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0</v>
      </c>
      <c r="S169" s="173">
        <f>Alim_Surf!R12</f>
        <v>0</v>
      </c>
      <c r="T169" s="173">
        <f>VLOOKUP(R169,[1]MEP!$A$4:$M$300,13)</f>
        <v>0</v>
      </c>
      <c r="U169" s="173">
        <f t="shared" si="72"/>
        <v>0</v>
      </c>
      <c r="V169" s="173">
        <f t="shared" si="73"/>
        <v>0</v>
      </c>
      <c r="W169" s="173">
        <f t="shared" si="74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70"/>
        <v>0</v>
      </c>
      <c r="AB169" s="173">
        <f t="shared" si="71"/>
        <v>0</v>
      </c>
      <c r="AC169" s="173">
        <f t="shared" si="75"/>
        <v>0</v>
      </c>
      <c r="AD169" s="173">
        <f t="shared" si="76"/>
        <v>0</v>
      </c>
      <c r="AE169" s="173">
        <f t="shared" si="77"/>
        <v>0</v>
      </c>
      <c r="AF169" s="173">
        <f t="shared" si="78"/>
        <v>0</v>
      </c>
      <c r="AG169" s="173">
        <f t="shared" si="79"/>
        <v>0</v>
      </c>
      <c r="AH169" s="173">
        <f t="shared" si="80"/>
        <v>0</v>
      </c>
      <c r="AI169" s="173">
        <f t="shared" si="81"/>
        <v>0</v>
      </c>
      <c r="AJ169" s="173">
        <f t="shared" si="82"/>
        <v>0</v>
      </c>
      <c r="AN169" s="32" t="s">
        <v>663</v>
      </c>
      <c r="AO169" s="173">
        <f>SUM(AC186:AC205)</f>
        <v>5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68652.694000000003</v>
      </c>
      <c r="K170" s="62"/>
      <c r="L170" s="62"/>
      <c r="M170" s="62"/>
      <c r="N170" s="62"/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72"/>
        <v>0</v>
      </c>
      <c r="V170" s="173">
        <f t="shared" si="73"/>
        <v>0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0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0</v>
      </c>
      <c r="AJ170" s="173">
        <f t="shared" si="82"/>
        <v>0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72"/>
        <v>0</v>
      </c>
      <c r="V171" s="173">
        <f t="shared" si="73"/>
        <v>0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</v>
      </c>
      <c r="AN171" s="32" t="s">
        <v>665</v>
      </c>
      <c r="AO171" s="173">
        <f>Alim_Surf!O51</f>
        <v>11.1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0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0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31981.554000000018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15991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11000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5263.2904134535283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15718.263586546491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7859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239</v>
      </c>
      <c r="S186" s="173">
        <f>Alim_Surf!R29</f>
        <v>4.3</v>
      </c>
      <c r="T186" s="173">
        <f>VLOOKUP(R186,[1]MEP!$A$4:$M$300,13)</f>
        <v>0</v>
      </c>
      <c r="U186" s="173">
        <f t="shared" si="72"/>
        <v>0</v>
      </c>
      <c r="V186" s="173">
        <f t="shared" si="73"/>
        <v>0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4.3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4.3</v>
      </c>
      <c r="AI186" s="173">
        <f t="shared" si="81"/>
        <v>0</v>
      </c>
      <c r="AJ186" s="173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242</v>
      </c>
      <c r="S187" s="173">
        <f>Alim_Surf!R30</f>
        <v>0</v>
      </c>
      <c r="T187" s="173">
        <f>VLOOKUP(R187,[1]MEP!$A$4:$M$300,13)</f>
        <v>1</v>
      </c>
      <c r="U187" s="173">
        <f t="shared" si="72"/>
        <v>0</v>
      </c>
      <c r="V187" s="173">
        <f t="shared" si="73"/>
        <v>0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70"/>
        <v>0</v>
      </c>
      <c r="AB187" s="173">
        <f t="shared" si="71"/>
        <v>0</v>
      </c>
      <c r="AC187" s="173">
        <f t="shared" si="75"/>
        <v>0</v>
      </c>
      <c r="AD187" s="173">
        <f t="shared" si="76"/>
        <v>0</v>
      </c>
      <c r="AE187" s="173">
        <f t="shared" si="77"/>
        <v>0</v>
      </c>
      <c r="AF187" s="173">
        <f t="shared" si="78"/>
        <v>0</v>
      </c>
      <c r="AG187" s="173">
        <f t="shared" si="79"/>
        <v>0</v>
      </c>
      <c r="AH187" s="173">
        <f t="shared" si="80"/>
        <v>0</v>
      </c>
      <c r="AI187" s="173">
        <f t="shared" si="81"/>
        <v>0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72"/>
        <v>5</v>
      </c>
      <c r="V188" s="173">
        <f t="shared" si="73"/>
        <v>5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70"/>
        <v>0</v>
      </c>
      <c r="AB188" s="173">
        <f t="shared" si="71"/>
        <v>0</v>
      </c>
      <c r="AC188" s="173">
        <f t="shared" si="75"/>
        <v>5</v>
      </c>
      <c r="AD188" s="173">
        <f t="shared" si="76"/>
        <v>0</v>
      </c>
      <c r="AE188" s="173">
        <f t="shared" si="77"/>
        <v>0</v>
      </c>
      <c r="AF188" s="173">
        <f t="shared" si="78"/>
        <v>0</v>
      </c>
      <c r="AG188" s="173">
        <f t="shared" si="79"/>
        <v>5</v>
      </c>
      <c r="AH188" s="173">
        <f t="shared" si="80"/>
        <v>0</v>
      </c>
      <c r="AI188" s="173">
        <f t="shared" si="81"/>
        <v>0</v>
      </c>
      <c r="AJ188" s="173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72"/>
        <v>0</v>
      </c>
      <c r="V189" s="173">
        <f t="shared" si="73"/>
        <v>0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0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72"/>
        <v>0</v>
      </c>
      <c r="V191" s="173">
        <f t="shared" si="73"/>
        <v>0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0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28</v>
      </c>
      <c r="U228" s="62">
        <f>SUM(U164:U227)</f>
        <v>19.3</v>
      </c>
      <c r="V228" s="62">
        <f t="shared" ref="V228:W228" si="84">SUM(V164:V227)</f>
        <v>16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5</v>
      </c>
      <c r="AD228" s="62">
        <f>SUM(AD164:AD227)</f>
        <v>23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5</v>
      </c>
      <c r="AH228" s="62">
        <f t="shared" si="86"/>
        <v>8.6999999999999993</v>
      </c>
      <c r="AI228" s="62">
        <f t="shared" si="86"/>
        <v>3.3</v>
      </c>
      <c r="AJ228" s="62">
        <f t="shared" si="86"/>
        <v>11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9365</v>
      </c>
      <c r="U234" t="s">
        <v>1101</v>
      </c>
      <c r="V234" s="173"/>
      <c r="W234" s="173">
        <f>[1]Protect!$B$4</f>
        <v>6</v>
      </c>
      <c r="X234" s="173">
        <f>T234*W234</f>
        <v>56190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1</v>
      </c>
      <c r="W235" s="173">
        <f>[1]Protect!$B$83</f>
        <v>2000</v>
      </c>
      <c r="X235" s="173">
        <f t="shared" ref="X235:X236" si="87">T235*W235</f>
        <v>2000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58190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42690</v>
      </c>
      <c r="AB237" s="30">
        <f>(Scénario!K127/100)*AA237</f>
        <v>0</v>
      </c>
      <c r="AC237" s="30">
        <f>AA237-AB237</f>
        <v>42690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5263.2904134535283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10</v>
      </c>
      <c r="X245" s="173">
        <f>ROUND((([1]Protect!$B$5/[1]Protect!$B$11)+[1]Protect!$B$8)*T245,0)</f>
        <v>9043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7</v>
      </c>
      <c r="W246" s="173">
        <f>[1]Eco!$B$106*[1]Eco!$B$108*[1]Eco!$B$109</f>
        <v>2551.2000000000003</v>
      </c>
      <c r="X246" s="173">
        <f>T246*W246</f>
        <v>17858.400000000001</v>
      </c>
    </row>
    <row r="247" spans="17:31" x14ac:dyDescent="0.25">
      <c r="S247" s="14" t="s">
        <v>1116</v>
      </c>
      <c r="T247" s="30">
        <f>Travail!F16/8</f>
        <v>98</v>
      </c>
      <c r="W247" s="173">
        <f>[1]Eco!$B$111</f>
        <v>28.3</v>
      </c>
      <c r="X247" s="173">
        <f>T247*W247</f>
        <v>2773.4</v>
      </c>
    </row>
    <row r="248" spans="17:31" x14ac:dyDescent="0.25">
      <c r="W248" s="14" t="s">
        <v>1117</v>
      </c>
      <c r="X248" s="173">
        <f>SUM(X245:X247)</f>
        <v>29674.800000000003</v>
      </c>
    </row>
    <row r="249" spans="17:31" x14ac:dyDescent="0.25">
      <c r="W249" s="14" t="s">
        <v>1425</v>
      </c>
      <c r="X249" s="173">
        <f>ROUND(X246+X247+Protection!AJ5*(([1]Protect!$B$5/[1]Protect!$B$11)+[1]Protect!$B$8),0)</f>
        <v>29675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240</v>
      </c>
      <c r="Y254" s="40" t="s">
        <v>1121</v>
      </c>
      <c r="Z254">
        <f>IF(Troupeau!B3="OL",Troupeau!B17,0)</f>
        <v>304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3">
        <f>IF(T256=0,0,[1]Protect!$B76)</f>
        <v>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1</v>
      </c>
      <c r="U257" s="173">
        <f>IF(T257=0,0,[1]Protect!$B77)</f>
        <v>12500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0</v>
      </c>
      <c r="U258" s="173">
        <f>IF(T258=0,0,[1]Protect!$B78)</f>
        <v>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3">
        <f>IF(T259=0,0,[1]Protect!$B79)</f>
        <v>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12500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12500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10000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140.47499999999999</v>
      </c>
      <c r="U272" s="173"/>
      <c r="V272" s="173"/>
      <c r="W272" s="173">
        <f>W234</f>
        <v>6</v>
      </c>
      <c r="X272" s="173">
        <f>T272*W272</f>
        <v>842.84999999999991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2</v>
      </c>
      <c r="U274" s="173"/>
      <c r="V274" s="173"/>
      <c r="W274" s="173">
        <f>W271</f>
        <v>100</v>
      </c>
      <c r="X274" s="173">
        <f>T274*W274</f>
        <v>200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D300" sqref="D300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Z1_OLBV_T3F_Ms1</v>
      </c>
      <c r="D1" s="275" t="str">
        <f>CONCATENATE(C1,"_corr")</f>
        <v>Z1_OLBV_T3F_Ms1_corr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2</v>
      </c>
      <c r="D4" s="177">
        <f t="shared" si="0"/>
        <v>2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1</v>
      </c>
      <c r="D7" s="177">
        <f t="shared" si="0"/>
        <v>1</v>
      </c>
    </row>
    <row r="8" spans="2:4" x14ac:dyDescent="0.25">
      <c r="B8" s="14" t="s">
        <v>509</v>
      </c>
      <c r="C8" s="177" t="str">
        <f>Scénario!K9</f>
        <v>M1</v>
      </c>
      <c r="D8" s="177" t="str">
        <f t="shared" si="0"/>
        <v>M1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100</v>
      </c>
      <c r="D13" s="177">
        <f t="shared" si="0"/>
        <v>100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23.5</v>
      </c>
      <c r="D18" s="177">
        <f t="shared" si="0"/>
        <v>23.5</v>
      </c>
    </row>
    <row r="19" spans="2:5" x14ac:dyDescent="0.25">
      <c r="B19" s="14" t="s">
        <v>552</v>
      </c>
      <c r="C19" s="177">
        <f>Scénario!K29</f>
        <v>16</v>
      </c>
      <c r="D19" s="177">
        <f t="shared" si="0"/>
        <v>16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10</v>
      </c>
      <c r="D21" s="177">
        <f t="shared" si="0"/>
        <v>10</v>
      </c>
    </row>
    <row r="22" spans="2:5" x14ac:dyDescent="0.25">
      <c r="B22" s="14" t="s">
        <v>1390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3.5</v>
      </c>
      <c r="D23" s="177">
        <f t="shared" si="0"/>
        <v>3.5</v>
      </c>
    </row>
    <row r="24" spans="2:5" x14ac:dyDescent="0.25">
      <c r="B24" s="14" t="s">
        <v>570</v>
      </c>
      <c r="C24" s="177">
        <f>Scénario!K55</f>
        <v>36</v>
      </c>
      <c r="D24" s="177">
        <f t="shared" si="0"/>
        <v>36</v>
      </c>
    </row>
    <row r="25" spans="2:5" x14ac:dyDescent="0.25">
      <c r="B25" s="14" t="s">
        <v>571</v>
      </c>
      <c r="C25" s="177">
        <f>Scénario!K56</f>
        <v>1</v>
      </c>
      <c r="D25" s="177">
        <f t="shared" si="0"/>
        <v>1</v>
      </c>
    </row>
    <row r="26" spans="2:5" x14ac:dyDescent="0.25">
      <c r="B26" s="14" t="s">
        <v>574</v>
      </c>
      <c r="C26" s="177" t="str">
        <f>Scénario!K57</f>
        <v>4. présence 1 éleveur</v>
      </c>
      <c r="D26" s="177" t="str">
        <f t="shared" si="0"/>
        <v>4. présence 1 éleveur</v>
      </c>
    </row>
    <row r="27" spans="2:5" x14ac:dyDescent="0.25">
      <c r="B27" s="14" t="s">
        <v>577</v>
      </c>
      <c r="C27" s="177">
        <f>Scénario!K58</f>
        <v>2</v>
      </c>
      <c r="D27" s="177">
        <f t="shared" si="0"/>
        <v>2</v>
      </c>
    </row>
    <row r="28" spans="2:5" x14ac:dyDescent="0.25">
      <c r="B28" s="14" t="s">
        <v>579</v>
      </c>
      <c r="C28" s="177">
        <f>Scénario!K59</f>
        <v>1</v>
      </c>
      <c r="D28" s="177">
        <f t="shared" si="0"/>
        <v>1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0</v>
      </c>
      <c r="D31" s="177">
        <f t="shared" si="0"/>
        <v>0</v>
      </c>
    </row>
    <row r="32" spans="2:5" x14ac:dyDescent="0.25">
      <c r="B32" s="14" t="s">
        <v>584</v>
      </c>
      <c r="C32" s="177">
        <f>Scénario!K62</f>
        <v>0</v>
      </c>
      <c r="D32" s="177">
        <f t="shared" si="0"/>
        <v>0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1391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0</v>
      </c>
      <c r="D39" s="177">
        <f t="shared" si="0"/>
        <v>0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0</v>
      </c>
      <c r="D41" s="177">
        <f t="shared" si="0"/>
        <v>0</v>
      </c>
      <c r="E41" s="14"/>
    </row>
    <row r="42" spans="2:5" x14ac:dyDescent="0.25">
      <c r="B42" s="14" t="s">
        <v>1392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599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1393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0</v>
      </c>
      <c r="D46" s="177">
        <f t="shared" si="0"/>
        <v>0</v>
      </c>
      <c r="E46" s="14"/>
    </row>
    <row r="47" spans="2:5" x14ac:dyDescent="0.25">
      <c r="B47" s="14" t="s">
        <v>604</v>
      </c>
      <c r="C47" s="177">
        <f>Scénario!K80</f>
        <v>0</v>
      </c>
      <c r="D47" s="177">
        <f t="shared" si="0"/>
        <v>0</v>
      </c>
      <c r="E47" s="14"/>
    </row>
    <row r="48" spans="2:5" x14ac:dyDescent="0.25">
      <c r="B48" s="14" t="s">
        <v>1394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1</v>
      </c>
      <c r="D51" s="177">
        <f t="shared" si="0"/>
        <v>1</v>
      </c>
      <c r="E51" s="14"/>
    </row>
    <row r="52" spans="1:132" x14ac:dyDescent="0.25">
      <c r="B52" s="19" t="s">
        <v>596</v>
      </c>
      <c r="C52" s="177">
        <f>Scénario!K84</f>
        <v>2</v>
      </c>
      <c r="D52" s="177">
        <f t="shared" si="0"/>
        <v>2</v>
      </c>
      <c r="E52" s="14"/>
    </row>
    <row r="53" spans="1:132" x14ac:dyDescent="0.25">
      <c r="B53" s="14" t="s">
        <v>606</v>
      </c>
      <c r="C53" s="177">
        <f>Scénario!K88</f>
        <v>1</v>
      </c>
      <c r="D53" s="177">
        <f t="shared" si="0"/>
        <v>1</v>
      </c>
      <c r="E53" s="14"/>
    </row>
    <row r="54" spans="1:132" x14ac:dyDescent="0.25">
      <c r="B54" s="14" t="s">
        <v>623</v>
      </c>
      <c r="C54" s="177">
        <f>Scénario!K89</f>
        <v>1</v>
      </c>
      <c r="D54" s="177">
        <f t="shared" si="0"/>
        <v>1</v>
      </c>
      <c r="E54" s="14"/>
    </row>
    <row r="55" spans="1:132" x14ac:dyDescent="0.25">
      <c r="B55" s="14" t="s">
        <v>623</v>
      </c>
      <c r="C55" s="177">
        <f>Scénario!K90</f>
        <v>0</v>
      </c>
      <c r="D55" s="177">
        <f t="shared" si="0"/>
        <v>0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2</v>
      </c>
      <c r="D59" s="177">
        <f t="shared" si="0"/>
        <v>2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1</v>
      </c>
      <c r="D61" s="177">
        <f t="shared" si="0"/>
        <v>1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304</v>
      </c>
      <c r="D63" s="258">
        <f>ROUND(C63*$D$82/$C$82,3)</f>
        <v>291.87</v>
      </c>
      <c r="F63" s="259" t="s">
        <v>1145</v>
      </c>
      <c r="G63">
        <f>D82/C82</f>
        <v>0.96009975062344133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253.80028190393577</v>
      </c>
      <c r="AW64" s="173">
        <f>CdTrp1!C15*$G$63</f>
        <v>251.26227908489645</v>
      </c>
      <c r="AX64" s="173">
        <f>CdTrp1!D15*$G$63</f>
        <v>248.72427626585707</v>
      </c>
      <c r="AY64" s="173">
        <f>CdTrp1!E15*$G$63</f>
        <v>247.45527485633741</v>
      </c>
      <c r="AZ64" s="173">
        <f>CdTrp1!F15*$G$63</f>
        <v>246.18627344681769</v>
      </c>
      <c r="BA64" s="173">
        <f>CdTrp1!G15*$G$63</f>
        <v>244.91727203729803</v>
      </c>
      <c r="BB64" s="173">
        <f>CdTrp1!H15*$G$63</f>
        <v>243.64827062777837</v>
      </c>
      <c r="BC64" s="173">
        <f>CdTrp1!I15*$G$63</f>
        <v>242.37926921825868</v>
      </c>
      <c r="BD64" s="173">
        <f>CdTrp1!J15*$G$63</f>
        <v>239.84126639921934</v>
      </c>
      <c r="BE64" s="173">
        <f>CdTrp1!K15*$G$63</f>
        <v>244.91727203729803</v>
      </c>
      <c r="BF64" s="173">
        <f>CdTrp1!L15*$G$63</f>
        <v>244.91727203729803</v>
      </c>
      <c r="BG64" s="173">
        <f>CdTrp1!M15*$G$63</f>
        <v>244.91727203729803</v>
      </c>
      <c r="BH64" s="173">
        <f>CdTrp1!N15*$G$63</f>
        <v>244.91727203729803</v>
      </c>
      <c r="BI64" s="173">
        <f>CdTrp1!O15*$G$63</f>
        <v>244.91727203729803</v>
      </c>
      <c r="BJ64" s="173">
        <f>CdTrp1!P15*$G$63</f>
        <v>244.91727203729803</v>
      </c>
      <c r="BK64" s="173">
        <f>CdTrp1!Q15*$G$63</f>
        <v>244.91727203729803</v>
      </c>
      <c r="BL64" s="173">
        <f>CdTrp1!R15*$G$63</f>
        <v>244.91727203729803</v>
      </c>
      <c r="BM64" s="173">
        <f>CdTrp1!S15*$G$63</f>
        <v>244.91727203729803</v>
      </c>
      <c r="BN64" s="173">
        <f>CdTrp1!T15*$G$63</f>
        <v>244.91727203729803</v>
      </c>
      <c r="BO64" s="173">
        <f>CdTrp1!U15*$G$63</f>
        <v>267.75929740865229</v>
      </c>
      <c r="BP64" s="173">
        <f>CdTrp1!V15*$G$63</f>
        <v>267.75929740865229</v>
      </c>
      <c r="BQ64" s="173">
        <f>CdTrp1!W15*$G$63</f>
        <v>253.80028190393577</v>
      </c>
      <c r="BR64" s="173">
        <f>CdTrp1!X15*$G$63</f>
        <v>253.80028190393577</v>
      </c>
      <c r="BS64" s="173">
        <f>CdTrp1!Y15*$G$63</f>
        <v>253.80028190393577</v>
      </c>
      <c r="BZ64" s="189" t="str">
        <f>+CdTrp2!A15</f>
        <v xml:space="preserve">vaches </v>
      </c>
      <c r="CA64" s="274"/>
      <c r="CB64" s="173">
        <f>CdTrp2!B15*$G$63</f>
        <v>13.863840399002493</v>
      </c>
      <c r="CC64" s="173">
        <f>CdTrp2!C15*$G$63</f>
        <v>13.863840399002493</v>
      </c>
      <c r="CD64" s="173">
        <f>CdTrp2!D15*$G$63</f>
        <v>13.863840399002493</v>
      </c>
      <c r="CE64" s="173">
        <f>CdTrp2!E15*$G$63</f>
        <v>13.863840399002493</v>
      </c>
      <c r="CF64" s="173">
        <f>CdTrp2!F15*$G$63</f>
        <v>13.863840399002493</v>
      </c>
      <c r="CG64" s="173">
        <f>CdTrp2!G15*$G$63</f>
        <v>13.863840399002493</v>
      </c>
      <c r="CH64" s="173">
        <f>CdTrp2!H15*$G$63</f>
        <v>13.863840399002493</v>
      </c>
      <c r="CI64" s="173">
        <f>CdTrp2!I15*$G$63</f>
        <v>13.863840399002493</v>
      </c>
      <c r="CJ64" s="173">
        <f>CdTrp2!J15*$G$63</f>
        <v>13.863840399002493</v>
      </c>
      <c r="CK64" s="173">
        <f>CdTrp2!K15*$G$63</f>
        <v>13.863840399002493</v>
      </c>
      <c r="CL64" s="173">
        <f>CdTrp2!L15*$G$63</f>
        <v>13.863840399002493</v>
      </c>
      <c r="CM64" s="173">
        <f>CdTrp2!M15*$G$63</f>
        <v>13.863840399002493</v>
      </c>
      <c r="CN64" s="173">
        <f>CdTrp2!N15*$G$63</f>
        <v>13.863840399002493</v>
      </c>
      <c r="CO64" s="173">
        <f>CdTrp2!O15*$G$63</f>
        <v>13.863840399002493</v>
      </c>
      <c r="CP64" s="173">
        <f>CdTrp2!P15*$G$63</f>
        <v>13.863840399002493</v>
      </c>
      <c r="CQ64" s="173">
        <f>CdTrp2!Q15*$G$63</f>
        <v>13.863840399002493</v>
      </c>
      <c r="CR64" s="173">
        <f>CdTrp2!R15*$G$63</f>
        <v>13.134164588528677</v>
      </c>
      <c r="CS64" s="173">
        <f>CdTrp2!S15*$G$63</f>
        <v>13.134164588528677</v>
      </c>
      <c r="CT64" s="173">
        <f>CdTrp2!T15*$G$63</f>
        <v>13.134164588528677</v>
      </c>
      <c r="CU64" s="173">
        <f>CdTrp2!U15*$G$63</f>
        <v>13.134164588528677</v>
      </c>
      <c r="CV64" s="173">
        <f>CdTrp2!V15*$G$63</f>
        <v>13.863840399002493</v>
      </c>
      <c r="CW64" s="173">
        <f>CdTrp2!W15*$G$63</f>
        <v>13.863840399002493</v>
      </c>
      <c r="CX64" s="173">
        <f>CdTrp2!X15*$G$63</f>
        <v>13.863840399002493</v>
      </c>
      <c r="CY64" s="173">
        <f>CdTrp2!Y15*$G$63</f>
        <v>13.863840399002493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19</v>
      </c>
      <c r="D65" s="258">
        <f t="shared" si="1"/>
        <v>18.242000000000001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24.1110267808739</v>
      </c>
      <c r="AW65" s="173">
        <f>CdTrp1!C16*$G$63</f>
        <v>24.1110267808739</v>
      </c>
      <c r="AX65" s="173">
        <f>CdTrp1!D16*$G$63</f>
        <v>24.1110267808739</v>
      </c>
      <c r="AY65" s="173">
        <f>CdTrp1!E16*$G$63</f>
        <v>24.1110267808739</v>
      </c>
      <c r="AZ65" s="173">
        <f>CdTrp1!F16*$G$63</f>
        <v>24.1110267808739</v>
      </c>
      <c r="BA65" s="173">
        <f>CdTrp1!G16*$G$63</f>
        <v>24.1110267808739</v>
      </c>
      <c r="BB65" s="173">
        <f>CdTrp1!H16*$G$63</f>
        <v>24.1110267808739</v>
      </c>
      <c r="BC65" s="173">
        <f>CdTrp1!I16*$G$63</f>
        <v>24.1110267808739</v>
      </c>
      <c r="BD65" s="173">
        <f>CdTrp1!J16*$G$63</f>
        <v>24.1110267808739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24.1110267808739</v>
      </c>
      <c r="BP65" s="173">
        <f>CdTrp1!V16*$G$63</f>
        <v>24.1110267808739</v>
      </c>
      <c r="BQ65" s="173">
        <f>CdTrp1!W16*$G$63</f>
        <v>24.1110267808739</v>
      </c>
      <c r="BR65" s="173">
        <f>CdTrp1!X16*$G$63</f>
        <v>24.1110267808739</v>
      </c>
      <c r="BS65" s="173">
        <f>CdTrp1!Y16*$G$63</f>
        <v>24.1110267808739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1.4593516209476309</v>
      </c>
      <c r="CH65" s="173">
        <f>CdTrp2!H16*$G$63</f>
        <v>2.9187032418952619</v>
      </c>
      <c r="CI65" s="173">
        <f>CdTrp2!I16*$G$63</f>
        <v>4.3780548628428919</v>
      </c>
      <c r="CJ65" s="173">
        <f>CdTrp2!J16*$G$63</f>
        <v>4.3780548628428919</v>
      </c>
      <c r="CK65" s="173">
        <f>CdTrp2!K16*$G$63</f>
        <v>4.3780548628428919</v>
      </c>
      <c r="CL65" s="173">
        <f>CdTrp2!L16*$G$63</f>
        <v>4.3780548628428919</v>
      </c>
      <c r="CM65" s="173">
        <f>CdTrp2!M16*$G$63</f>
        <v>4.3780548628428919</v>
      </c>
      <c r="CN65" s="173">
        <f>CdTrp2!N16*$G$63</f>
        <v>4.3780548628428919</v>
      </c>
      <c r="CO65" s="173">
        <f>CdTrp2!O16*$G$63</f>
        <v>4.3780548628428919</v>
      </c>
      <c r="CP65" s="173">
        <f>CdTrp2!P16*$G$63</f>
        <v>4.3780548628428919</v>
      </c>
      <c r="CQ65" s="173">
        <f>CdTrp2!Q16*$G$63</f>
        <v>4.3780548628428919</v>
      </c>
      <c r="CR65" s="173">
        <f>CdTrp2!R16*$G$63</f>
        <v>4.3780548628428919</v>
      </c>
      <c r="CS65" s="173">
        <f>CdTrp2!S16*$G$63</f>
        <v>4.3780548628428919</v>
      </c>
      <c r="CT65" s="173">
        <f>CdTrp2!T16*$G$63</f>
        <v>3.6483790523690769</v>
      </c>
      <c r="CU65" s="173">
        <f>CdTrp2!U16*$G$63</f>
        <v>3.6483790523690769</v>
      </c>
      <c r="CV65" s="173">
        <f>CdTrp2!V16*$G$63</f>
        <v>1.4593516209476309</v>
      </c>
      <c r="CW65" s="173">
        <f>CdTrp2!W16*$G$63</f>
        <v>0.72967581047381547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65.988073295023312</v>
      </c>
      <c r="AW66" s="173">
        <f>CdTrp1!C17*$G$63</f>
        <v>65.988073295023312</v>
      </c>
      <c r="AX66" s="173">
        <f>CdTrp1!D17*$G$63</f>
        <v>65.988073295023312</v>
      </c>
      <c r="AY66" s="173">
        <f>CdTrp1!E17*$G$63</f>
        <v>65.988073295023312</v>
      </c>
      <c r="AZ66" s="173">
        <f>CdTrp1!F17*$G$63</f>
        <v>65.988073295023312</v>
      </c>
      <c r="BA66" s="173">
        <f>CdTrp1!G17*$G$63</f>
        <v>65.988073295023312</v>
      </c>
      <c r="BB66" s="173">
        <f>CdTrp1!H17*$G$63</f>
        <v>65.988073295023312</v>
      </c>
      <c r="BC66" s="173">
        <f>CdTrp1!I17*$G$63</f>
        <v>65.988073295023312</v>
      </c>
      <c r="BD66" s="173">
        <f>CdTrp1!J17*$G$63</f>
        <v>65.988073295023312</v>
      </c>
      <c r="BE66" s="173">
        <f>CdTrp1!K17*$G$63</f>
        <v>65.988073295023312</v>
      </c>
      <c r="BF66" s="173">
        <f>CdTrp1!L17*$G$63</f>
        <v>65.988073295023312</v>
      </c>
      <c r="BG66" s="173">
        <f>CdTrp1!M17*$G$63</f>
        <v>65.988073295023312</v>
      </c>
      <c r="BH66" s="173">
        <f>CdTrp1!N17*$G$63</f>
        <v>65.988073295023312</v>
      </c>
      <c r="BI66" s="173">
        <f>CdTrp1!O17*$G$63</f>
        <v>65.988073295023312</v>
      </c>
      <c r="BJ66" s="173">
        <f>CdTrp1!P17*$G$63</f>
        <v>65.988073295023312</v>
      </c>
      <c r="BK66" s="173">
        <f>CdTrp1!Q17*$G$63</f>
        <v>65.988073295023312</v>
      </c>
      <c r="BL66" s="173">
        <f>CdTrp1!R17*$G$63</f>
        <v>65.988073295023312</v>
      </c>
      <c r="BM66" s="173">
        <f>CdTrp1!S17*$G$63</f>
        <v>65.988073295023312</v>
      </c>
      <c r="BN66" s="173">
        <f>CdTrp1!T17*$G$63</f>
        <v>65.988073295023312</v>
      </c>
      <c r="BO66" s="173">
        <f>CdTrp1!U17*$G$63</f>
        <v>0</v>
      </c>
      <c r="BP66" s="173">
        <f>CdTrp1!V17*$G$63</f>
        <v>0</v>
      </c>
      <c r="BQ66" s="173">
        <f>CdTrp1!W17*$G$63</f>
        <v>65.988073295023312</v>
      </c>
      <c r="BR66" s="173">
        <f>CdTrp1!X17*$G$63</f>
        <v>65.988073295023312</v>
      </c>
      <c r="BS66" s="173">
        <f>CdTrp1!Y17*$G$63</f>
        <v>65.988073295023312</v>
      </c>
      <c r="BZ66" s="189" t="str">
        <f>+CdTrp2!A17</f>
        <v>genisses +1an</v>
      </c>
      <c r="CA66" s="274"/>
      <c r="CB66" s="173">
        <f>CdTrp2!B17*$G$63</f>
        <v>8.7561097256857838</v>
      </c>
      <c r="CC66" s="173">
        <f>CdTrp2!C17*$G$63</f>
        <v>8.7561097256857838</v>
      </c>
      <c r="CD66" s="173">
        <f>CdTrp2!D17*$G$63</f>
        <v>8.7561097256857838</v>
      </c>
      <c r="CE66" s="173">
        <f>CdTrp2!E17*$G$63</f>
        <v>8.7561097256857838</v>
      </c>
      <c r="CF66" s="173">
        <f>CdTrp2!F17*$G$63</f>
        <v>8.7561097256857838</v>
      </c>
      <c r="CG66" s="173">
        <f>CdTrp2!G17*$G$63</f>
        <v>8.7561097256857838</v>
      </c>
      <c r="CH66" s="173">
        <f>CdTrp2!H17*$G$63</f>
        <v>8.7561097256857838</v>
      </c>
      <c r="CI66" s="173">
        <f>CdTrp2!I17*$G$63</f>
        <v>8.7561097256857838</v>
      </c>
      <c r="CJ66" s="173">
        <f>CdTrp2!J17*$G$63</f>
        <v>8.7561097256857838</v>
      </c>
      <c r="CK66" s="173">
        <f>CdTrp2!K17*$G$63</f>
        <v>8.7561097256857838</v>
      </c>
      <c r="CL66" s="173">
        <f>CdTrp2!L17*$G$63</f>
        <v>8.7561097256857838</v>
      </c>
      <c r="CM66" s="173">
        <f>CdTrp2!M17*$G$63</f>
        <v>8.7561097256857838</v>
      </c>
      <c r="CN66" s="173">
        <f>CdTrp2!N17*$G$63</f>
        <v>8.7561097256857838</v>
      </c>
      <c r="CO66" s="173">
        <f>CdTrp2!O17*$G$63</f>
        <v>8.7561097256857838</v>
      </c>
      <c r="CP66" s="173">
        <f>CdTrp2!P17*$G$63</f>
        <v>8.7561097256857838</v>
      </c>
      <c r="CQ66" s="173">
        <f>CdTrp2!Q17*$G$63</f>
        <v>8.7561097256857838</v>
      </c>
      <c r="CR66" s="173">
        <f>CdTrp2!R17*$G$63</f>
        <v>8.7561097256857838</v>
      </c>
      <c r="CS66" s="173">
        <f>CdTrp2!S17*$G$63</f>
        <v>8.7561097256857838</v>
      </c>
      <c r="CT66" s="173">
        <f>CdTrp2!T17*$G$63</f>
        <v>8.7561097256857838</v>
      </c>
      <c r="CU66" s="173">
        <f>CdTrp2!U17*$G$63</f>
        <v>8.7561097256857838</v>
      </c>
      <c r="CV66" s="173">
        <f>CdTrp2!V17*$G$63</f>
        <v>8.7561097256857838</v>
      </c>
      <c r="CW66" s="173">
        <f>CdTrp2!W17*$G$63</f>
        <v>8.7561097256857838</v>
      </c>
      <c r="CX66" s="173">
        <f>CdTrp2!X17*$G$63</f>
        <v>8.7561097256857838</v>
      </c>
      <c r="CY66" s="173">
        <f>CdTrp2!Y17*$G$63</f>
        <v>8.7561097256857838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42.023373913043486</v>
      </c>
      <c r="D67" s="258">
        <f>ROUND(C67*$D$82/$C$82,3)</f>
        <v>40.347000000000001</v>
      </c>
      <c r="AT67" s="189" t="str">
        <f t="shared" si="2"/>
        <v>beliers</v>
      </c>
      <c r="AU67" s="274"/>
      <c r="AV67" s="173">
        <f>CdTrp1!B18*$G$63</f>
        <v>7.6140084571180742</v>
      </c>
      <c r="AW67" s="173">
        <f>CdTrp1!C18*$G$63</f>
        <v>7.6140084571180742</v>
      </c>
      <c r="AX67" s="173">
        <f>CdTrp1!D18*$G$63</f>
        <v>7.6140084571180742</v>
      </c>
      <c r="AY67" s="173">
        <f>CdTrp1!E18*$G$63</f>
        <v>7.6140084571180742</v>
      </c>
      <c r="AZ67" s="173">
        <f>CdTrp1!F18*$G$63</f>
        <v>7.6140084571180742</v>
      </c>
      <c r="BA67" s="173">
        <f>CdTrp1!G18*$G$63</f>
        <v>7.6140084571180742</v>
      </c>
      <c r="BB67" s="173">
        <f>CdTrp1!H18*$G$63</f>
        <v>7.6140084571180742</v>
      </c>
      <c r="BC67" s="173">
        <f>CdTrp1!I18*$G$63</f>
        <v>7.6140084571180742</v>
      </c>
      <c r="BD67" s="173">
        <f>CdTrp1!J18*$G$63</f>
        <v>7.6140084571180742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7.6140084571180742</v>
      </c>
      <c r="BP67" s="173">
        <f>CdTrp1!V18*$G$63</f>
        <v>7.6140084571180742</v>
      </c>
      <c r="BQ67" s="173">
        <f>CdTrp1!W18*$G$63</f>
        <v>7.6140084571180742</v>
      </c>
      <c r="BR67" s="173">
        <f>CdTrp1!X18*$G$63</f>
        <v>7.6140084571180742</v>
      </c>
      <c r="BS67" s="173">
        <f>CdTrp1!Y18*$G$63</f>
        <v>7.6140084571180742</v>
      </c>
      <c r="BZ67" s="189" t="str">
        <f>+CdTrp2!A18</f>
        <v>lot4</v>
      </c>
      <c r="CA67" s="274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20.170019999999997</v>
      </c>
      <c r="D68" s="258">
        <f>ROUND(C68*$D$82/$C$82,3)</f>
        <v>19.364999999999998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62.193393913043479</v>
      </c>
      <c r="D70" s="258">
        <f>ROUND(C70*$D$82/$C$82,3)</f>
        <v>59.712000000000003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1</v>
      </c>
      <c r="D71" s="258">
        <f t="shared" ref="D71:D80" si="3">ROUND(C71*$D$82/$C$82,3)</f>
        <v>0.96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5</v>
      </c>
      <c r="D73" s="258">
        <f t="shared" si="3"/>
        <v>4.8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6</v>
      </c>
      <c r="D74" s="258">
        <f t="shared" si="3"/>
        <v>5.7610000000000001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23</v>
      </c>
      <c r="D75" s="258">
        <f t="shared" si="3"/>
        <v>22.082000000000001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0</v>
      </c>
      <c r="D76" s="258">
        <f t="shared" si="3"/>
        <v>0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5</v>
      </c>
      <c r="D77" s="258">
        <f t="shared" si="3"/>
        <v>4.8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18.7</v>
      </c>
      <c r="D78" s="258">
        <f t="shared" si="3"/>
        <v>17.954000000000001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4.3</v>
      </c>
      <c r="D79" s="258">
        <f t="shared" si="3"/>
        <v>4.1280000000000001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11.1</v>
      </c>
      <c r="D80" s="258">
        <f t="shared" si="3"/>
        <v>10.657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29</v>
      </c>
      <c r="D81" s="258">
        <f>ROUND(C81*$D$82/$C$82,3)</f>
        <v>27.843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40.1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1395</v>
      </c>
      <c r="C83" s="173">
        <f>Scénario!K4+Scénario!K6</f>
        <v>2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1.5509999999999999</v>
      </c>
      <c r="D84" s="173">
        <f>ROUND(D70/D82,3)</f>
        <v>1.5509999999999999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19.3</v>
      </c>
      <c r="D85" s="261">
        <f>ROUND(C85*$D$82/$C$82,3)</f>
        <v>18.53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16</v>
      </c>
      <c r="D86" s="261">
        <f t="shared" ref="D86:D97" si="14">ROUND(C86*$D$82/$C$82,3)</f>
        <v>15.362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0</v>
      </c>
      <c r="D87" s="261">
        <f t="shared" si="14"/>
        <v>0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1.93</v>
      </c>
      <c r="D88" s="261">
        <f t="shared" si="14"/>
        <v>1.853</v>
      </c>
      <c r="AT88" s="189" t="str">
        <f>CdTrp1!A16</f>
        <v>vides</v>
      </c>
      <c r="AU88" s="192" t="str">
        <f>Scénario!K97</f>
        <v>fort</v>
      </c>
      <c r="AV88" s="173">
        <f t="shared" si="15"/>
        <v>2</v>
      </c>
      <c r="AW88" s="173">
        <f t="shared" si="15"/>
        <v>2</v>
      </c>
      <c r="AX88" s="173">
        <f t="shared" si="15"/>
        <v>2</v>
      </c>
      <c r="AY88" s="173">
        <f t="shared" si="15"/>
        <v>2</v>
      </c>
      <c r="AZ88" s="173">
        <f t="shared" si="15"/>
        <v>2</v>
      </c>
      <c r="BA88" s="173">
        <f t="shared" si="15"/>
        <v>2</v>
      </c>
      <c r="BB88" s="173">
        <f t="shared" si="15"/>
        <v>2</v>
      </c>
      <c r="BC88" s="173">
        <f t="shared" si="15"/>
        <v>2</v>
      </c>
      <c r="BD88" s="173">
        <f t="shared" si="15"/>
        <v>2</v>
      </c>
      <c r="BE88" s="173">
        <f t="shared" si="15"/>
        <v>2</v>
      </c>
      <c r="BF88" s="173">
        <f t="shared" si="15"/>
        <v>2</v>
      </c>
      <c r="BG88" s="173">
        <f t="shared" si="15"/>
        <v>2</v>
      </c>
      <c r="BH88" s="173">
        <f t="shared" si="15"/>
        <v>2</v>
      </c>
      <c r="BI88" s="173">
        <f t="shared" si="15"/>
        <v>2</v>
      </c>
      <c r="BJ88" s="173">
        <f t="shared" si="15"/>
        <v>2</v>
      </c>
      <c r="BK88" s="173">
        <f t="shared" si="15"/>
        <v>2</v>
      </c>
      <c r="BL88" s="173">
        <f t="shared" si="16"/>
        <v>2</v>
      </c>
      <c r="BM88" s="173">
        <f t="shared" si="16"/>
        <v>2</v>
      </c>
      <c r="BN88" s="173">
        <f t="shared" si="16"/>
        <v>2</v>
      </c>
      <c r="BO88" s="173">
        <f t="shared" si="16"/>
        <v>2</v>
      </c>
      <c r="BP88" s="173">
        <f t="shared" si="16"/>
        <v>2</v>
      </c>
      <c r="BQ88" s="173">
        <f t="shared" si="16"/>
        <v>2</v>
      </c>
      <c r="BR88" s="173">
        <f t="shared" si="16"/>
        <v>2</v>
      </c>
      <c r="BS88" s="173">
        <f t="shared" si="16"/>
        <v>2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0</v>
      </c>
      <c r="D89" s="261">
        <f t="shared" si="14"/>
        <v>0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0.96</v>
      </c>
      <c r="G90" s="85" t="s">
        <v>1174</v>
      </c>
      <c r="AT90" s="189" t="str">
        <f>CdTrp1!A18</f>
        <v>beliers</v>
      </c>
      <c r="AU90" s="192" t="str">
        <f>Scénario!K99</f>
        <v>fort</v>
      </c>
      <c r="AV90" s="173">
        <f t="shared" si="15"/>
        <v>2</v>
      </c>
      <c r="AW90" s="173">
        <f t="shared" si="15"/>
        <v>2</v>
      </c>
      <c r="AX90" s="173">
        <f t="shared" si="15"/>
        <v>2</v>
      </c>
      <c r="AY90" s="173">
        <f t="shared" si="15"/>
        <v>2</v>
      </c>
      <c r="AZ90" s="173">
        <f t="shared" si="15"/>
        <v>2</v>
      </c>
      <c r="BA90" s="173">
        <f t="shared" si="15"/>
        <v>2</v>
      </c>
      <c r="BB90" s="173">
        <f t="shared" si="15"/>
        <v>2</v>
      </c>
      <c r="BC90" s="173">
        <f t="shared" si="15"/>
        <v>2</v>
      </c>
      <c r="BD90" s="173">
        <f t="shared" si="15"/>
        <v>2</v>
      </c>
      <c r="BE90" s="173">
        <f t="shared" si="15"/>
        <v>2</v>
      </c>
      <c r="BF90" s="173">
        <f t="shared" si="15"/>
        <v>2</v>
      </c>
      <c r="BG90" s="173">
        <f t="shared" si="15"/>
        <v>2</v>
      </c>
      <c r="BH90" s="173">
        <f t="shared" si="15"/>
        <v>2</v>
      </c>
      <c r="BI90" s="173">
        <f t="shared" si="15"/>
        <v>2</v>
      </c>
      <c r="BJ90" s="173">
        <f t="shared" si="15"/>
        <v>2</v>
      </c>
      <c r="BK90" s="173">
        <f t="shared" si="15"/>
        <v>2</v>
      </c>
      <c r="BL90" s="173">
        <f t="shared" si="16"/>
        <v>2</v>
      </c>
      <c r="BM90" s="173">
        <f t="shared" si="16"/>
        <v>2</v>
      </c>
      <c r="BN90" s="173">
        <f t="shared" si="16"/>
        <v>2</v>
      </c>
      <c r="BO90" s="173">
        <f t="shared" si="16"/>
        <v>2</v>
      </c>
      <c r="BP90" s="173">
        <f t="shared" si="16"/>
        <v>2</v>
      </c>
      <c r="BQ90" s="173">
        <f t="shared" si="16"/>
        <v>2</v>
      </c>
      <c r="BR90" s="173">
        <f t="shared" si="16"/>
        <v>2</v>
      </c>
      <c r="BS90" s="173">
        <f t="shared" si="16"/>
        <v>2</v>
      </c>
      <c r="BZ90" s="189" t="str">
        <f t="shared" si="17"/>
        <v>lot4</v>
      </c>
      <c r="CA90" s="192">
        <f>Scénario!K109</f>
        <v>0</v>
      </c>
      <c r="CB90" s="173">
        <f t="shared" si="21"/>
        <v>0</v>
      </c>
      <c r="CC90" s="173">
        <f t="shared" si="18"/>
        <v>0</v>
      </c>
      <c r="CD90" s="173">
        <f t="shared" si="18"/>
        <v>0</v>
      </c>
      <c r="CE90" s="173">
        <f t="shared" si="18"/>
        <v>0</v>
      </c>
      <c r="CF90" s="173">
        <f t="shared" si="18"/>
        <v>0</v>
      </c>
      <c r="CG90" s="173">
        <f t="shared" si="18"/>
        <v>0</v>
      </c>
      <c r="CH90" s="173">
        <f t="shared" si="18"/>
        <v>0</v>
      </c>
      <c r="CI90" s="173">
        <f t="shared" si="18"/>
        <v>0</v>
      </c>
      <c r="CJ90" s="173">
        <f t="shared" si="18"/>
        <v>0</v>
      </c>
      <c r="CK90" s="173">
        <f t="shared" si="18"/>
        <v>0</v>
      </c>
      <c r="CL90" s="173">
        <f t="shared" si="18"/>
        <v>0</v>
      </c>
      <c r="CM90" s="173">
        <f t="shared" si="18"/>
        <v>0</v>
      </c>
      <c r="CN90" s="173">
        <f t="shared" si="18"/>
        <v>0</v>
      </c>
      <c r="CO90" s="173">
        <f t="shared" si="18"/>
        <v>0</v>
      </c>
      <c r="CP90" s="173">
        <f t="shared" si="18"/>
        <v>0</v>
      </c>
      <c r="CQ90" s="173">
        <f t="shared" si="18"/>
        <v>0</v>
      </c>
      <c r="CR90" s="173">
        <f t="shared" si="18"/>
        <v>0</v>
      </c>
      <c r="CS90" s="173">
        <f t="shared" si="18"/>
        <v>0</v>
      </c>
      <c r="CT90" s="173">
        <f t="shared" si="18"/>
        <v>0</v>
      </c>
      <c r="CU90" s="173">
        <f t="shared" si="18"/>
        <v>0</v>
      </c>
      <c r="CV90" s="173">
        <f t="shared" si="18"/>
        <v>0</v>
      </c>
      <c r="CW90" s="173">
        <f t="shared" si="18"/>
        <v>0</v>
      </c>
      <c r="CX90" s="173">
        <f t="shared" si="18"/>
        <v>0</v>
      </c>
      <c r="CY90" s="173">
        <f t="shared" si="18"/>
        <v>0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0</v>
      </c>
      <c r="D91" s="261">
        <f t="shared" si="14"/>
        <v>0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3</v>
      </c>
      <c r="M95" s="30">
        <f>CdTrp1!G77</f>
        <v>3</v>
      </c>
      <c r="N95" s="30">
        <f>CdTrp1!H77</f>
        <v>3</v>
      </c>
      <c r="O95" s="30">
        <f>CdTrp1!I77</f>
        <v>3</v>
      </c>
      <c r="P95" s="30">
        <f>CdTrp1!J77</f>
        <v>3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3</v>
      </c>
      <c r="AB95" s="30">
        <f>CdTrp1!V77</f>
        <v>3</v>
      </c>
      <c r="AC95" s="30">
        <f>CdTrp1!W77</f>
        <v>3</v>
      </c>
      <c r="AD95" s="30">
        <f>CdTrp1!X77</f>
        <v>3</v>
      </c>
      <c r="AE95" s="30">
        <f>CdTrp1!Y77</f>
        <v>2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1</v>
      </c>
      <c r="K96" s="30">
        <f>CdTrp1!E78</f>
        <v>1</v>
      </c>
      <c r="L96" s="30">
        <f>CdTrp1!F78</f>
        <v>1</v>
      </c>
      <c r="M96" s="30">
        <f>CdTrp1!G78</f>
        <v>1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29</v>
      </c>
      <c r="D97" s="261">
        <f t="shared" si="14"/>
        <v>27.843</v>
      </c>
      <c r="F97" s="14"/>
      <c r="G97" s="30" t="str">
        <f>CdTrp1!A91</f>
        <v>beliers</v>
      </c>
      <c r="H97" s="30">
        <f>CdTrp1!B79</f>
        <v>2</v>
      </c>
      <c r="I97" s="30">
        <f>CdTrp1!C79</f>
        <v>2</v>
      </c>
      <c r="J97" s="30">
        <f>CdTrp1!D79</f>
        <v>2</v>
      </c>
      <c r="K97" s="30">
        <f>CdTrp1!E79</f>
        <v>2</v>
      </c>
      <c r="L97" s="30">
        <f>CdTrp1!F79</f>
        <v>2</v>
      </c>
      <c r="M97" s="30">
        <f>CdTrp1!G79</f>
        <v>2</v>
      </c>
      <c r="N97" s="30">
        <f>CdTrp1!H79</f>
        <v>2</v>
      </c>
      <c r="O97" s="30">
        <f>CdTrp1!I79</f>
        <v>2</v>
      </c>
      <c r="P97" s="30">
        <f>CdTrp1!J79</f>
        <v>1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2</v>
      </c>
      <c r="AB97" s="30">
        <f>CdTrp1!V79</f>
        <v>2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4</v>
      </c>
      <c r="D98" s="173">
        <f>C98</f>
        <v>4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1</v>
      </c>
      <c r="BH98" s="173">
        <f>IF(CdTrp1!N52=1,3,IF(CdTrp1!N52=0.5,2,IF(CdTrp1!N52=0,1,0)))</f>
        <v>1</v>
      </c>
      <c r="BI98" s="173">
        <f>IF(CdTrp1!O52=1,3,IF(CdTrp1!O52=0.5,2,IF(CdTrp1!O52=0,1,0)))</f>
        <v>1</v>
      </c>
      <c r="BJ98" s="173">
        <f>IF(CdTrp1!P52=1,3,IF(CdTrp1!P52=0.5,2,IF(CdTrp1!P52=0,1,0)))</f>
        <v>1</v>
      </c>
      <c r="BK98" s="173">
        <f>IF(CdTrp1!Q52=1,3,IF(CdTrp1!Q52=0.5,2,IF(CdTrp1!Q52=0,1,0)))</f>
        <v>1</v>
      </c>
      <c r="BL98" s="173">
        <f>IF(CdTrp1!R52=1,3,IF(CdTrp1!R52=0.5,2,IF(CdTrp1!R52=0,1,0)))</f>
        <v>1</v>
      </c>
      <c r="BM98" s="173">
        <f>IF(CdTrp1!S52=1,3,IF(CdTrp1!S52=0.5,2,IF(CdTrp1!S52=0,1,0)))</f>
        <v>1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2</v>
      </c>
      <c r="CI98" s="173">
        <f>IF(CdTrp2!I52=1,3,IF(CdTrp2!I52=0.5,2,IF(CdTrp2!I52=0,1,0)))</f>
        <v>2</v>
      </c>
      <c r="CJ98" s="173">
        <f>IF(CdTrp2!J52=1,3,IF(CdTrp2!J52=0.5,2,IF(CdTrp2!J52=0,1,0)))</f>
        <v>2</v>
      </c>
      <c r="CK98" s="173">
        <f>IF(CdTrp2!K52=1,3,IF(CdTrp2!K52=0.5,2,IF(CdTrp2!K52=0,1,0)))</f>
        <v>2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2</v>
      </c>
      <c r="CU98" s="173">
        <f>IF(CdTrp2!U52=1,3,IF(CdTrp2!U52=0.5,2,IF(CdTrp2!U52=0,1,0)))</f>
        <v>2</v>
      </c>
      <c r="CV98" s="173">
        <f>IF(CdTrp2!V52=1,3,IF(CdTrp2!V52=0.5,2,IF(CdTrp2!V52=0,1,0)))</f>
        <v>2</v>
      </c>
      <c r="CW98" s="173">
        <f>IF(CdTrp2!W52=1,3,IF(CdTrp2!W52=0.5,2,IF(CdTrp2!W52=0,1,0)))</f>
        <v>2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3</v>
      </c>
      <c r="D99" s="173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2</v>
      </c>
      <c r="AW99" s="173">
        <f>IF(CdTrp1!C53=1,3,IF(CdTrp1!C53=0.5,2,IF(CdTrp1!C53=0,1,0)))</f>
        <v>2</v>
      </c>
      <c r="AX99" s="173">
        <f>IF(CdTrp1!D53=1,3,IF(CdTrp1!D53=0.5,2,IF(CdTrp1!D53=0,1,0)))</f>
        <v>2</v>
      </c>
      <c r="AY99" s="173">
        <f>IF(CdTrp1!E53=1,3,IF(CdTrp1!E53=0.5,2,IF(CdTrp1!E53=0,1,0)))</f>
        <v>2</v>
      </c>
      <c r="AZ99" s="173">
        <f>IF(CdTrp1!F53=1,3,IF(CdTrp1!F53=0.5,2,IF(CdTrp1!F53=0,1,0)))</f>
        <v>2</v>
      </c>
      <c r="BA99" s="173">
        <f>IF(CdTrp1!G53=1,3,IF(CdTrp1!G53=0.5,2,IF(CdTrp1!G53=0,1,0)))</f>
        <v>2</v>
      </c>
      <c r="BB99" s="173">
        <f>IF(CdTrp1!H53=1,3,IF(CdTrp1!H53=0.5,2,IF(CdTrp1!H53=0,1,0)))</f>
        <v>2</v>
      </c>
      <c r="BC99" s="173">
        <f>IF(CdTrp1!I53=1,3,IF(CdTrp1!I53=0.5,2,IF(CdTrp1!I53=0,1,0)))</f>
        <v>2</v>
      </c>
      <c r="BD99" s="173">
        <f>IF(CdTrp1!J53=1,3,IF(CdTrp1!J53=0.5,2,IF(CdTrp1!J53=0,1,0)))</f>
        <v>2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2</v>
      </c>
      <c r="BP99" s="173">
        <f>IF(CdTrp1!V53=1,3,IF(CdTrp1!V53=0.5,2,IF(CdTrp1!V53=0,1,0)))</f>
        <v>2</v>
      </c>
      <c r="BQ99" s="173">
        <f>IF(CdTrp1!W53=1,3,IF(CdTrp1!W53=0.5,2,IF(CdTrp1!W53=0,1,0)))</f>
        <v>2</v>
      </c>
      <c r="BR99" s="173">
        <f>IF(CdTrp1!X53=1,3,IF(CdTrp1!X53=0.5,2,IF(CdTrp1!X53=0,1,0)))</f>
        <v>2</v>
      </c>
      <c r="BS99" s="173">
        <f>IF(CdTrp1!Y53=1,3,IF(CdTrp1!Y53=0.5,2,IF(CdTrp1!Y53=0,1,0)))</f>
        <v>2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0</v>
      </c>
      <c r="CC99" s="173">
        <f>IF(CdTrp2!C53=1,3,IF(CdTrp2!C53=0.5,2,IF(CdTrp2!C53=0,1,0)))</f>
        <v>0</v>
      </c>
      <c r="CD99" s="173">
        <f>IF(CdTrp2!D53=1,3,IF(CdTrp2!D53=0.5,2,IF(CdTrp2!D53=0,1,0)))</f>
        <v>0</v>
      </c>
      <c r="CE99" s="173">
        <f>IF(CdTrp2!E53=1,3,IF(CdTrp2!E53=0.5,2,IF(CdTrp2!E53=0,1,0)))</f>
        <v>0</v>
      </c>
      <c r="CF99" s="173">
        <f>IF(CdTrp2!F53=1,3,IF(CdTrp2!F53=0.5,2,IF(CdTrp2!F53=0,1,0)))</f>
        <v>0</v>
      </c>
      <c r="CG99" s="173">
        <f>IF(CdTrp2!G53=1,3,IF(CdTrp2!G53=0.5,2,IF(CdTrp2!G53=0,1,0)))</f>
        <v>1</v>
      </c>
      <c r="CH99" s="173">
        <f>IF(CdTrp2!H53=1,3,IF(CdTrp2!H53=0.5,2,IF(CdTrp2!H53=0,1,0)))</f>
        <v>1</v>
      </c>
      <c r="CI99" s="173">
        <f>IF(CdTrp2!I53=1,3,IF(CdTrp2!I53=0.5,2,IF(CdTrp2!I53=0,1,0)))</f>
        <v>1</v>
      </c>
      <c r="CJ99" s="173">
        <f>IF(CdTrp2!J53=1,3,IF(CdTrp2!J53=0.5,2,IF(CdTrp2!J53=0,1,0)))</f>
        <v>1</v>
      </c>
      <c r="CK99" s="173">
        <f>IF(CdTrp2!K53=1,3,IF(CdTrp2!K53=0.5,2,IF(CdTrp2!K53=0,1,0)))</f>
        <v>1</v>
      </c>
      <c r="CL99" s="173">
        <f>IF(CdTrp2!L53=1,3,IF(CdTrp2!L53=0.5,2,IF(CdTrp2!L53=0,1,0)))</f>
        <v>1</v>
      </c>
      <c r="CM99" s="173">
        <f>IF(CdTrp2!M53=1,3,IF(CdTrp2!M53=0.5,2,IF(CdTrp2!M53=0,1,0)))</f>
        <v>1</v>
      </c>
      <c r="CN99" s="173">
        <f>IF(CdTrp2!N53=1,3,IF(CdTrp2!N53=0.5,2,IF(CdTrp2!N53=0,1,0)))</f>
        <v>1</v>
      </c>
      <c r="CO99" s="173">
        <f>IF(CdTrp2!O53=1,3,IF(CdTrp2!O53=0.5,2,IF(CdTrp2!O53=0,1,0)))</f>
        <v>1</v>
      </c>
      <c r="CP99" s="173">
        <f>IF(CdTrp2!P53=1,3,IF(CdTrp2!P53=0.5,2,IF(CdTrp2!P53=0,1,0)))</f>
        <v>1</v>
      </c>
      <c r="CQ99" s="173">
        <f>IF(CdTrp2!Q53=1,3,IF(CdTrp2!Q53=0.5,2,IF(CdTrp2!Q53=0,1,0)))</f>
        <v>1</v>
      </c>
      <c r="CR99" s="173">
        <f>IF(CdTrp2!R53=1,3,IF(CdTrp2!R53=0.5,2,IF(CdTrp2!R53=0,1,0)))</f>
        <v>1</v>
      </c>
      <c r="CS99" s="173">
        <f>IF(CdTrp2!S53=1,3,IF(CdTrp2!S53=0.5,2,IF(CdTrp2!S53=0,1,0)))</f>
        <v>1</v>
      </c>
      <c r="CT99" s="173">
        <f>IF(CdTrp2!T53=1,3,IF(CdTrp2!T53=0.5,2,IF(CdTrp2!T53=0,1,0)))</f>
        <v>1</v>
      </c>
      <c r="CU99" s="173">
        <f>IF(CdTrp2!U53=1,3,IF(CdTrp2!U53=0.5,2,IF(CdTrp2!U53=0,1,0)))</f>
        <v>1</v>
      </c>
      <c r="CV99" s="173">
        <f>IF(CdTrp2!V53=1,3,IF(CdTrp2!V53=0.5,2,IF(CdTrp2!V53=0,1,0)))</f>
        <v>2</v>
      </c>
      <c r="CW99" s="173">
        <f>IF(CdTrp2!W53=1,3,IF(CdTrp2!W53=0.5,2,IF(CdTrp2!W53=0,1,0)))</f>
        <v>2</v>
      </c>
      <c r="CX99" s="173">
        <f>IF(CdTrp2!X53=1,3,IF(CdTrp2!X53=0.5,2,IF(CdTrp2!X53=0,1,0)))</f>
        <v>0</v>
      </c>
      <c r="CY99" s="173">
        <f>IF(CdTrp2!Y53=1,3,IF(CdTrp2!Y53=0.5,2,IF(CdTrp2!Y53=0,1,0)))</f>
        <v>0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2</v>
      </c>
      <c r="BB100" s="173">
        <f>IF(CdTrp1!H54=1,3,IF(CdTrp1!H54=0.5,2,IF(CdTrp1!H54=0,1,0)))</f>
        <v>2</v>
      </c>
      <c r="BC100" s="173">
        <f>IF(CdTrp1!I54=1,3,IF(CdTrp1!I54=0.5,2,IF(CdTrp1!I54=0,1,0)))</f>
        <v>2</v>
      </c>
      <c r="BD100" s="173">
        <f>IF(CdTrp1!J54=1,3,IF(CdTrp1!J54=0.5,2,IF(CdTrp1!J54=0,1,0)))</f>
        <v>2</v>
      </c>
      <c r="BE100" s="173">
        <f>IF(CdTrp1!K54=1,3,IF(CdTrp1!K54=0.5,2,IF(CdTrp1!K54=0,1,0)))</f>
        <v>2</v>
      </c>
      <c r="BF100" s="173">
        <f>IF(CdTrp1!L54=1,3,IF(CdTrp1!L54=0.5,2,IF(CdTrp1!L54=0,1,0)))</f>
        <v>2</v>
      </c>
      <c r="BG100" s="173">
        <f>IF(CdTrp1!M54=1,3,IF(CdTrp1!M54=0.5,2,IF(CdTrp1!M54=0,1,0)))</f>
        <v>2</v>
      </c>
      <c r="BH100" s="173">
        <f>IF(CdTrp1!N54=1,3,IF(CdTrp1!N54=0.5,2,IF(CdTrp1!N54=0,1,0)))</f>
        <v>2</v>
      </c>
      <c r="BI100" s="173">
        <f>IF(CdTrp1!O54=1,3,IF(CdTrp1!O54=0.5,2,IF(CdTrp1!O54=0,1,0)))</f>
        <v>2</v>
      </c>
      <c r="BJ100" s="173">
        <f>IF(CdTrp1!P54=1,3,IF(CdTrp1!P54=0.5,2,IF(CdTrp1!P54=0,1,0)))</f>
        <v>2</v>
      </c>
      <c r="BK100" s="173">
        <f>IF(CdTrp1!Q54=1,3,IF(CdTrp1!Q54=0.5,2,IF(CdTrp1!Q54=0,1,0)))</f>
        <v>2</v>
      </c>
      <c r="BL100" s="173">
        <f>IF(CdTrp1!R54=1,3,IF(CdTrp1!R54=0.5,2,IF(CdTrp1!R54=0,1,0)))</f>
        <v>2</v>
      </c>
      <c r="BM100" s="173">
        <f>IF(CdTrp1!S54=1,3,IF(CdTrp1!S54=0.5,2,IF(CdTrp1!S54=0,1,0)))</f>
        <v>2</v>
      </c>
      <c r="BN100" s="173">
        <f>IF(CdTrp1!T54=1,3,IF(CdTrp1!T54=0.5,2,IF(CdTrp1!T54=0,1,0)))</f>
        <v>2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7</v>
      </c>
      <c r="D101" s="173">
        <f t="shared" si="25"/>
        <v>7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1</v>
      </c>
      <c r="AW101" s="173">
        <f>IF(CdTrp1!C55=1,3,IF(CdTrp1!C55=0.5,2,IF(CdTrp1!C55=0,1,0)))</f>
        <v>1</v>
      </c>
      <c r="AX101" s="173">
        <f>IF(CdTrp1!D55=1,3,IF(CdTrp1!D55=0.5,2,IF(CdTrp1!D55=0,1,0)))</f>
        <v>1</v>
      </c>
      <c r="AY101" s="173">
        <f>IF(CdTrp1!E55=1,3,IF(CdTrp1!E55=0.5,2,IF(CdTrp1!E55=0,1,0)))</f>
        <v>1</v>
      </c>
      <c r="AZ101" s="173">
        <f>IF(CdTrp1!F55=1,3,IF(CdTrp1!F55=0.5,2,IF(CdTrp1!F55=0,1,0)))</f>
        <v>1</v>
      </c>
      <c r="BA101" s="173">
        <f>IF(CdTrp1!G55=1,3,IF(CdTrp1!G55=0.5,2,IF(CdTrp1!G55=0,1,0)))</f>
        <v>1</v>
      </c>
      <c r="BB101" s="173">
        <f>IF(CdTrp1!H55=1,3,IF(CdTrp1!H55=0.5,2,IF(CdTrp1!H55=0,1,0)))</f>
        <v>1</v>
      </c>
      <c r="BC101" s="173">
        <f>IF(CdTrp1!I55=1,3,IF(CdTrp1!I55=0.5,2,IF(CdTrp1!I55=0,1,0)))</f>
        <v>1</v>
      </c>
      <c r="BD101" s="173">
        <f>IF(CdTrp1!J55=1,3,IF(CdTrp1!J55=0.5,2,IF(CdTrp1!J55=0,1,0)))</f>
        <v>1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1</v>
      </c>
      <c r="BP101" s="173">
        <f>IF(CdTrp1!V55=1,3,IF(CdTrp1!V55=0.5,2,IF(CdTrp1!V55=0,1,0)))</f>
        <v>1</v>
      </c>
      <c r="BQ101" s="173">
        <f>IF(CdTrp1!W55=1,3,IF(CdTrp1!W55=0.5,2,IF(CdTrp1!W55=0,1,0)))</f>
        <v>1</v>
      </c>
      <c r="BR101" s="173">
        <f>IF(CdTrp1!X55=1,3,IF(CdTrp1!X55=0.5,2,IF(CdTrp1!X55=0,1,0)))</f>
        <v>1</v>
      </c>
      <c r="BS101" s="173">
        <f>IF(CdTrp1!Y55=1,3,IF(CdTrp1!Y55=0.5,2,IF(CdTrp1!Y55=0,1,0)))</f>
        <v>1</v>
      </c>
      <c r="BZ101" s="189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10</v>
      </c>
      <c r="D103" s="173">
        <f t="shared" si="25"/>
        <v>10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1</v>
      </c>
      <c r="P105" s="30">
        <f>CdTrp2!J76</f>
        <v>2</v>
      </c>
      <c r="Q105" s="30">
        <f>CdTrp2!K76</f>
        <v>2</v>
      </c>
      <c r="R105" s="30">
        <f>CdTrp2!L76</f>
        <v>2</v>
      </c>
      <c r="S105" s="30">
        <f>CdTrp2!M76</f>
        <v>2</v>
      </c>
      <c r="T105" s="30">
        <f>CdTrp2!N76</f>
        <v>2</v>
      </c>
      <c r="U105" s="30">
        <f>CdTrp2!O76</f>
        <v>1</v>
      </c>
      <c r="V105" s="30">
        <f>CdTrp2!P76</f>
        <v>1</v>
      </c>
      <c r="W105" s="30">
        <f>CdTrp2!Q76</f>
        <v>1</v>
      </c>
      <c r="X105" s="30">
        <f>CdTrp2!R76</f>
        <v>2</v>
      </c>
      <c r="Y105" s="30">
        <f>CdTrp2!S76</f>
        <v>2</v>
      </c>
      <c r="Z105" s="30">
        <f>CdTrp2!T76</f>
        <v>3</v>
      </c>
      <c r="AA105" s="30">
        <f>CdTrp2!U76</f>
        <v>3</v>
      </c>
      <c r="AB105" s="30">
        <f>CdTrp2!V76</f>
        <v>2</v>
      </c>
      <c r="AC105" s="30">
        <f>CdTrp2!W76</f>
        <v>2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31</v>
      </c>
      <c r="D106" s="173">
        <f t="shared" si="25"/>
        <v>31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1</v>
      </c>
      <c r="N106" s="30">
        <f>CdTrp2!H77</f>
        <v>1</v>
      </c>
      <c r="O106" s="30">
        <f>CdTrp2!I77</f>
        <v>1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26.5</v>
      </c>
      <c r="D107" s="173">
        <f t="shared" si="25"/>
        <v>26.5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2</v>
      </c>
      <c r="K107" s="30">
        <f>CdTrp2!E78</f>
        <v>2</v>
      </c>
      <c r="L107" s="30">
        <f>CdTrp2!F78</f>
        <v>2</v>
      </c>
      <c r="M107" s="30">
        <f>CdTrp2!G78</f>
        <v>2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2</v>
      </c>
      <c r="U107" s="30">
        <f>CdTrp2!O78</f>
        <v>2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3</v>
      </c>
      <c r="AA107" s="30">
        <f>CdTrp2!U78</f>
        <v>1</v>
      </c>
      <c r="AB107" s="30">
        <f>CdTrp2!V78</f>
        <v>1</v>
      </c>
      <c r="AC107" s="30">
        <f>CdTrp2!W78</f>
        <v>1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57.5</v>
      </c>
      <c r="D109" s="173">
        <f t="shared" si="25"/>
        <v>57.5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0</v>
      </c>
      <c r="BH109" s="173">
        <v>2</v>
      </c>
      <c r="BI109" s="173">
        <f>IF(CdTrp1!O76=1,1,IF(CdTrp1!O76=2,2,IF(CdTrp1!O76=3,2,IF(CdTrp1!O76=4,4,0))))</f>
        <v>0</v>
      </c>
      <c r="BJ109" s="173">
        <f>IF(CdTrp1!P76=1,1,IF(CdTrp1!P76=2,2,IF(CdTrp1!P76=3,2,IF(CdTrp1!P76=4,4,0))))</f>
        <v>0</v>
      </c>
      <c r="BK109" s="173">
        <f>IF(CdTrp1!Q76=1,1,IF(CdTrp1!Q76=2,2,IF(CdTrp1!Q76=3,2,IF(CdTrp1!Q76=4,4,0))))</f>
        <v>0</v>
      </c>
      <c r="BL109" s="173">
        <f>IF(CdTrp1!R76=1,1,IF(CdTrp1!R76=2,2,IF(CdTrp1!R76=3,2,IF(CdTrp1!R76=4,4,0))))</f>
        <v>0</v>
      </c>
      <c r="BM109" s="173">
        <f>IF(CdTrp1!S76=1,1,IF(CdTrp1!S76=2,2,IF(CdTrp1!S76=3,2,IF(CdTrp1!S76=4,4,0))))</f>
        <v>0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1</v>
      </c>
      <c r="CI109" s="173">
        <f>IF(CdTrp2!I76=1,1,IF(CdTrp2!I76=2,2,IF(CdTrp2!I76=3,2,IF(CdTrp2!I76=4,4,0))))</f>
        <v>1</v>
      </c>
      <c r="CJ109" s="173">
        <f>IF(CdTrp2!J76=1,1,IF(CdTrp2!J76=2,2,IF(CdTrp2!J76=3,2,IF(CdTrp2!J76=4,4,0))))</f>
        <v>2</v>
      </c>
      <c r="CK109" s="173">
        <f>IF(CdTrp2!K76=1,1,IF(CdTrp2!K76=2,2,IF(CdTrp2!K76=3,2,IF(CdTrp2!K76=4,4,0))))</f>
        <v>2</v>
      </c>
      <c r="CL109" s="173">
        <f>IF(CdTrp2!L76=1,1,IF(CdTrp2!L76=2,2,IF(CdTrp2!L76=3,2,IF(CdTrp2!L76=4,4,0))))</f>
        <v>2</v>
      </c>
      <c r="CM109" s="173">
        <f>IF(CdTrp2!M76=1,1,IF(CdTrp2!M76=2,2,IF(CdTrp2!M76=3,2,IF(CdTrp2!M76=4,4,0))))</f>
        <v>2</v>
      </c>
      <c r="CN109" s="173">
        <f>IF(CdTrp2!N76=1,1,IF(CdTrp2!N76=2,2,IF(CdTrp2!N76=3,2,IF(CdTrp2!N76=4,4,0))))</f>
        <v>2</v>
      </c>
      <c r="CO109" s="173">
        <f>IF(CdTrp2!O76=1,1,IF(CdTrp2!O76=2,2,IF(CdTrp2!O76=3,2,IF(CdTrp2!O76=4,4,0))))</f>
        <v>1</v>
      </c>
      <c r="CP109" s="173">
        <f>IF(CdTrp2!P76=1,1,IF(CdTrp2!P76=2,2,IF(CdTrp2!P76=3,2,IF(CdTrp2!P76=4,4,0))))</f>
        <v>1</v>
      </c>
      <c r="CQ109" s="173">
        <f>IF(CdTrp2!Q76=1,1,IF(CdTrp2!Q76=2,2,IF(CdTrp2!Q76=3,2,IF(CdTrp2!Q76=4,4,0))))</f>
        <v>1</v>
      </c>
      <c r="CR109" s="173">
        <f>IF(CdTrp2!R76=1,1,IF(CdTrp2!R76=2,2,IF(CdTrp2!R76=3,2,IF(CdTrp2!R76=4,4,0))))</f>
        <v>2</v>
      </c>
      <c r="CS109" s="173">
        <f>IF(CdTrp2!S76=1,1,IF(CdTrp2!S76=2,2,IF(CdTrp2!S76=3,2,IF(CdTrp2!S76=4,4,0))))</f>
        <v>2</v>
      </c>
      <c r="CT109" s="173">
        <f>IF(CdTrp2!T76=1,1,IF(CdTrp2!T76=2,2,IF(CdTrp2!T76=3,2,IF(CdTrp2!T76=4,4,0))))</f>
        <v>2</v>
      </c>
      <c r="CU109" s="173">
        <f>IF(CdTrp2!U76=1,1,IF(CdTrp2!U76=2,2,IF(CdTrp2!U76=3,2,IF(CdTrp2!U76=4,4,0))))</f>
        <v>2</v>
      </c>
      <c r="CV109" s="173">
        <f>IF(CdTrp2!V76=1,1,IF(CdTrp2!V76=2,2,IF(CdTrp2!V76=3,2,IF(CdTrp2!V76=4,4,0))))</f>
        <v>2</v>
      </c>
      <c r="CW109" s="173">
        <f>IF(CdTrp2!W76=1,1,IF(CdTrp2!W76=2,2,IF(CdTrp2!W76=3,2,IF(CdTrp2!W76=4,4,0))))</f>
        <v>2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14</v>
      </c>
      <c r="D110" s="173">
        <f t="shared" si="25"/>
        <v>14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2</v>
      </c>
      <c r="AW110" s="173">
        <f>IF(CdTrp1!C77=1,1,IF(CdTrp1!C77=2,2,IF(CdTrp1!C77=3,2,IF(CdTrp1!C77=4,4,0))))</f>
        <v>2</v>
      </c>
      <c r="AX110" s="173">
        <f>IF(CdTrp1!D77=1,1,IF(CdTrp1!D77=2,2,IF(CdTrp1!D77=3,2,IF(CdTrp1!D77=4,4,0))))</f>
        <v>2</v>
      </c>
      <c r="AY110" s="173">
        <f>IF(CdTrp1!E77=1,1,IF(CdTrp1!E77=2,2,IF(CdTrp1!E77=3,2,IF(CdTrp1!E77=4,4,0))))</f>
        <v>2</v>
      </c>
      <c r="AZ110" s="173">
        <f>IF(CdTrp1!F77=1,1,IF(CdTrp1!F77=2,2,IF(CdTrp1!F77=3,2,IF(CdTrp1!F77=4,4,0))))</f>
        <v>2</v>
      </c>
      <c r="BA110" s="173">
        <f>IF(CdTrp1!G77=1,1,IF(CdTrp1!G77=2,2,IF(CdTrp1!G77=3,2,IF(CdTrp1!G77=4,4,0))))</f>
        <v>2</v>
      </c>
      <c r="BB110" s="173">
        <f>IF(CdTrp1!H77=1,1,IF(CdTrp1!H77=2,2,IF(CdTrp1!H77=3,2,IF(CdTrp1!H77=4,4,0))))</f>
        <v>2</v>
      </c>
      <c r="BC110" s="173">
        <f>IF(CdTrp1!I77=1,1,IF(CdTrp1!I77=2,2,IF(CdTrp1!I77=3,2,IF(CdTrp1!I77=4,4,0))))</f>
        <v>2</v>
      </c>
      <c r="BD110" s="173">
        <f>IF(CdTrp1!J77=1,1,IF(CdTrp1!J77=2,2,IF(CdTrp1!J77=3,2,IF(CdTrp1!J77=4,4,0))))</f>
        <v>2</v>
      </c>
      <c r="BE110" s="173">
        <f>IF(CdTrp1!K77=1,1,IF(CdTrp1!K77=2,2,IF(CdTrp1!K77=3,2,IF(CdTrp1!K77=4,4,0))))</f>
        <v>0</v>
      </c>
      <c r="BF110" s="173">
        <f>IF(CdTrp1!L77=1,1,IF(CdTrp1!L77=2,2,IF(CdTrp1!L77=3,2,IF(CdTrp1!L77=4,4,0))))</f>
        <v>0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0</v>
      </c>
      <c r="BO110" s="173">
        <f>IF(CdTrp1!U77=1,1,IF(CdTrp1!U77=2,2,IF(CdTrp1!U77=3,2,IF(CdTrp1!U77=4,4,0))))</f>
        <v>2</v>
      </c>
      <c r="BP110" s="173">
        <f>IF(CdTrp1!V77=1,1,IF(CdTrp1!V77=2,2,IF(CdTrp1!V77=3,2,IF(CdTrp1!V77=4,4,0))))</f>
        <v>2</v>
      </c>
      <c r="BQ110" s="173">
        <f>IF(CdTrp1!W77=1,1,IF(CdTrp1!W77=2,2,IF(CdTrp1!W77=3,2,IF(CdTrp1!W77=4,4,0))))</f>
        <v>2</v>
      </c>
      <c r="BR110" s="173">
        <f>IF(CdTrp1!X77=1,1,IF(CdTrp1!X77=2,2,IF(CdTrp1!X77=3,2,IF(CdTrp1!X77=4,4,0))))</f>
        <v>2</v>
      </c>
      <c r="BS110" s="173">
        <f>IF(CdTrp1!Y77=1,1,IF(CdTrp1!Y77=2,2,IF(CdTrp1!Y77=3,2,IF(CdTrp1!Y77=4,4,0))))</f>
        <v>2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0</v>
      </c>
      <c r="CE110" s="173">
        <f>IF(CdTrp2!E77=1,1,IF(CdTrp2!E77=2,2,IF(CdTrp2!E77=3,2,IF(CdTrp2!E77=4,4,0))))</f>
        <v>0</v>
      </c>
      <c r="CF110" s="173">
        <f>IF(CdTrp2!F77=1,1,IF(CdTrp2!F77=2,2,IF(CdTrp2!F77=3,2,IF(CdTrp2!F77=4,4,0))))</f>
        <v>0</v>
      </c>
      <c r="CG110" s="173">
        <f>IF(CdTrp2!G77=1,1,IF(CdTrp2!G77=2,2,IF(CdTrp2!G77=3,2,IF(CdTrp2!G77=4,4,0))))</f>
        <v>1</v>
      </c>
      <c r="CH110" s="173">
        <f>IF(CdTrp2!H77=1,1,IF(CdTrp2!H77=2,2,IF(CdTrp2!H77=3,2,IF(CdTrp2!H77=4,4,0))))</f>
        <v>1</v>
      </c>
      <c r="CI110" s="173">
        <f>IF(CdTrp2!I77=1,1,IF(CdTrp2!I77=2,2,IF(CdTrp2!I77=3,2,IF(CdTrp2!I77=4,4,0))))</f>
        <v>1</v>
      </c>
      <c r="CJ110" s="173">
        <f>IF(CdTrp2!J77=1,1,IF(CdTrp2!J77=2,2,IF(CdTrp2!J77=3,2,IF(CdTrp2!J77=4,4,0))))</f>
        <v>1</v>
      </c>
      <c r="CK110" s="173">
        <f>IF(CdTrp2!K77=1,1,IF(CdTrp2!K77=2,2,IF(CdTrp2!K77=3,2,IF(CdTrp2!K77=4,4,0))))</f>
        <v>1</v>
      </c>
      <c r="CL110" s="173">
        <f>IF(CdTrp2!L77=1,1,IF(CdTrp2!L77=2,2,IF(CdTrp2!L77=3,2,IF(CdTrp2!L77=4,4,0))))</f>
        <v>1</v>
      </c>
      <c r="CM110" s="173">
        <f>IF(CdTrp2!M77=1,1,IF(CdTrp2!M77=2,2,IF(CdTrp2!M77=3,2,IF(CdTrp2!M77=4,4,0))))</f>
        <v>1</v>
      </c>
      <c r="CN110" s="173">
        <f>IF(CdTrp2!N77=1,1,IF(CdTrp2!N77=2,2,IF(CdTrp2!N77=3,2,IF(CdTrp2!N77=4,4,0))))</f>
        <v>1</v>
      </c>
      <c r="CO110" s="173">
        <f>IF(CdTrp2!O77=1,1,IF(CdTrp2!O77=2,2,IF(CdTrp2!O77=3,2,IF(CdTrp2!O77=4,4,0))))</f>
        <v>1</v>
      </c>
      <c r="CP110" s="173">
        <f>IF(CdTrp2!P77=1,1,IF(CdTrp2!P77=2,2,IF(CdTrp2!P77=3,2,IF(CdTrp2!P77=4,4,0))))</f>
        <v>1</v>
      </c>
      <c r="CQ110" s="173">
        <f>IF(CdTrp2!Q77=1,1,IF(CdTrp2!Q77=2,2,IF(CdTrp2!Q77=3,2,IF(CdTrp2!Q77=4,4,0))))</f>
        <v>1</v>
      </c>
      <c r="CR110" s="173">
        <f>IF(CdTrp2!R77=1,1,IF(CdTrp2!R77=2,2,IF(CdTrp2!R77=3,2,IF(CdTrp2!R77=4,4,0))))</f>
        <v>1</v>
      </c>
      <c r="CS110" s="173">
        <f>IF(CdTrp2!S77=1,1,IF(CdTrp2!S77=2,2,IF(CdTrp2!S77=3,2,IF(CdTrp2!S77=4,4,0))))</f>
        <v>1</v>
      </c>
      <c r="CT110" s="173">
        <f>IF(CdTrp2!T77=1,1,IF(CdTrp2!T77=2,2,IF(CdTrp2!T77=3,2,IF(CdTrp2!T77=4,4,0))))</f>
        <v>1</v>
      </c>
      <c r="CU110" s="173">
        <f>IF(CdTrp2!U77=1,1,IF(CdTrp2!U77=2,2,IF(CdTrp2!U77=3,2,IF(CdTrp2!U77=4,4,0))))</f>
        <v>1</v>
      </c>
      <c r="CV110" s="173">
        <f>IF(CdTrp2!V77=1,1,IF(CdTrp2!V77=2,2,IF(CdTrp2!V77=3,2,IF(CdTrp2!V77=4,4,0))))</f>
        <v>1</v>
      </c>
      <c r="CW110" s="173">
        <f>IF(CdTrp2!W77=1,1,IF(CdTrp2!W77=2,2,IF(CdTrp2!W77=3,2,IF(CdTrp2!W77=4,4,0))))</f>
        <v>1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12.5</v>
      </c>
      <c r="D111" s="173">
        <f t="shared" si="25"/>
        <v>12.5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1</v>
      </c>
      <c r="AY111" s="173">
        <f>IF(CdTrp1!E78=1,1,IF(CdTrp1!E78=2,2,IF(CdTrp1!E78=3,2,IF(CdTrp1!E78=4,4,0))))</f>
        <v>1</v>
      </c>
      <c r="AZ111" s="173">
        <f>IF(CdTrp1!F78=1,1,IF(CdTrp1!F78=2,2,IF(CdTrp1!F78=3,2,IF(CdTrp1!F78=4,4,0))))</f>
        <v>1</v>
      </c>
      <c r="BA111" s="173">
        <f>IF(CdTrp1!G78=1,1,IF(CdTrp1!G78=2,2,IF(CdTrp1!G78=3,2,IF(CdTrp1!G78=4,4,0))))</f>
        <v>1</v>
      </c>
      <c r="BB111" s="173">
        <f>IF(CdTrp1!H78=1,1,IF(CdTrp1!H78=2,2,IF(CdTrp1!H78=3,2,IF(CdTrp1!H78=4,4,0))))</f>
        <v>1</v>
      </c>
      <c r="BC111" s="173">
        <f>IF(CdTrp1!I78=1,1,IF(CdTrp1!I78=2,2,IF(CdTrp1!I78=3,2,IF(CdTrp1!I78=4,4,0))))</f>
        <v>1</v>
      </c>
      <c r="BD111" s="173">
        <f>IF(CdTrp1!J78=1,1,IF(CdTrp1!J78=2,2,IF(CdTrp1!J78=3,2,IF(CdTrp1!J78=4,4,0))))</f>
        <v>1</v>
      </c>
      <c r="BE111" s="173">
        <f>IF(CdTrp1!K78=1,1,IF(CdTrp1!K78=2,2,IF(CdTrp1!K78=3,2,IF(CdTrp1!K78=4,4,0))))</f>
        <v>1</v>
      </c>
      <c r="BF111" s="173">
        <f>IF(CdTrp1!L78=1,1,IF(CdTrp1!L78=2,2,IF(CdTrp1!L78=3,2,IF(CdTrp1!L78=4,4,0))))</f>
        <v>1</v>
      </c>
      <c r="BG111" s="173">
        <f>IF(CdTrp1!M78=1,1,IF(CdTrp1!M78=2,2,IF(CdTrp1!M78=3,2,IF(CdTrp1!M78=4,4,0))))</f>
        <v>1</v>
      </c>
      <c r="BH111" s="173">
        <f>IF(CdTrp1!N78=1,1,IF(CdTrp1!N78=2,2,IF(CdTrp1!N78=3,2,IF(CdTrp1!N78=4,4,0))))</f>
        <v>1</v>
      </c>
      <c r="BI111" s="173">
        <f>IF(CdTrp1!O78=1,1,IF(CdTrp1!O78=2,2,IF(CdTrp1!O78=3,2,IF(CdTrp1!O78=4,4,0))))</f>
        <v>1</v>
      </c>
      <c r="BJ111" s="173">
        <f>IF(CdTrp1!P78=1,1,IF(CdTrp1!P78=2,2,IF(CdTrp1!P78=3,2,IF(CdTrp1!P78=4,4,0))))</f>
        <v>1</v>
      </c>
      <c r="BK111" s="173">
        <f>IF(CdTrp1!Q78=1,1,IF(CdTrp1!Q78=2,2,IF(CdTrp1!Q78=3,2,IF(CdTrp1!Q78=4,4,0))))</f>
        <v>1</v>
      </c>
      <c r="BL111" s="173">
        <f>IF(CdTrp1!R78=1,1,IF(CdTrp1!R78=2,2,IF(CdTrp1!R78=3,2,IF(CdTrp1!R78=4,4,0))))</f>
        <v>1</v>
      </c>
      <c r="BM111" s="173">
        <f>IF(CdTrp1!S78=1,1,IF(CdTrp1!S78=2,2,IF(CdTrp1!S78=3,2,IF(CdTrp1!S78=4,4,0))))</f>
        <v>1</v>
      </c>
      <c r="BN111" s="173">
        <f>IF(CdTrp1!T78=1,1,IF(CdTrp1!T78=2,2,IF(CdTrp1!T78=3,2,IF(CdTrp1!T78=4,4,0))))</f>
        <v>1</v>
      </c>
      <c r="BO111" s="173">
        <f>IF(CdTrp1!U78=1,1,IF(CdTrp1!U78=2,2,IF(CdTrp1!U78=3,2,IF(CdTrp1!U78=4,4,0))))</f>
        <v>0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2</v>
      </c>
      <c r="CE111" s="173">
        <f>IF(CdTrp2!E78=1,1,IF(CdTrp2!E78=2,2,IF(CdTrp2!E78=3,2,IF(CdTrp2!E78=4,4,0))))</f>
        <v>2</v>
      </c>
      <c r="CF111" s="173">
        <f>IF(CdTrp2!F78=1,1,IF(CdTrp2!F78=2,2,IF(CdTrp2!F78=3,2,IF(CdTrp2!F78=4,4,0))))</f>
        <v>2</v>
      </c>
      <c r="CG111" s="173">
        <f>IF(CdTrp2!G78=1,1,IF(CdTrp2!G78=2,2,IF(CdTrp2!G78=3,2,IF(CdTrp2!G78=4,4,0))))</f>
        <v>2</v>
      </c>
      <c r="CH111" s="173">
        <f>IF(CdTrp2!H78=1,1,IF(CdTrp2!H78=2,2,IF(CdTrp2!H78=3,2,IF(CdTrp2!H78=4,4,0))))</f>
        <v>2</v>
      </c>
      <c r="CI111" s="173">
        <f>IF(CdTrp2!I78=1,1,IF(CdTrp2!I78=2,2,IF(CdTrp2!I78=3,2,IF(CdTrp2!I78=4,4,0))))</f>
        <v>2</v>
      </c>
      <c r="CJ111" s="173">
        <f>IF(CdTrp2!J78=1,1,IF(CdTrp2!J78=2,2,IF(CdTrp2!J78=3,2,IF(CdTrp2!J78=4,4,0))))</f>
        <v>2</v>
      </c>
      <c r="CK111" s="173">
        <f>IF(CdTrp2!K78=1,1,IF(CdTrp2!K78=2,2,IF(CdTrp2!K78=3,2,IF(CdTrp2!K78=4,4,0))))</f>
        <v>2</v>
      </c>
      <c r="CL111" s="173">
        <f>IF(CdTrp2!L78=1,1,IF(CdTrp2!L78=2,2,IF(CdTrp2!L78=3,2,IF(CdTrp2!L78=4,4,0))))</f>
        <v>2</v>
      </c>
      <c r="CM111" s="173">
        <f>IF(CdTrp2!M78=1,1,IF(CdTrp2!M78=2,2,IF(CdTrp2!M78=3,2,IF(CdTrp2!M78=4,4,0))))</f>
        <v>2</v>
      </c>
      <c r="CN111" s="173">
        <f>IF(CdTrp2!N78=1,1,IF(CdTrp2!N78=2,2,IF(CdTrp2!N78=3,2,IF(CdTrp2!N78=4,4,0))))</f>
        <v>2</v>
      </c>
      <c r="CO111" s="173">
        <f>IF(CdTrp2!O78=1,1,IF(CdTrp2!O78=2,2,IF(CdTrp2!O78=3,2,IF(CdTrp2!O78=4,4,0))))</f>
        <v>2</v>
      </c>
      <c r="CP111" s="173">
        <f>IF(CdTrp2!P78=1,1,IF(CdTrp2!P78=2,2,IF(CdTrp2!P78=3,2,IF(CdTrp2!P78=4,4,0))))</f>
        <v>2</v>
      </c>
      <c r="CQ111" s="173">
        <f>IF(CdTrp2!Q78=1,1,IF(CdTrp2!Q78=2,2,IF(CdTrp2!Q78=3,2,IF(CdTrp2!Q78=4,4,0))))</f>
        <v>2</v>
      </c>
      <c r="CR111" s="173">
        <f>IF(CdTrp2!R78=1,1,IF(CdTrp2!R78=2,2,IF(CdTrp2!R78=3,2,IF(CdTrp2!R78=4,4,0))))</f>
        <v>2</v>
      </c>
      <c r="CS111" s="173">
        <f>IF(CdTrp2!S78=1,1,IF(CdTrp2!S78=2,2,IF(CdTrp2!S78=3,2,IF(CdTrp2!S78=4,4,0))))</f>
        <v>2</v>
      </c>
      <c r="CT111" s="173">
        <f>IF(CdTrp2!T78=1,1,IF(CdTrp2!T78=2,2,IF(CdTrp2!T78=3,2,IF(CdTrp2!T78=4,4,0))))</f>
        <v>2</v>
      </c>
      <c r="CU111" s="173">
        <f>IF(CdTrp2!U78=1,1,IF(CdTrp2!U78=2,2,IF(CdTrp2!U78=3,2,IF(CdTrp2!U78=4,4,0))))</f>
        <v>1</v>
      </c>
      <c r="CV111" s="173">
        <f>IF(CdTrp2!V78=1,1,IF(CdTrp2!V78=2,2,IF(CdTrp2!V78=3,2,IF(CdTrp2!V78=4,4,0))))</f>
        <v>1</v>
      </c>
      <c r="CW111" s="173">
        <f>IF(CdTrp2!W78=1,1,IF(CdTrp2!W78=2,2,IF(CdTrp2!W78=3,2,IF(CdTrp2!W78=4,4,0))))</f>
        <v>1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2</v>
      </c>
      <c r="AW112" s="173">
        <f>IF(CdTrp1!C79=1,1,IF(CdTrp1!C79=2,2,IF(CdTrp1!C79=3,2,IF(CdTrp1!C79=4,4,0))))</f>
        <v>2</v>
      </c>
      <c r="AX112" s="173">
        <f>IF(CdTrp1!D79=1,1,IF(CdTrp1!D79=2,2,IF(CdTrp1!D79=3,2,IF(CdTrp1!D79=4,4,0))))</f>
        <v>2</v>
      </c>
      <c r="AY112" s="173">
        <f>IF(CdTrp1!E79=1,1,IF(CdTrp1!E79=2,2,IF(CdTrp1!E79=3,2,IF(CdTrp1!E79=4,4,0))))</f>
        <v>2</v>
      </c>
      <c r="AZ112" s="173">
        <f>IF(CdTrp1!F79=1,1,IF(CdTrp1!F79=2,2,IF(CdTrp1!F79=3,2,IF(CdTrp1!F79=4,4,0))))</f>
        <v>2</v>
      </c>
      <c r="BA112" s="173">
        <f>IF(CdTrp1!G79=1,1,IF(CdTrp1!G79=2,2,IF(CdTrp1!G79=3,2,IF(CdTrp1!G79=4,4,0))))</f>
        <v>2</v>
      </c>
      <c r="BB112" s="173">
        <f>IF(CdTrp1!H79=1,1,IF(CdTrp1!H79=2,2,IF(CdTrp1!H79=3,2,IF(CdTrp1!H79=4,4,0))))</f>
        <v>2</v>
      </c>
      <c r="BC112" s="173">
        <f>IF(CdTrp1!I79=1,1,IF(CdTrp1!I79=2,2,IF(CdTrp1!I79=3,2,IF(CdTrp1!I79=4,4,0))))</f>
        <v>2</v>
      </c>
      <c r="BD112" s="173">
        <f>IF(CdTrp1!J79=1,1,IF(CdTrp1!J79=2,2,IF(CdTrp1!J79=3,2,IF(CdTrp1!J79=4,4,0))))</f>
        <v>1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2</v>
      </c>
      <c r="BP112" s="173">
        <f>IF(CdTrp1!V79=1,1,IF(CdTrp1!V79=2,2,IF(CdTrp1!V79=3,2,IF(CdTrp1!V79=4,4,0))))</f>
        <v>2</v>
      </c>
      <c r="BQ112" s="173">
        <f>IF(CdTrp1!W79=1,1,IF(CdTrp1!W79=2,2,IF(CdTrp1!W79=3,2,IF(CdTrp1!W79=4,4,0))))</f>
        <v>2</v>
      </c>
      <c r="BR112" s="173">
        <f>IF(CdTrp1!X79=1,1,IF(CdTrp1!X79=2,2,IF(CdTrp1!X79=3,2,IF(CdTrp1!X79=4,4,0))))</f>
        <v>2</v>
      </c>
      <c r="BS112" s="173">
        <f>IF(CdTrp1!Y79=1,1,IF(CdTrp1!Y79=2,2,IF(CdTrp1!Y79=3,2,IF(CdTrp1!Y79=4,4,0))))</f>
        <v>2</v>
      </c>
      <c r="BU112">
        <v>0</v>
      </c>
      <c r="BV112" t="s">
        <v>786</v>
      </c>
      <c r="BZ112" s="189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9</v>
      </c>
      <c r="D113" s="173">
        <f t="shared" si="25"/>
        <v>9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12.5</v>
      </c>
      <c r="D114" s="173">
        <f t="shared" si="25"/>
        <v>12.5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4.5</v>
      </c>
      <c r="D116" s="173">
        <f t="shared" si="25"/>
        <v>4.5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1.5</v>
      </c>
      <c r="D117" s="173">
        <f t="shared" si="25"/>
        <v>1.5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0</v>
      </c>
      <c r="D120" s="173">
        <f t="shared" si="25"/>
        <v>0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11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12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10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221</v>
      </c>
      <c r="AZ121" s="173">
        <f>IF(AZ75=0,0,IF(AZ98=3,0,VALUE(CONCATENATE(Travail!AZ26,Travail!AZ37,Travail!AZ48))))</f>
        <v>221</v>
      </c>
      <c r="BA121" s="173">
        <f>IF(BA75=0,0,IF(BA98=3,0,VALUE(CONCATENATE(Travail!BA26,Travail!BA37,Travail!BA48))))</f>
        <v>221</v>
      </c>
      <c r="BB121" s="173">
        <f>IF(BB75=0,0,IF(BB98=3,0,VALUE(CONCATENATE(Travail!BB26,Travail!BB37,Travail!BB48))))</f>
        <v>221</v>
      </c>
      <c r="BC121" s="173">
        <f>IF(BC75=0,0,IF(BC98=3,0,VALUE(CONCATENATE(Travail!BC26,Travail!BC37,Travail!BC48))))</f>
        <v>221</v>
      </c>
      <c r="BD121" s="173">
        <f>IF(BD75=0,0,IF(BD98=3,0,VALUE(CONCATENATE(Travail!BD26,Travail!BD37,Travail!BD48))))</f>
        <v>221</v>
      </c>
      <c r="BE121" s="173">
        <f>IF(BE75=0,0,IF(BE98=3,0,VALUE(CONCATENATE(Travail!BE26,Travail!BE37,Travail!BE48))))</f>
        <v>221</v>
      </c>
      <c r="BF121" s="173">
        <f>IF(BF75=0,0,IF(BF98=3,0,VALUE(CONCATENATE(Travail!BF26,Travail!BF37,Travail!BF48))))</f>
        <v>221</v>
      </c>
      <c r="BG121" s="173">
        <f>IF(BG75=0,0,IF(BG98=3,0,VALUE(CONCATENATE(Travail!BG26,Travail!BG37,Travail!BG48))))</f>
        <v>210</v>
      </c>
      <c r="BH121" s="173">
        <f>IF(BH75=0,0,IF(BH98=3,0,VALUE(CONCATENATE(Travail!BH26,Travail!BH37,Travail!BH48))))</f>
        <v>210</v>
      </c>
      <c r="BI121" s="173">
        <f>IF(BI75=0,0,IF(BI98=3,0,VALUE(CONCATENATE(Travail!BI26,Travail!BI37,Travail!BI48))))</f>
        <v>210</v>
      </c>
      <c r="BJ121" s="173">
        <f>IF(BJ75=0,0,IF(BJ98=3,0,VALUE(CONCATENATE(Travail!BJ26,Travail!BJ37,Travail!BJ48))))</f>
        <v>210</v>
      </c>
      <c r="BK121" s="173">
        <f>IF(BK75=0,0,IF(BK98=3,0,VALUE(CONCATENATE(Travail!BK26,Travail!BK37,Travail!BK48))))</f>
        <v>210</v>
      </c>
      <c r="BL121" s="173">
        <f>IF(BL75=0,0,IF(BL98=3,0,VALUE(CONCATENATE(Travail!BL26,Travail!BL37,Travail!BL48))))</f>
        <v>210</v>
      </c>
      <c r="BM121" s="173">
        <f>IF(BM75=0,0,IF(BM98=3,0,VALUE(CONCATENATE(Travail!BM26,Travail!BM37,Travail!BM48))))</f>
        <v>210</v>
      </c>
      <c r="BN121" s="173">
        <f>IF(BN75=0,0,IF(BN98=3,0,VALUE(CONCATENATE(Travail!BN26,Travail!BN37,Travail!BN48))))</f>
        <v>221</v>
      </c>
      <c r="BO121" s="173">
        <f>IF(BO75=0,0,IF(BO98=3,0,VALUE(CONCATENATE(Travail!BO26,Travail!BO37,Travail!BO48))))</f>
        <v>221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221</v>
      </c>
      <c r="CI121" s="173">
        <f>IF(CI75=0,0,VALUE(CONCATENATE(Travail!CI26,Travail!CI37,Travail!CI48)))</f>
        <v>221</v>
      </c>
      <c r="CJ121" s="173">
        <f>IF(CJ75=0,0,VALUE(CONCATENATE(Travail!CJ26,Travail!CJ37,Travail!CJ48)))</f>
        <v>222</v>
      </c>
      <c r="CK121" s="173">
        <f>IF(CK75=0,0,VALUE(CONCATENATE(Travail!CK26,Travail!CK37,Travail!CK48)))</f>
        <v>222</v>
      </c>
      <c r="CL121" s="173">
        <f>IF(CL75=0,0,VALUE(CONCATENATE(Travail!CL26,Travail!CL37,Travail!CL48)))</f>
        <v>212</v>
      </c>
      <c r="CM121" s="173">
        <f>IF(CM75=0,0,VALUE(CONCATENATE(Travail!CM26,Travail!CM37,Travail!CM48)))</f>
        <v>212</v>
      </c>
      <c r="CN121" s="173">
        <f>IF(CN75=0,0,VALUE(CONCATENATE(Travail!CN26,Travail!CN37,Travail!CN48)))</f>
        <v>212</v>
      </c>
      <c r="CO121" s="173">
        <f>IF(CO75=0,0,VALUE(CONCATENATE(Travail!CO26,Travail!CO37,Travail!CO48)))</f>
        <v>211</v>
      </c>
      <c r="CP121" s="173">
        <f>IF(CP75=0,0,VALUE(CONCATENATE(Travail!CP26,Travail!CP37,Travail!CP48)))</f>
        <v>211</v>
      </c>
      <c r="CQ121" s="173">
        <f>IF(CQ75=0,0,VALUE(CONCATENATE(Travail!CQ26,Travail!CQ37,Travail!CQ48)))</f>
        <v>211</v>
      </c>
      <c r="CR121" s="173">
        <f>IF(CR75=0,0,VALUE(CONCATENATE(Travail!CR26,Travail!CR37,Travail!CR48)))</f>
        <v>212</v>
      </c>
      <c r="CS121" s="173">
        <f>IF(CS75=0,0,VALUE(CONCATENATE(Travail!CS26,Travail!CS37,Travail!CS48)))</f>
        <v>212</v>
      </c>
      <c r="CT121" s="173">
        <f>IF(CT75=0,0,VALUE(CONCATENATE(Travail!CT26,Travail!CT37,Travail!CT48)))</f>
        <v>222</v>
      </c>
      <c r="CU121" s="173">
        <f>IF(CU75=0,0,VALUE(CONCATENATE(Travail!CU26,Travail!CU37,Travail!CU48)))</f>
        <v>222</v>
      </c>
      <c r="CV121" s="173">
        <f>IF(CV75=0,0,VALUE(CONCATENATE(Travail!CV26,Travail!CV37,Travail!CV48)))</f>
        <v>222</v>
      </c>
      <c r="CW121" s="173">
        <f>IF(CW75=0,0,VALUE(CONCATENATE(Travail!CW26,Travail!CW37,Travail!CW48)))</f>
        <v>222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3.5</v>
      </c>
      <c r="D122" s="173">
        <f t="shared" si="25"/>
        <v>3.5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222</v>
      </c>
      <c r="AW122" s="173">
        <f>IF(AW76=0,0,IF(AW99=3,0,VALUE(CONCATENATE(Travail!AW27,Travail!AW38,Travail!AW49))))</f>
        <v>222</v>
      </c>
      <c r="AX122" s="173">
        <f>IF(AX76=0,0,IF(AX99=3,0,VALUE(CONCATENATE(Travail!AX27,Travail!AX38,Travail!AX49))))</f>
        <v>222</v>
      </c>
      <c r="AY122" s="173">
        <f>IF(AY76=0,0,IF(AY99=3,0,VALUE(CONCATENATE(Travail!AY27,Travail!AY38,Travail!AY49))))</f>
        <v>222</v>
      </c>
      <c r="AZ122" s="173">
        <f>IF(AZ76=0,0,IF(AZ99=3,0,VALUE(CONCATENATE(Travail!AZ27,Travail!AZ38,Travail!AZ49))))</f>
        <v>222</v>
      </c>
      <c r="BA122" s="173">
        <f>IF(BA76=0,0,IF(BA99=3,0,VALUE(CONCATENATE(Travail!BA27,Travail!BA38,Travail!BA49))))</f>
        <v>222</v>
      </c>
      <c r="BB122" s="173">
        <f>IF(BB76=0,0,IF(BB99=3,0,VALUE(CONCATENATE(Travail!BB27,Travail!BB38,Travail!BB49))))</f>
        <v>222</v>
      </c>
      <c r="BC122" s="173">
        <f>IF(BC76=0,0,IF(BC99=3,0,VALUE(CONCATENATE(Travail!BC27,Travail!BC38,Travail!BC49))))</f>
        <v>222</v>
      </c>
      <c r="BD122" s="173">
        <f>IF(BD76=0,0,IF(BD99=3,0,VALUE(CONCATENATE(Travail!BD27,Travail!BD38,Travail!BD49))))</f>
        <v>222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222</v>
      </c>
      <c r="BP122" s="173">
        <f>IF(BP76=0,0,IF(BP99=3,0,VALUE(CONCATENATE(Travail!BP27,Travail!BP38,Travail!BP49))))</f>
        <v>222</v>
      </c>
      <c r="BQ122" s="173">
        <f>IF(BQ76=0,0,IF(BQ99=3,0,VALUE(CONCATENATE(Travail!BQ27,Travail!BQ38,Travail!BQ49))))</f>
        <v>222</v>
      </c>
      <c r="BR122" s="173">
        <f>IF(BR76=0,0,IF(BR99=3,0,VALUE(CONCATENATE(Travail!BR27,Travail!BR38,Travail!BR49))))</f>
        <v>222</v>
      </c>
      <c r="BS122" s="173">
        <f>IF(BS76=0,0,IF(BS99=3,0,VALUE(CONCATENATE(Travail!BS27,Travail!BS38,Travail!BS49))))</f>
        <v>222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211</v>
      </c>
      <c r="CH122" s="173">
        <f>IF(CH76=0,0,VALUE(CONCATENATE(Travail!CH27,Travail!CH38,Travail!CH49)))</f>
        <v>211</v>
      </c>
      <c r="CI122" s="173">
        <f>IF(CI76=0,0,VALUE(CONCATENATE(Travail!CI27,Travail!CI38,Travail!CI49)))</f>
        <v>211</v>
      </c>
      <c r="CJ122" s="173">
        <f>IF(CJ76=0,0,VALUE(CONCATENATE(Travail!CJ27,Travail!CJ38,Travail!CJ49)))</f>
        <v>211</v>
      </c>
      <c r="CK122" s="173">
        <f>IF(CK76=0,0,VALUE(CONCATENATE(Travail!CK27,Travail!CK38,Travail!CK49)))</f>
        <v>211</v>
      </c>
      <c r="CL122" s="173">
        <f>IF(CL76=0,0,VALUE(CONCATENATE(Travail!CL27,Travail!CL38,Travail!CL49)))</f>
        <v>211</v>
      </c>
      <c r="CM122" s="173">
        <f>IF(CM76=0,0,VALUE(CONCATENATE(Travail!CM27,Travail!CM38,Travail!CM49)))</f>
        <v>211</v>
      </c>
      <c r="CN122" s="173">
        <f>IF(CN76=0,0,VALUE(CONCATENATE(Travail!CN27,Travail!CN38,Travail!CN49)))</f>
        <v>211</v>
      </c>
      <c r="CO122" s="173">
        <f>IF(CO76=0,0,VALUE(CONCATENATE(Travail!CO27,Travail!CO38,Travail!CO49)))</f>
        <v>211</v>
      </c>
      <c r="CP122" s="173">
        <f>IF(CP76=0,0,VALUE(CONCATENATE(Travail!CP27,Travail!CP38,Travail!CP49)))</f>
        <v>211</v>
      </c>
      <c r="CQ122" s="173">
        <f>IF(CQ76=0,0,VALUE(CONCATENATE(Travail!CQ27,Travail!CQ38,Travail!CQ49)))</f>
        <v>211</v>
      </c>
      <c r="CR122" s="173">
        <f>IF(CR76=0,0,VALUE(CONCATENATE(Travail!CR27,Travail!CR38,Travail!CR49)))</f>
        <v>211</v>
      </c>
      <c r="CS122" s="173">
        <f>IF(CS76=0,0,VALUE(CONCATENATE(Travail!CS27,Travail!CS38,Travail!CS49)))</f>
        <v>211</v>
      </c>
      <c r="CT122" s="173">
        <f>IF(CT76=0,0,VALUE(CONCATENATE(Travail!CT27,Travail!CT38,Travail!CT49)))</f>
        <v>211</v>
      </c>
      <c r="CU122" s="173">
        <f>IF(CU76=0,0,VALUE(CONCATENATE(Travail!CU27,Travail!CU38,Travail!CU49)))</f>
        <v>211</v>
      </c>
      <c r="CV122" s="173">
        <f>IF(CV76=0,0,VALUE(CONCATENATE(Travail!CV27,Travail!CV38,Travail!CV49)))</f>
        <v>221</v>
      </c>
      <c r="CW122" s="173">
        <f>IF(CW76=0,0,VALUE(CONCATENATE(Travail!CW27,Travail!CW38,Travail!CW49)))</f>
        <v>221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0</v>
      </c>
      <c r="D123" s="173">
        <f t="shared" si="25"/>
        <v>0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221</v>
      </c>
      <c r="BB123" s="173">
        <f>IF(BB77=0,0,IF(BB100=3,0,VALUE(CONCATENATE(Travail!BB28,Travail!BB39,Travail!BB50))))</f>
        <v>221</v>
      </c>
      <c r="BC123" s="173">
        <f>IF(BC77=0,0,IF(BC100=3,0,VALUE(CONCATENATE(Travail!BC28,Travail!BC39,Travail!BC50))))</f>
        <v>221</v>
      </c>
      <c r="BD123" s="173">
        <f>IF(BD77=0,0,IF(BD100=3,0,VALUE(CONCATENATE(Travail!BD28,Travail!BD39,Travail!BD50))))</f>
        <v>221</v>
      </c>
      <c r="BE123" s="173">
        <f>IF(BE77=0,0,IF(BE100=3,0,VALUE(CONCATENATE(Travail!BE28,Travail!BE39,Travail!BE50))))</f>
        <v>221</v>
      </c>
      <c r="BF123" s="173">
        <f>IF(BF77=0,0,IF(BF100=3,0,VALUE(CONCATENATE(Travail!BF28,Travail!BF39,Travail!BF50))))</f>
        <v>221</v>
      </c>
      <c r="BG123" s="173">
        <f>IF(BG77=0,0,IF(BG100=3,0,VALUE(CONCATENATE(Travail!BG28,Travail!BG39,Travail!BG50))))</f>
        <v>221</v>
      </c>
      <c r="BH123" s="173">
        <f>IF(BH77=0,0,IF(BH100=3,0,VALUE(CONCATENATE(Travail!BH28,Travail!BH39,Travail!BH50))))</f>
        <v>221</v>
      </c>
      <c r="BI123" s="173">
        <f>IF(BI77=0,0,IF(BI100=3,0,VALUE(CONCATENATE(Travail!BI28,Travail!BI39,Travail!BI50))))</f>
        <v>221</v>
      </c>
      <c r="BJ123" s="173">
        <f>IF(BJ77=0,0,IF(BJ100=3,0,VALUE(CONCATENATE(Travail!BJ28,Travail!BJ39,Travail!BJ50))))</f>
        <v>221</v>
      </c>
      <c r="BK123" s="173">
        <f>IF(BK77=0,0,IF(BK100=3,0,VALUE(CONCATENATE(Travail!BK28,Travail!BK39,Travail!BK50))))</f>
        <v>221</v>
      </c>
      <c r="BL123" s="173">
        <f>IF(BL77=0,0,IF(BL100=3,0,VALUE(CONCATENATE(Travail!BL28,Travail!BL39,Travail!BL50))))</f>
        <v>221</v>
      </c>
      <c r="BM123" s="173">
        <f>IF(BM77=0,0,IF(BM100=3,0,VALUE(CONCATENATE(Travail!BM28,Travail!BM39,Travail!BM50))))</f>
        <v>221</v>
      </c>
      <c r="BN123" s="173">
        <f>IF(BN77=0,0,IF(BN100=3,0,VALUE(CONCATENATE(Travail!BN28,Travail!BN39,Travail!BN50))))</f>
        <v>221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112</v>
      </c>
      <c r="CE123" s="173">
        <f>IF(CE77=0,0,VALUE(CONCATENATE(Travail!CE28,Travail!CE39,Travail!CE50)))</f>
        <v>112</v>
      </c>
      <c r="CF123" s="173">
        <f>IF(CF77=0,0,VALUE(CONCATENATE(Travail!CF28,Travail!CF39,Travail!CF50)))</f>
        <v>112</v>
      </c>
      <c r="CG123" s="173">
        <f>IF(CG77=0,0,VALUE(CONCATENATE(Travail!CG28,Travail!CG39,Travail!CG50)))</f>
        <v>112</v>
      </c>
      <c r="CH123" s="173">
        <f>IF(CH77=0,0,VALUE(CONCATENATE(Travail!CH28,Travail!CH39,Travail!CH50)))</f>
        <v>112</v>
      </c>
      <c r="CI123" s="173">
        <f>IF(CI77=0,0,VALUE(CONCATENATE(Travail!CI28,Travail!CI39,Travail!CI50)))</f>
        <v>112</v>
      </c>
      <c r="CJ123" s="173">
        <f>IF(CJ77=0,0,VALUE(CONCATENATE(Travail!CJ28,Travail!CJ39,Travail!CJ50)))</f>
        <v>112</v>
      </c>
      <c r="CK123" s="173">
        <f>IF(CK77=0,0,VALUE(CONCATENATE(Travail!CK28,Travail!CK39,Travail!CK50)))</f>
        <v>112</v>
      </c>
      <c r="CL123" s="173">
        <f>IF(CL77=0,0,VALUE(CONCATENATE(Travail!CL28,Travail!CL39,Travail!CL50)))</f>
        <v>112</v>
      </c>
      <c r="CM123" s="173">
        <f>IF(CM77=0,0,VALUE(CONCATENATE(Travail!CM28,Travail!CM39,Travail!CM50)))</f>
        <v>112</v>
      </c>
      <c r="CN123" s="173">
        <f>IF(CN77=0,0,VALUE(CONCATENATE(Travail!CN28,Travail!CN39,Travail!CN50)))</f>
        <v>112</v>
      </c>
      <c r="CO123" s="173">
        <f>IF(CO77=0,0,VALUE(CONCATENATE(Travail!CO28,Travail!CO39,Travail!CO50)))</f>
        <v>112</v>
      </c>
      <c r="CP123" s="173">
        <f>IF(CP77=0,0,VALUE(CONCATENATE(Travail!CP28,Travail!CP39,Travail!CP50)))</f>
        <v>112</v>
      </c>
      <c r="CQ123" s="173">
        <f>IF(CQ77=0,0,VALUE(CONCATENATE(Travail!CQ28,Travail!CQ39,Travail!CQ50)))</f>
        <v>112</v>
      </c>
      <c r="CR123" s="173">
        <f>IF(CR77=0,0,VALUE(CONCATENATE(Travail!CR28,Travail!CR39,Travail!CR50)))</f>
        <v>112</v>
      </c>
      <c r="CS123" s="173">
        <f>IF(CS77=0,0,VALUE(CONCATENATE(Travail!CS28,Travail!CS39,Travail!CS50)))</f>
        <v>112</v>
      </c>
      <c r="CT123" s="173">
        <f>IF(CT77=0,0,VALUE(CONCATENATE(Travail!CT28,Travail!CT39,Travail!CT50)))</f>
        <v>112</v>
      </c>
      <c r="CU123" s="173">
        <f>IF(CU77=0,0,VALUE(CONCATENATE(Travail!CU28,Travail!CU39,Travail!CU50)))</f>
        <v>111</v>
      </c>
      <c r="CV123" s="173">
        <f>IF(CV77=0,0,VALUE(CONCATENATE(Travail!CV28,Travail!CV39,Travail!CV50)))</f>
        <v>111</v>
      </c>
      <c r="CW123" s="173">
        <f>IF(CW77=0,0,VALUE(CONCATENATE(Travail!CW28,Travail!CW39,Travail!CW50)))</f>
        <v>111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212</v>
      </c>
      <c r="AW124" s="173">
        <f>IF(AW78=0,0,IF(AW101=3,0,VALUE(CONCATENATE(Travail!AW29,Travail!AW40,Travail!AW51))))</f>
        <v>212</v>
      </c>
      <c r="AX124" s="173">
        <f>IF(AX78=0,0,IF(AX101=3,0,VALUE(CONCATENATE(Travail!AX29,Travail!AX40,Travail!AX51))))</f>
        <v>212</v>
      </c>
      <c r="AY124" s="173">
        <f>IF(AY78=0,0,IF(AY101=3,0,VALUE(CONCATENATE(Travail!AY29,Travail!AY40,Travail!AY51))))</f>
        <v>212</v>
      </c>
      <c r="AZ124" s="173">
        <f>IF(AZ78=0,0,IF(AZ101=3,0,VALUE(CONCATENATE(Travail!AZ29,Travail!AZ40,Travail!AZ51))))</f>
        <v>212</v>
      </c>
      <c r="BA124" s="173">
        <f>IF(BA78=0,0,IF(BA101=3,0,VALUE(CONCATENATE(Travail!BA29,Travail!BA40,Travail!BA51))))</f>
        <v>212</v>
      </c>
      <c r="BB124" s="173">
        <f>IF(BB78=0,0,IF(BB101=3,0,VALUE(CONCATENATE(Travail!BB29,Travail!BB40,Travail!BB51))))</f>
        <v>212</v>
      </c>
      <c r="BC124" s="173">
        <f>IF(BC78=0,0,IF(BC101=3,0,VALUE(CONCATENATE(Travail!BC29,Travail!BC40,Travail!BC51))))</f>
        <v>212</v>
      </c>
      <c r="BD124" s="173">
        <f>IF(BD78=0,0,IF(BD101=3,0,VALUE(CONCATENATE(Travail!BD29,Travail!BD40,Travail!BD51))))</f>
        <v>211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212</v>
      </c>
      <c r="BP124" s="173">
        <f>IF(BP78=0,0,IF(BP101=3,0,VALUE(CONCATENATE(Travail!BP29,Travail!BP40,Travail!BP51))))</f>
        <v>212</v>
      </c>
      <c r="BQ124" s="173">
        <f>IF(BQ78=0,0,IF(BQ101=3,0,VALUE(CONCATENATE(Travail!BQ29,Travail!BQ40,Travail!BQ51))))</f>
        <v>212</v>
      </c>
      <c r="BR124" s="173">
        <f>IF(BR78=0,0,IF(BR101=3,0,VALUE(CONCATENATE(Travail!BR29,Travail!BR40,Travail!BR51))))</f>
        <v>212</v>
      </c>
      <c r="BS124" s="173">
        <f>IF(BS78=0,0,IF(BS101=3,0,VALUE(CONCATENATE(Travail!BS29,Travail!BS40,Travail!BS51))))</f>
        <v>212</v>
      </c>
      <c r="BZ124" s="189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3.5</v>
      </c>
      <c r="D125" s="173">
        <f t="shared" si="25"/>
        <v>3.5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0</v>
      </c>
      <c r="D126" s="173">
        <f t="shared" si="25"/>
        <v>0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3.5</v>
      </c>
      <c r="D128" s="173">
        <f t="shared" si="25"/>
        <v>3.5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0</v>
      </c>
      <c r="D129" s="173">
        <f t="shared" si="25"/>
        <v>0</v>
      </c>
      <c r="F129" s="14" t="s">
        <v>886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3</v>
      </c>
      <c r="K129">
        <f t="shared" si="35"/>
        <v>4</v>
      </c>
      <c r="L129">
        <f t="shared" si="35"/>
        <v>4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3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2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0</v>
      </c>
      <c r="D130" s="173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1</v>
      </c>
      <c r="K130">
        <f t="shared" si="36"/>
        <v>1</v>
      </c>
      <c r="L130">
        <f t="shared" si="36"/>
        <v>1</v>
      </c>
      <c r="M130">
        <f t="shared" si="36"/>
        <v>2</v>
      </c>
      <c r="N130">
        <f t="shared" si="36"/>
        <v>3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0</v>
      </c>
      <c r="D132" s="173">
        <f t="shared" si="25"/>
        <v>0</v>
      </c>
      <c r="F132" s="14" t="s">
        <v>1218</v>
      </c>
      <c r="H132">
        <f t="shared" ref="H132:AE132" si="38">SUM(H129:H131)</f>
        <v>2</v>
      </c>
      <c r="I132">
        <f t="shared" si="38"/>
        <v>2</v>
      </c>
      <c r="J132">
        <f t="shared" si="38"/>
        <v>4</v>
      </c>
      <c r="K132">
        <f t="shared" si="38"/>
        <v>5</v>
      </c>
      <c r="L132">
        <f t="shared" si="38"/>
        <v>5</v>
      </c>
      <c r="M132">
        <f t="shared" si="38"/>
        <v>6</v>
      </c>
      <c r="N132">
        <f t="shared" si="38"/>
        <v>7</v>
      </c>
      <c r="O132">
        <f t="shared" si="38"/>
        <v>7</v>
      </c>
      <c r="P132">
        <f t="shared" si="38"/>
        <v>7</v>
      </c>
      <c r="Q132">
        <f t="shared" si="38"/>
        <v>5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6</v>
      </c>
      <c r="AB132">
        <f t="shared" si="38"/>
        <v>5</v>
      </c>
      <c r="AC132">
        <f t="shared" si="38"/>
        <v>5</v>
      </c>
      <c r="AD132">
        <f t="shared" si="38"/>
        <v>2</v>
      </c>
      <c r="AE132">
        <f t="shared" si="38"/>
        <v>2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22</v>
      </c>
      <c r="AZ132" s="173">
        <f t="shared" si="39"/>
        <v>22</v>
      </c>
      <c r="BA132" s="173">
        <f t="shared" si="39"/>
        <v>22</v>
      </c>
      <c r="BB132" s="173">
        <f t="shared" si="39"/>
        <v>22</v>
      </c>
      <c r="BC132" s="173">
        <f t="shared" si="39"/>
        <v>22</v>
      </c>
      <c r="BD132" s="173">
        <f t="shared" si="39"/>
        <v>22</v>
      </c>
      <c r="BE132" s="173">
        <f t="shared" si="39"/>
        <v>22</v>
      </c>
      <c r="BF132" s="173">
        <f t="shared" si="39"/>
        <v>22</v>
      </c>
      <c r="BG132" s="173">
        <f t="shared" si="39"/>
        <v>21</v>
      </c>
      <c r="BH132" s="173">
        <f t="shared" si="39"/>
        <v>21</v>
      </c>
      <c r="BI132" s="173">
        <f t="shared" si="39"/>
        <v>21</v>
      </c>
      <c r="BJ132" s="173">
        <f t="shared" si="39"/>
        <v>21</v>
      </c>
      <c r="BK132" s="173">
        <f t="shared" si="39"/>
        <v>21</v>
      </c>
      <c r="BL132" s="173">
        <f t="shared" si="39"/>
        <v>21</v>
      </c>
      <c r="BM132" s="173">
        <f t="shared" si="39"/>
        <v>21</v>
      </c>
      <c r="BN132" s="173">
        <f t="shared" si="39"/>
        <v>22</v>
      </c>
      <c r="BO132" s="173">
        <f t="shared" si="39"/>
        <v>22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22</v>
      </c>
      <c r="CI132" s="173">
        <f t="shared" si="40"/>
        <v>22</v>
      </c>
      <c r="CJ132" s="173">
        <f t="shared" si="40"/>
        <v>22</v>
      </c>
      <c r="CK132" s="173">
        <f t="shared" si="40"/>
        <v>22</v>
      </c>
      <c r="CL132" s="173">
        <f t="shared" si="40"/>
        <v>21</v>
      </c>
      <c r="CM132" s="173">
        <f t="shared" si="40"/>
        <v>21</v>
      </c>
      <c r="CN132" s="173">
        <f t="shared" si="40"/>
        <v>21</v>
      </c>
      <c r="CO132" s="173">
        <f t="shared" si="40"/>
        <v>21</v>
      </c>
      <c r="CP132" s="173">
        <f t="shared" si="40"/>
        <v>21</v>
      </c>
      <c r="CQ132" s="173">
        <f t="shared" si="40"/>
        <v>21</v>
      </c>
      <c r="CR132" s="173">
        <f t="shared" si="40"/>
        <v>21</v>
      </c>
      <c r="CS132" s="173">
        <f t="shared" si="40"/>
        <v>21</v>
      </c>
      <c r="CT132" s="173">
        <f t="shared" si="40"/>
        <v>22</v>
      </c>
      <c r="CU132" s="173">
        <f t="shared" si="40"/>
        <v>22</v>
      </c>
      <c r="CV132" s="173">
        <f t="shared" si="40"/>
        <v>22</v>
      </c>
      <c r="CW132" s="173">
        <f t="shared" si="40"/>
        <v>22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0.50909090909090904</v>
      </c>
      <c r="D133" s="262">
        <f t="shared" si="25"/>
        <v>0.50909090909090904</v>
      </c>
      <c r="AT133" s="189" t="str">
        <f t="shared" ref="AT133:AT141" si="42">AT122</f>
        <v>vides</v>
      </c>
      <c r="AV133" s="173">
        <f t="shared" si="39"/>
        <v>22</v>
      </c>
      <c r="AW133" s="173">
        <f t="shared" si="39"/>
        <v>22</v>
      </c>
      <c r="AX133" s="173">
        <f t="shared" si="39"/>
        <v>22</v>
      </c>
      <c r="AY133" s="173">
        <f t="shared" si="39"/>
        <v>22</v>
      </c>
      <c r="AZ133" s="173">
        <f t="shared" si="39"/>
        <v>22</v>
      </c>
      <c r="BA133" s="173">
        <f t="shared" si="39"/>
        <v>22</v>
      </c>
      <c r="BB133" s="173">
        <f t="shared" si="39"/>
        <v>22</v>
      </c>
      <c r="BC133" s="173">
        <f t="shared" si="39"/>
        <v>22</v>
      </c>
      <c r="BD133" s="173">
        <f t="shared" si="39"/>
        <v>22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22</v>
      </c>
      <c r="BP133" s="173">
        <f t="shared" si="39"/>
        <v>22</v>
      </c>
      <c r="BQ133" s="173">
        <f t="shared" si="39"/>
        <v>22</v>
      </c>
      <c r="BR133" s="173">
        <f t="shared" si="39"/>
        <v>22</v>
      </c>
      <c r="BS133" s="173">
        <f t="shared" si="39"/>
        <v>22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21</v>
      </c>
      <c r="CH133" s="173">
        <f t="shared" si="40"/>
        <v>21</v>
      </c>
      <c r="CI133" s="173">
        <f t="shared" si="40"/>
        <v>21</v>
      </c>
      <c r="CJ133" s="173">
        <f t="shared" si="40"/>
        <v>21</v>
      </c>
      <c r="CK133" s="173">
        <f t="shared" si="40"/>
        <v>21</v>
      </c>
      <c r="CL133" s="173">
        <f t="shared" si="40"/>
        <v>21</v>
      </c>
      <c r="CM133" s="173">
        <f t="shared" si="40"/>
        <v>21</v>
      </c>
      <c r="CN133" s="173">
        <f t="shared" si="40"/>
        <v>21</v>
      </c>
      <c r="CO133" s="173">
        <f t="shared" si="40"/>
        <v>21</v>
      </c>
      <c r="CP133" s="173">
        <f t="shared" si="40"/>
        <v>21</v>
      </c>
      <c r="CQ133" s="173">
        <f t="shared" si="40"/>
        <v>21</v>
      </c>
      <c r="CR133" s="173">
        <f t="shared" si="40"/>
        <v>21</v>
      </c>
      <c r="CS133" s="173">
        <f t="shared" si="40"/>
        <v>21</v>
      </c>
      <c r="CT133" s="173">
        <f t="shared" si="40"/>
        <v>21</v>
      </c>
      <c r="CU133" s="173">
        <f t="shared" si="40"/>
        <v>21</v>
      </c>
      <c r="CV133" s="173">
        <f t="shared" si="40"/>
        <v>22</v>
      </c>
      <c r="CW133" s="173">
        <f t="shared" si="40"/>
        <v>22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0.47169811320754718</v>
      </c>
      <c r="D134" s="262">
        <f t="shared" si="25"/>
        <v>0.47169811320754718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22</v>
      </c>
      <c r="BB134" s="173">
        <f t="shared" si="39"/>
        <v>22</v>
      </c>
      <c r="BC134" s="173">
        <f t="shared" si="39"/>
        <v>22</v>
      </c>
      <c r="BD134" s="173">
        <f t="shared" si="39"/>
        <v>22</v>
      </c>
      <c r="BE134" s="173">
        <f t="shared" si="39"/>
        <v>22</v>
      </c>
      <c r="BF134" s="173">
        <f t="shared" si="39"/>
        <v>22</v>
      </c>
      <c r="BG134" s="173">
        <f t="shared" si="39"/>
        <v>22</v>
      </c>
      <c r="BH134" s="173">
        <f t="shared" si="39"/>
        <v>22</v>
      </c>
      <c r="BI134" s="173">
        <f t="shared" si="39"/>
        <v>22</v>
      </c>
      <c r="BJ134" s="173">
        <f t="shared" si="39"/>
        <v>22</v>
      </c>
      <c r="BK134" s="173">
        <f t="shared" si="39"/>
        <v>22</v>
      </c>
      <c r="BL134" s="173">
        <f t="shared" si="39"/>
        <v>22</v>
      </c>
      <c r="BM134" s="173">
        <f t="shared" si="39"/>
        <v>22</v>
      </c>
      <c r="BN134" s="173">
        <f t="shared" si="39"/>
        <v>22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1</v>
      </c>
      <c r="CE134" s="173">
        <f t="shared" si="40"/>
        <v>1</v>
      </c>
      <c r="CF134" s="173">
        <f t="shared" si="40"/>
        <v>1</v>
      </c>
      <c r="CG134" s="173">
        <f t="shared" si="40"/>
        <v>1</v>
      </c>
      <c r="CH134" s="173">
        <f t="shared" si="40"/>
        <v>1</v>
      </c>
      <c r="CI134" s="173">
        <f t="shared" si="40"/>
        <v>1</v>
      </c>
      <c r="CJ134" s="173">
        <f t="shared" si="40"/>
        <v>1</v>
      </c>
      <c r="CK134" s="173">
        <f t="shared" si="40"/>
        <v>1</v>
      </c>
      <c r="CL134" s="173">
        <f t="shared" si="40"/>
        <v>1</v>
      </c>
      <c r="CM134" s="173">
        <f t="shared" si="40"/>
        <v>1</v>
      </c>
      <c r="CN134" s="173">
        <f t="shared" si="40"/>
        <v>1</v>
      </c>
      <c r="CO134" s="173">
        <f t="shared" si="40"/>
        <v>1</v>
      </c>
      <c r="CP134" s="173">
        <f t="shared" si="40"/>
        <v>1</v>
      </c>
      <c r="CQ134" s="173">
        <f t="shared" si="40"/>
        <v>1</v>
      </c>
      <c r="CR134" s="173">
        <f t="shared" si="40"/>
        <v>1</v>
      </c>
      <c r="CS134" s="173">
        <f t="shared" si="40"/>
        <v>1</v>
      </c>
      <c r="CT134" s="173">
        <f t="shared" si="40"/>
        <v>1</v>
      </c>
      <c r="CU134" s="173">
        <f t="shared" si="40"/>
        <v>1</v>
      </c>
      <c r="CV134" s="173">
        <f t="shared" si="40"/>
        <v>1</v>
      </c>
      <c r="CW134" s="173">
        <f t="shared" si="40"/>
        <v>1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21</v>
      </c>
      <c r="AW135" s="173">
        <f t="shared" si="39"/>
        <v>21</v>
      </c>
      <c r="AX135" s="173">
        <f t="shared" si="39"/>
        <v>21</v>
      </c>
      <c r="AY135" s="173">
        <f t="shared" si="39"/>
        <v>21</v>
      </c>
      <c r="AZ135" s="173">
        <f t="shared" si="39"/>
        <v>21</v>
      </c>
      <c r="BA135" s="173">
        <f t="shared" si="39"/>
        <v>21</v>
      </c>
      <c r="BB135" s="173">
        <f t="shared" si="39"/>
        <v>21</v>
      </c>
      <c r="BC135" s="173">
        <f t="shared" si="39"/>
        <v>21</v>
      </c>
      <c r="BD135" s="173">
        <f t="shared" si="39"/>
        <v>21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21</v>
      </c>
      <c r="BP135" s="173">
        <f t="shared" si="39"/>
        <v>21</v>
      </c>
      <c r="BQ135" s="173">
        <f t="shared" si="39"/>
        <v>21</v>
      </c>
      <c r="BR135" s="173">
        <f t="shared" si="39"/>
        <v>21</v>
      </c>
      <c r="BS135" s="173">
        <f t="shared" si="39"/>
        <v>21</v>
      </c>
      <c r="BZ135" s="189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>
        <f>SUM(C110:C112)/SUM(C110:C118)</f>
        <v>0.49074074074074076</v>
      </c>
      <c r="D136" s="262">
        <f t="shared" si="25"/>
        <v>0.49074074074074076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295</v>
      </c>
      <c r="D137" s="263">
        <f>C137*$D$82/$C$82</f>
        <v>283.22942643391519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45</v>
      </c>
      <c r="D138" s="263">
        <f t="shared" ref="D138:D174" si="50">C138*$D$82/$C$82</f>
        <v>43.204488778054859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10</v>
      </c>
      <c r="D142" s="263">
        <f t="shared" si="50"/>
        <v>9.6009975062344139</v>
      </c>
      <c r="AT142" s="19" t="s">
        <v>817</v>
      </c>
      <c r="AV142" s="173">
        <f>COUNTIF(AV$132:AV$141,23)</f>
        <v>2</v>
      </c>
      <c r="AW142" s="173">
        <f t="shared" ref="AW142:BS142" si="58">COUNTIF(AW$132:AW$141,23)</f>
        <v>2</v>
      </c>
      <c r="AX142" s="173">
        <f t="shared" si="58"/>
        <v>2</v>
      </c>
      <c r="AY142" s="173">
        <f t="shared" si="58"/>
        <v>1</v>
      </c>
      <c r="AZ142" s="173">
        <f t="shared" si="58"/>
        <v>1</v>
      </c>
      <c r="BA142" s="173">
        <f t="shared" si="58"/>
        <v>0</v>
      </c>
      <c r="BB142" s="173">
        <f t="shared" si="58"/>
        <v>0</v>
      </c>
      <c r="BC142" s="173">
        <f t="shared" si="58"/>
        <v>0</v>
      </c>
      <c r="BD142" s="173">
        <f t="shared" si="58"/>
        <v>0</v>
      </c>
      <c r="BE142" s="173">
        <f t="shared" si="58"/>
        <v>0</v>
      </c>
      <c r="BF142" s="173">
        <f t="shared" si="58"/>
        <v>0</v>
      </c>
      <c r="BG142" s="173">
        <f t="shared" si="58"/>
        <v>0</v>
      </c>
      <c r="BH142" s="173">
        <f t="shared" si="58"/>
        <v>0</v>
      </c>
      <c r="BI142" s="173">
        <f t="shared" si="58"/>
        <v>0</v>
      </c>
      <c r="BJ142" s="173">
        <f t="shared" si="58"/>
        <v>0</v>
      </c>
      <c r="BK142" s="173">
        <f t="shared" si="58"/>
        <v>0</v>
      </c>
      <c r="BL142" s="173">
        <f t="shared" si="58"/>
        <v>0</v>
      </c>
      <c r="BM142" s="173">
        <f t="shared" si="58"/>
        <v>0</v>
      </c>
      <c r="BN142" s="173">
        <f t="shared" si="58"/>
        <v>0</v>
      </c>
      <c r="BO142" s="173">
        <f t="shared" si="58"/>
        <v>0</v>
      </c>
      <c r="BP142" s="173">
        <f t="shared" si="58"/>
        <v>1</v>
      </c>
      <c r="BQ142" s="173">
        <f t="shared" si="58"/>
        <v>2</v>
      </c>
      <c r="BR142" s="173">
        <f t="shared" si="58"/>
        <v>2</v>
      </c>
      <c r="BS142" s="173">
        <f t="shared" si="58"/>
        <v>2</v>
      </c>
      <c r="BZ142" s="19" t="s">
        <v>817</v>
      </c>
      <c r="CB142" s="173">
        <f>COUNTIF(CB$132:CB$141,23)</f>
        <v>1</v>
      </c>
      <c r="CC142" s="173">
        <f>COUNTIF(CC$132:CC$141,23)</f>
        <v>1</v>
      </c>
      <c r="CD142" s="173">
        <f t="shared" ref="CD142:CY142" si="59">COUNTIF(CD$132:CD$141,23)</f>
        <v>1</v>
      </c>
      <c r="CE142" s="173">
        <f t="shared" si="59"/>
        <v>1</v>
      </c>
      <c r="CF142" s="173">
        <f t="shared" si="59"/>
        <v>1</v>
      </c>
      <c r="CG142" s="173">
        <f t="shared" si="59"/>
        <v>1</v>
      </c>
      <c r="CH142" s="173">
        <f t="shared" si="59"/>
        <v>0</v>
      </c>
      <c r="CI142" s="173">
        <f t="shared" si="59"/>
        <v>0</v>
      </c>
      <c r="CJ142" s="173">
        <f t="shared" si="59"/>
        <v>0</v>
      </c>
      <c r="CK142" s="173">
        <f t="shared" si="59"/>
        <v>0</v>
      </c>
      <c r="CL142" s="173">
        <f t="shared" si="59"/>
        <v>0</v>
      </c>
      <c r="CM142" s="173">
        <f t="shared" si="59"/>
        <v>0</v>
      </c>
      <c r="CN142" s="173">
        <f t="shared" si="59"/>
        <v>0</v>
      </c>
      <c r="CO142" s="173">
        <f t="shared" si="59"/>
        <v>0</v>
      </c>
      <c r="CP142" s="173">
        <f t="shared" si="59"/>
        <v>0</v>
      </c>
      <c r="CQ142" s="173">
        <f t="shared" si="59"/>
        <v>0</v>
      </c>
      <c r="CR142" s="173">
        <f t="shared" si="59"/>
        <v>0</v>
      </c>
      <c r="CS142" s="173">
        <f t="shared" si="59"/>
        <v>0</v>
      </c>
      <c r="CT142" s="173">
        <f t="shared" si="59"/>
        <v>0</v>
      </c>
      <c r="CU142" s="173">
        <f t="shared" si="59"/>
        <v>0</v>
      </c>
      <c r="CV142" s="173">
        <f t="shared" si="59"/>
        <v>0</v>
      </c>
      <c r="CW142" s="173">
        <f t="shared" si="59"/>
        <v>0</v>
      </c>
      <c r="CX142" s="173">
        <f t="shared" si="59"/>
        <v>1</v>
      </c>
      <c r="CY142" s="173">
        <f t="shared" si="59"/>
        <v>1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3</v>
      </c>
      <c r="D143" s="263">
        <f t="shared" si="50"/>
        <v>2.8802992518703241</v>
      </c>
      <c r="AT143" s="19" t="s">
        <v>820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1</v>
      </c>
      <c r="AW144" s="173">
        <f t="shared" ref="AW144:BS144" si="64">COUNTIF(AW$132:AW$141,22)</f>
        <v>1</v>
      </c>
      <c r="AX144" s="173">
        <f t="shared" si="64"/>
        <v>1</v>
      </c>
      <c r="AY144" s="173">
        <f t="shared" si="64"/>
        <v>2</v>
      </c>
      <c r="AZ144" s="173">
        <f t="shared" si="64"/>
        <v>2</v>
      </c>
      <c r="BA144" s="173">
        <f t="shared" si="64"/>
        <v>3</v>
      </c>
      <c r="BB144" s="173">
        <f t="shared" si="64"/>
        <v>3</v>
      </c>
      <c r="BC144" s="173">
        <f t="shared" si="64"/>
        <v>3</v>
      </c>
      <c r="BD144" s="173">
        <f t="shared" si="64"/>
        <v>3</v>
      </c>
      <c r="BE144" s="173">
        <f t="shared" si="64"/>
        <v>2</v>
      </c>
      <c r="BF144" s="173">
        <f t="shared" si="64"/>
        <v>2</v>
      </c>
      <c r="BG144" s="173">
        <f t="shared" si="64"/>
        <v>1</v>
      </c>
      <c r="BH144" s="173">
        <f t="shared" si="64"/>
        <v>1</v>
      </c>
      <c r="BI144" s="173">
        <f t="shared" si="64"/>
        <v>1</v>
      </c>
      <c r="BJ144" s="173">
        <f t="shared" si="64"/>
        <v>1</v>
      </c>
      <c r="BK144" s="173">
        <f t="shared" si="64"/>
        <v>1</v>
      </c>
      <c r="BL144" s="173">
        <f t="shared" si="64"/>
        <v>1</v>
      </c>
      <c r="BM144" s="173">
        <f t="shared" si="64"/>
        <v>1</v>
      </c>
      <c r="BN144" s="173">
        <f t="shared" si="64"/>
        <v>2</v>
      </c>
      <c r="BO144" s="173">
        <f t="shared" si="64"/>
        <v>2</v>
      </c>
      <c r="BP144" s="173">
        <f t="shared" si="64"/>
        <v>1</v>
      </c>
      <c r="BQ144" s="173">
        <f t="shared" si="64"/>
        <v>1</v>
      </c>
      <c r="BR144" s="173">
        <f t="shared" si="64"/>
        <v>1</v>
      </c>
      <c r="BS144" s="173">
        <f t="shared" si="64"/>
        <v>1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1</v>
      </c>
      <c r="CI144" s="173">
        <f t="shared" si="65"/>
        <v>1</v>
      </c>
      <c r="CJ144" s="173">
        <f t="shared" si="65"/>
        <v>1</v>
      </c>
      <c r="CK144" s="173">
        <f t="shared" si="65"/>
        <v>1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1</v>
      </c>
      <c r="CU144" s="173">
        <f t="shared" si="65"/>
        <v>1</v>
      </c>
      <c r="CV144" s="173">
        <f t="shared" si="65"/>
        <v>2</v>
      </c>
      <c r="CW144" s="173">
        <f t="shared" si="65"/>
        <v>2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22</v>
      </c>
      <c r="BB146" s="62">
        <f t="shared" si="70"/>
        <v>22</v>
      </c>
      <c r="BC146" s="62">
        <f t="shared" si="70"/>
        <v>22</v>
      </c>
      <c r="BD146" s="62">
        <f t="shared" si="70"/>
        <v>22</v>
      </c>
      <c r="BE146" s="62">
        <f t="shared" si="70"/>
        <v>22</v>
      </c>
      <c r="BF146" s="62">
        <f t="shared" si="70"/>
        <v>22</v>
      </c>
      <c r="BG146" s="62">
        <f t="shared" si="70"/>
        <v>22</v>
      </c>
      <c r="BH146" s="62">
        <f t="shared" si="70"/>
        <v>22</v>
      </c>
      <c r="BI146" s="62">
        <f t="shared" si="70"/>
        <v>22</v>
      </c>
      <c r="BJ146" s="62">
        <f t="shared" si="70"/>
        <v>22</v>
      </c>
      <c r="BK146" s="62">
        <f t="shared" si="70"/>
        <v>22</v>
      </c>
      <c r="BL146" s="62">
        <f t="shared" si="70"/>
        <v>22</v>
      </c>
      <c r="BM146" s="62">
        <f t="shared" si="70"/>
        <v>22</v>
      </c>
      <c r="BN146" s="62">
        <f t="shared" si="70"/>
        <v>22</v>
      </c>
      <c r="BO146" s="62">
        <f t="shared" si="70"/>
        <v>22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22</v>
      </c>
      <c r="CI146" s="62">
        <f t="shared" si="71"/>
        <v>22</v>
      </c>
      <c r="CJ146" s="62">
        <f t="shared" si="71"/>
        <v>22</v>
      </c>
      <c r="CK146" s="62">
        <f t="shared" si="71"/>
        <v>22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22</v>
      </c>
      <c r="CU146" s="62">
        <f t="shared" si="71"/>
        <v>22</v>
      </c>
      <c r="CV146" s="62">
        <f t="shared" si="71"/>
        <v>22</v>
      </c>
      <c r="CW146" s="62">
        <f t="shared" si="71"/>
        <v>22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21</v>
      </c>
      <c r="BB147" s="190">
        <f>IF(BB146=0,0,HLOOKUP(BB146,[1]Trav!$C$39:$G$59,$AU$166))</f>
        <v>21</v>
      </c>
      <c r="BC147" s="190">
        <f>IF(BC146=0,0,HLOOKUP(BC146,[1]Trav!$C$39:$G$59,$AU$166))</f>
        <v>21</v>
      </c>
      <c r="BD147" s="190">
        <f>IF(BD146=0,0,HLOOKUP(BD146,[1]Trav!$C$39:$G$59,$AU$166))</f>
        <v>21</v>
      </c>
      <c r="BE147" s="190">
        <f>IF(BE146=0,0,HLOOKUP(BE146,[1]Trav!$C$39:$G$59,$AU$166))</f>
        <v>21</v>
      </c>
      <c r="BF147" s="190">
        <f>IF(BF146=0,0,HLOOKUP(BF146,[1]Trav!$C$39:$G$59,$AU$166))</f>
        <v>21</v>
      </c>
      <c r="BG147" s="190">
        <f>IF(BG146=0,0,HLOOKUP(BG146,[1]Trav!$C$39:$G$59,$AU$166))</f>
        <v>21</v>
      </c>
      <c r="BH147" s="190">
        <f>IF(BH146=0,0,HLOOKUP(BH146,[1]Trav!$C$39:$G$59,$AU$166))</f>
        <v>21</v>
      </c>
      <c r="BI147" s="190">
        <f>IF(BI146=0,0,HLOOKUP(BI146,[1]Trav!$C$39:$G$59,$AU$166))</f>
        <v>21</v>
      </c>
      <c r="BJ147" s="190">
        <f>IF(BJ146=0,0,HLOOKUP(BJ146,[1]Trav!$C$39:$G$59,$AU$166))</f>
        <v>21</v>
      </c>
      <c r="BK147" s="190">
        <f>IF(BK146=0,0,HLOOKUP(BK146,[1]Trav!$C$39:$G$59,$AU$166))</f>
        <v>21</v>
      </c>
      <c r="BL147" s="190">
        <f>IF(BL146=0,0,HLOOKUP(BL146,[1]Trav!$C$39:$G$59,$AU$166))</f>
        <v>21</v>
      </c>
      <c r="BM147" s="190">
        <f>IF(BM146=0,0,HLOOKUP(BM146,[1]Trav!$C$39:$G$59,$AU$166))</f>
        <v>21</v>
      </c>
      <c r="BN147" s="190">
        <f>IF(BN146=0,0,HLOOKUP(BN146,[1]Trav!$C$39:$G$59,$AU$166))</f>
        <v>21</v>
      </c>
      <c r="BO147" s="190">
        <f>IF(BO146=0,0,HLOOKUP(BO146,[1]Trav!$C$39:$G$59,$AU$166))</f>
        <v>21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21</v>
      </c>
      <c r="CI147" s="190">
        <f>IF(CI146=0,0,HLOOKUP(CI146,[1]Trav!$C$39:$G$59,$AU$166))</f>
        <v>21</v>
      </c>
      <c r="CJ147" s="190">
        <f>IF(CJ146=0,0,HLOOKUP(CJ146,[1]Trav!$C$39:$G$59,$AU$166))</f>
        <v>21</v>
      </c>
      <c r="CK147" s="190">
        <f>IF(CK146=0,0,HLOOKUP(CK146,[1]Trav!$C$39:$G$59,$AU$166))</f>
        <v>21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21</v>
      </c>
      <c r="CU147" s="190">
        <f>IF(CU146=0,0,HLOOKUP(CU146,[1]Trav!$C$39:$G$59,$AU$166))</f>
        <v>21</v>
      </c>
      <c r="CV147" s="190">
        <f>IF(CV146=0,0,HLOOKUP(CV146,[1]Trav!$C$39:$G$59,$AU$166))</f>
        <v>21</v>
      </c>
      <c r="CW147" s="190">
        <f>IF(CW146=0,0,HLOOKUP(CW146,[1]Trav!$C$39:$G$59,$AU$166))</f>
        <v>21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0</v>
      </c>
      <c r="D148" s="263">
        <f t="shared" si="50"/>
        <v>0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37947</v>
      </c>
      <c r="D149" s="263">
        <f t="shared" si="50"/>
        <v>36432.905236907733</v>
      </c>
      <c r="F149" s="14" t="s">
        <v>1249</v>
      </c>
      <c r="G149">
        <f>IF(Troupeau!C$3="BV",'Calcul éco'!C9,0)</f>
        <v>6.5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3.5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253.80028190393577</v>
      </c>
      <c r="AW151" s="173">
        <f t="shared" si="74"/>
        <v>251.26227908489645</v>
      </c>
      <c r="AX151" s="173">
        <f t="shared" si="74"/>
        <v>248.72427626585707</v>
      </c>
      <c r="AY151" s="173">
        <f t="shared" si="74"/>
        <v>247.45527485633741</v>
      </c>
      <c r="AZ151" s="173">
        <f t="shared" si="74"/>
        <v>246.18627344681769</v>
      </c>
      <c r="BA151" s="173">
        <f t="shared" si="74"/>
        <v>244.91727203729803</v>
      </c>
      <c r="BB151" s="173">
        <f t="shared" si="74"/>
        <v>243.64827062777837</v>
      </c>
      <c r="BC151" s="173">
        <f t="shared" si="74"/>
        <v>242.37926921825868</v>
      </c>
      <c r="BD151" s="173">
        <f t="shared" si="74"/>
        <v>239.84126639921934</v>
      </c>
      <c r="BE151" s="173">
        <f t="shared" si="74"/>
        <v>244.91727203729803</v>
      </c>
      <c r="BF151" s="173">
        <f t="shared" si="74"/>
        <v>244.91727203729803</v>
      </c>
      <c r="BG151" s="173">
        <f t="shared" si="74"/>
        <v>0</v>
      </c>
      <c r="BH151" s="173">
        <f t="shared" si="74"/>
        <v>0</v>
      </c>
      <c r="BI151" s="173">
        <f t="shared" si="74"/>
        <v>0</v>
      </c>
      <c r="BJ151" s="173">
        <f t="shared" si="74"/>
        <v>0</v>
      </c>
      <c r="BK151" s="173">
        <f t="shared" si="74"/>
        <v>0</v>
      </c>
      <c r="BL151" s="173">
        <f t="shared" si="74"/>
        <v>0</v>
      </c>
      <c r="BM151" s="173">
        <f t="shared" si="74"/>
        <v>0</v>
      </c>
      <c r="BN151" s="173">
        <f t="shared" si="74"/>
        <v>244.91727203729803</v>
      </c>
      <c r="BO151" s="173">
        <f t="shared" si="74"/>
        <v>267.75929740865229</v>
      </c>
      <c r="BP151" s="173">
        <f t="shared" si="74"/>
        <v>267.75929740865229</v>
      </c>
      <c r="BQ151" s="173">
        <f t="shared" si="74"/>
        <v>253.80028190393577</v>
      </c>
      <c r="BR151" s="173">
        <f t="shared" si="74"/>
        <v>253.80028190393577</v>
      </c>
      <c r="BS151" s="173">
        <f t="shared" si="74"/>
        <v>253.80028190393577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13.863840399002493</v>
      </c>
      <c r="CC151" s="173">
        <f t="shared" si="76"/>
        <v>13.863840399002493</v>
      </c>
      <c r="CD151" s="173">
        <f t="shared" si="76"/>
        <v>13.863840399002493</v>
      </c>
      <c r="CE151" s="173">
        <f t="shared" si="76"/>
        <v>13.863840399002493</v>
      </c>
      <c r="CF151" s="173">
        <f t="shared" si="76"/>
        <v>13.863840399002493</v>
      </c>
      <c r="CG151" s="173">
        <f t="shared" si="76"/>
        <v>13.863840399002493</v>
      </c>
      <c r="CH151" s="173">
        <f t="shared" si="76"/>
        <v>13.863840399002493</v>
      </c>
      <c r="CI151" s="173">
        <f t="shared" si="76"/>
        <v>13.863840399002493</v>
      </c>
      <c r="CJ151" s="173">
        <f t="shared" si="76"/>
        <v>13.863840399002493</v>
      </c>
      <c r="CK151" s="173">
        <f t="shared" si="76"/>
        <v>13.863840399002493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13.134164588528677</v>
      </c>
      <c r="CU151" s="173">
        <f t="shared" si="76"/>
        <v>13.134164588528677</v>
      </c>
      <c r="CV151" s="173">
        <f t="shared" si="76"/>
        <v>13.863840399002493</v>
      </c>
      <c r="CW151" s="173">
        <f t="shared" si="76"/>
        <v>13.863840399002493</v>
      </c>
      <c r="CX151" s="173">
        <f t="shared" si="76"/>
        <v>13.863840399002493</v>
      </c>
      <c r="CY151" s="173">
        <f t="shared" si="76"/>
        <v>13.863840399002493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24.1110267808739</v>
      </c>
      <c r="AW152" s="173">
        <f t="shared" si="74"/>
        <v>24.1110267808739</v>
      </c>
      <c r="AX152" s="173">
        <f t="shared" si="74"/>
        <v>24.1110267808739</v>
      </c>
      <c r="AY152" s="173">
        <f t="shared" si="74"/>
        <v>24.1110267808739</v>
      </c>
      <c r="AZ152" s="173">
        <f t="shared" si="74"/>
        <v>24.1110267808739</v>
      </c>
      <c r="BA152" s="173">
        <f t="shared" si="74"/>
        <v>24.1110267808739</v>
      </c>
      <c r="BB152" s="173">
        <f t="shared" si="74"/>
        <v>24.1110267808739</v>
      </c>
      <c r="BC152" s="173">
        <f t="shared" si="74"/>
        <v>24.1110267808739</v>
      </c>
      <c r="BD152" s="173">
        <f t="shared" si="74"/>
        <v>24.1110267808739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24.1110267808739</v>
      </c>
      <c r="BP152" s="173">
        <f t="shared" si="74"/>
        <v>24.1110267808739</v>
      </c>
      <c r="BQ152" s="173">
        <f t="shared" si="74"/>
        <v>24.1110267808739</v>
      </c>
      <c r="BR152" s="173">
        <f t="shared" si="74"/>
        <v>24.1110267808739</v>
      </c>
      <c r="BS152" s="173">
        <f t="shared" si="74"/>
        <v>24.1110267808739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0</v>
      </c>
      <c r="CH152" s="173">
        <f t="shared" si="76"/>
        <v>0</v>
      </c>
      <c r="CI152" s="173">
        <f t="shared" si="76"/>
        <v>0</v>
      </c>
      <c r="CJ152" s="173">
        <f t="shared" si="76"/>
        <v>0</v>
      </c>
      <c r="CK152" s="173">
        <f t="shared" si="76"/>
        <v>0</v>
      </c>
      <c r="CL152" s="173">
        <f t="shared" si="76"/>
        <v>0</v>
      </c>
      <c r="CM152" s="173">
        <f t="shared" si="76"/>
        <v>0</v>
      </c>
      <c r="CN152" s="173">
        <f t="shared" si="76"/>
        <v>0</v>
      </c>
      <c r="CO152" s="173">
        <f t="shared" si="76"/>
        <v>0</v>
      </c>
      <c r="CP152" s="173">
        <f t="shared" si="76"/>
        <v>0</v>
      </c>
      <c r="CQ152" s="173">
        <f t="shared" si="76"/>
        <v>0</v>
      </c>
      <c r="CR152" s="173">
        <f t="shared" si="76"/>
        <v>0</v>
      </c>
      <c r="CS152" s="173">
        <f t="shared" si="76"/>
        <v>0</v>
      </c>
      <c r="CT152" s="173">
        <f t="shared" si="76"/>
        <v>0</v>
      </c>
      <c r="CU152" s="173">
        <f t="shared" si="76"/>
        <v>0</v>
      </c>
      <c r="CV152" s="173">
        <f t="shared" si="76"/>
        <v>1.4593516209476309</v>
      </c>
      <c r="CW152" s="173">
        <f t="shared" si="76"/>
        <v>0.72967581047381547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3</v>
      </c>
      <c r="AT153" s="189" t="str">
        <f t="shared" si="73"/>
        <v>agnelles</v>
      </c>
      <c r="AV153" s="173">
        <f t="shared" si="74"/>
        <v>65.988073295023312</v>
      </c>
      <c r="AW153" s="173">
        <f t="shared" si="74"/>
        <v>65.988073295023312</v>
      </c>
      <c r="AX153" s="173">
        <f t="shared" si="74"/>
        <v>65.988073295023312</v>
      </c>
      <c r="AY153" s="173">
        <f t="shared" si="74"/>
        <v>65.988073295023312</v>
      </c>
      <c r="AZ153" s="173">
        <f t="shared" si="74"/>
        <v>65.988073295023312</v>
      </c>
      <c r="BA153" s="173">
        <f t="shared" si="74"/>
        <v>65.988073295023312</v>
      </c>
      <c r="BB153" s="173">
        <f t="shared" si="74"/>
        <v>65.988073295023312</v>
      </c>
      <c r="BC153" s="173">
        <f t="shared" si="74"/>
        <v>65.988073295023312</v>
      </c>
      <c r="BD153" s="173">
        <f t="shared" si="74"/>
        <v>65.988073295023312</v>
      </c>
      <c r="BE153" s="173">
        <f t="shared" si="74"/>
        <v>65.988073295023312</v>
      </c>
      <c r="BF153" s="173">
        <f t="shared" si="74"/>
        <v>65.988073295023312</v>
      </c>
      <c r="BG153" s="173">
        <f t="shared" si="74"/>
        <v>65.988073295023312</v>
      </c>
      <c r="BH153" s="173">
        <f t="shared" si="74"/>
        <v>65.988073295023312</v>
      </c>
      <c r="BI153" s="173">
        <f t="shared" si="74"/>
        <v>65.988073295023312</v>
      </c>
      <c r="BJ153" s="173">
        <f t="shared" si="74"/>
        <v>65.988073295023312</v>
      </c>
      <c r="BK153" s="173">
        <f t="shared" si="74"/>
        <v>65.988073295023312</v>
      </c>
      <c r="BL153" s="173">
        <f t="shared" si="74"/>
        <v>65.988073295023312</v>
      </c>
      <c r="BM153" s="173">
        <f t="shared" si="74"/>
        <v>65.988073295023312</v>
      </c>
      <c r="BN153" s="173">
        <f t="shared" si="74"/>
        <v>65.988073295023312</v>
      </c>
      <c r="BO153" s="173">
        <f t="shared" si="74"/>
        <v>0</v>
      </c>
      <c r="BP153" s="173">
        <f t="shared" si="74"/>
        <v>0</v>
      </c>
      <c r="BQ153" s="173">
        <f t="shared" si="74"/>
        <v>65.988073295023312</v>
      </c>
      <c r="BR153" s="173">
        <f t="shared" si="74"/>
        <v>65.988073295023312</v>
      </c>
      <c r="BS153" s="173">
        <f t="shared" si="74"/>
        <v>65.988073295023312</v>
      </c>
      <c r="BY153" s="2"/>
      <c r="BZ153" s="189" t="str">
        <f t="shared" si="75"/>
        <v>genisses +1an</v>
      </c>
      <c r="CB153" s="173">
        <f t="shared" si="76"/>
        <v>8.7561097256857838</v>
      </c>
      <c r="CC153" s="173">
        <f t="shared" si="76"/>
        <v>8.7561097256857838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8.7561097256857838</v>
      </c>
      <c r="CY153" s="173">
        <f t="shared" si="76"/>
        <v>8.7561097256857838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0</v>
      </c>
      <c r="D154" s="263">
        <f t="shared" si="50"/>
        <v>0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0</v>
      </c>
      <c r="AW154" s="173">
        <f t="shared" si="74"/>
        <v>0</v>
      </c>
      <c r="AX154" s="173">
        <f t="shared" si="74"/>
        <v>0</v>
      </c>
      <c r="AY154" s="173">
        <f t="shared" si="74"/>
        <v>0</v>
      </c>
      <c r="AZ154" s="173">
        <f t="shared" si="74"/>
        <v>0</v>
      </c>
      <c r="BA154" s="173">
        <f t="shared" si="74"/>
        <v>0</v>
      </c>
      <c r="BB154" s="173">
        <f t="shared" si="74"/>
        <v>0</v>
      </c>
      <c r="BC154" s="173">
        <f t="shared" si="74"/>
        <v>0</v>
      </c>
      <c r="BD154" s="173">
        <f t="shared" si="74"/>
        <v>0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0</v>
      </c>
      <c r="BP154" s="173">
        <f t="shared" si="74"/>
        <v>0</v>
      </c>
      <c r="BQ154" s="173">
        <f t="shared" si="74"/>
        <v>0</v>
      </c>
      <c r="BR154" s="173">
        <f t="shared" si="74"/>
        <v>0</v>
      </c>
      <c r="BS154" s="173">
        <f t="shared" si="74"/>
        <v>0</v>
      </c>
      <c r="BY154" s="2"/>
      <c r="BZ154" s="189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0</v>
      </c>
      <c r="D157" s="263">
        <f t="shared" si="50"/>
        <v>0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343.89938197983298</v>
      </c>
      <c r="AW160" s="62">
        <f t="shared" ref="AW160:BS160" si="83">SUM(AW151:AW159)</f>
        <v>341.36137916079366</v>
      </c>
      <c r="AX160" s="62">
        <f t="shared" si="83"/>
        <v>338.82337634175428</v>
      </c>
      <c r="AY160" s="62">
        <f t="shared" si="83"/>
        <v>337.55437493223462</v>
      </c>
      <c r="AZ160" s="62">
        <f t="shared" si="83"/>
        <v>336.28537352271491</v>
      </c>
      <c r="BA160" s="62">
        <f t="shared" si="83"/>
        <v>335.01637211319525</v>
      </c>
      <c r="BB160" s="62">
        <f t="shared" si="83"/>
        <v>333.74737070367559</v>
      </c>
      <c r="BC160" s="62">
        <f t="shared" si="83"/>
        <v>332.47836929415587</v>
      </c>
      <c r="BD160" s="62">
        <f t="shared" si="83"/>
        <v>329.94036647511655</v>
      </c>
      <c r="BE160" s="62">
        <f t="shared" si="83"/>
        <v>310.90534533232136</v>
      </c>
      <c r="BF160" s="62">
        <f t="shared" si="83"/>
        <v>310.90534533232136</v>
      </c>
      <c r="BG160" s="62">
        <f t="shared" si="83"/>
        <v>65.988073295023312</v>
      </c>
      <c r="BH160" s="62">
        <f t="shared" si="83"/>
        <v>65.988073295023312</v>
      </c>
      <c r="BI160" s="62">
        <f t="shared" si="83"/>
        <v>65.988073295023312</v>
      </c>
      <c r="BJ160" s="62">
        <f t="shared" si="83"/>
        <v>65.988073295023312</v>
      </c>
      <c r="BK160" s="62">
        <f t="shared" si="83"/>
        <v>65.988073295023312</v>
      </c>
      <c r="BL160" s="62">
        <f t="shared" si="83"/>
        <v>65.988073295023312</v>
      </c>
      <c r="BM160" s="62">
        <f t="shared" si="83"/>
        <v>65.988073295023312</v>
      </c>
      <c r="BN160" s="62">
        <f t="shared" si="83"/>
        <v>310.90534533232136</v>
      </c>
      <c r="BO160" s="62">
        <f t="shared" si="83"/>
        <v>291.87032418952617</v>
      </c>
      <c r="BP160" s="62">
        <f t="shared" si="83"/>
        <v>291.87032418952617</v>
      </c>
      <c r="BQ160" s="62">
        <f t="shared" si="83"/>
        <v>343.89938197983298</v>
      </c>
      <c r="BR160" s="62">
        <f t="shared" si="83"/>
        <v>343.89938197983298</v>
      </c>
      <c r="BS160" s="62">
        <f t="shared" si="83"/>
        <v>343.89938197983298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97.279967475965137</v>
      </c>
      <c r="D161" s="263">
        <f t="shared" si="50"/>
        <v>93.398472514330621</v>
      </c>
      <c r="AT161" s="189" t="s">
        <v>844</v>
      </c>
      <c r="AV161" s="173">
        <f>IF($AT$62="OL",AV160/50,AV160/10)</f>
        <v>6.8779876395966593</v>
      </c>
      <c r="AW161" s="173">
        <f t="shared" ref="AW161:BS161" si="86">IF($AT$62="OL",AW160/50,AW160/10)</f>
        <v>6.8272275832158735</v>
      </c>
      <c r="AX161" s="173">
        <f t="shared" si="86"/>
        <v>6.776467526835086</v>
      </c>
      <c r="AY161" s="173">
        <f t="shared" si="86"/>
        <v>6.7510874986446927</v>
      </c>
      <c r="AZ161" s="173">
        <f t="shared" si="86"/>
        <v>6.7257074704542985</v>
      </c>
      <c r="BA161" s="173">
        <f t="shared" si="86"/>
        <v>6.7003274422639052</v>
      </c>
      <c r="BB161" s="173">
        <f t="shared" si="86"/>
        <v>6.6749474140735119</v>
      </c>
      <c r="BC161" s="173">
        <f t="shared" si="86"/>
        <v>6.6495673858831177</v>
      </c>
      <c r="BD161" s="173">
        <f t="shared" si="86"/>
        <v>6.5988073295023311</v>
      </c>
      <c r="BE161" s="173">
        <f t="shared" si="86"/>
        <v>6.218106906646427</v>
      </c>
      <c r="BF161" s="173">
        <f t="shared" si="86"/>
        <v>6.218106906646427</v>
      </c>
      <c r="BG161" s="173">
        <f t="shared" si="86"/>
        <v>1.3197614659004662</v>
      </c>
      <c r="BH161" s="173">
        <f t="shared" si="86"/>
        <v>1.3197614659004662</v>
      </c>
      <c r="BI161" s="173">
        <f t="shared" si="86"/>
        <v>1.3197614659004662</v>
      </c>
      <c r="BJ161" s="173">
        <f t="shared" si="86"/>
        <v>1.3197614659004662</v>
      </c>
      <c r="BK161" s="173">
        <f t="shared" si="86"/>
        <v>1.3197614659004662</v>
      </c>
      <c r="BL161" s="173">
        <f t="shared" si="86"/>
        <v>1.3197614659004662</v>
      </c>
      <c r="BM161" s="173">
        <f t="shared" si="86"/>
        <v>1.3197614659004662</v>
      </c>
      <c r="BN161" s="173">
        <f t="shared" si="86"/>
        <v>6.218106906646427</v>
      </c>
      <c r="BO161" s="173">
        <f t="shared" si="86"/>
        <v>5.8374064837905237</v>
      </c>
      <c r="BP161" s="173">
        <f t="shared" si="86"/>
        <v>5.8374064837905237</v>
      </c>
      <c r="BQ161" s="173">
        <f t="shared" si="86"/>
        <v>6.8779876395966593</v>
      </c>
      <c r="BR161" s="173">
        <f t="shared" si="86"/>
        <v>6.8779876395966593</v>
      </c>
      <c r="BS161" s="173">
        <f t="shared" si="86"/>
        <v>6.8779876395966593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118.16137958722092</v>
      </c>
      <c r="D162" s="263">
        <f t="shared" si="50"/>
        <v>113.4467110750126</v>
      </c>
      <c r="AT162" s="189" t="s">
        <v>846</v>
      </c>
      <c r="AV162" s="173">
        <f>IF(AV161&gt;1,AV161-1,0)</f>
        <v>5.8779876395966593</v>
      </c>
      <c r="AW162" s="173">
        <f t="shared" ref="AW162:BS162" si="89">IF(AW161&gt;1,AW161-1,0)</f>
        <v>5.8272275832158735</v>
      </c>
      <c r="AX162" s="173">
        <f t="shared" si="89"/>
        <v>5.776467526835086</v>
      </c>
      <c r="AY162" s="173">
        <f t="shared" si="89"/>
        <v>5.7510874986446927</v>
      </c>
      <c r="AZ162" s="173">
        <f t="shared" si="89"/>
        <v>5.7257074704542985</v>
      </c>
      <c r="BA162" s="173">
        <f t="shared" si="89"/>
        <v>5.7003274422639052</v>
      </c>
      <c r="BB162" s="173">
        <f t="shared" si="89"/>
        <v>5.6749474140735119</v>
      </c>
      <c r="BC162" s="173">
        <f t="shared" si="89"/>
        <v>5.6495673858831177</v>
      </c>
      <c r="BD162" s="173">
        <f t="shared" si="89"/>
        <v>5.5988073295023311</v>
      </c>
      <c r="BE162" s="173">
        <f t="shared" si="89"/>
        <v>5.218106906646427</v>
      </c>
      <c r="BF162" s="173">
        <f t="shared" si="89"/>
        <v>5.218106906646427</v>
      </c>
      <c r="BG162" s="173">
        <f t="shared" si="89"/>
        <v>0.31976146590046617</v>
      </c>
      <c r="BH162" s="173">
        <f t="shared" si="89"/>
        <v>0.31976146590046617</v>
      </c>
      <c r="BI162" s="173">
        <f t="shared" si="89"/>
        <v>0.31976146590046617</v>
      </c>
      <c r="BJ162" s="173">
        <f t="shared" si="89"/>
        <v>0.31976146590046617</v>
      </c>
      <c r="BK162" s="173">
        <f t="shared" si="89"/>
        <v>0.31976146590046617</v>
      </c>
      <c r="BL162" s="173">
        <f t="shared" si="89"/>
        <v>0.31976146590046617</v>
      </c>
      <c r="BM162" s="173">
        <f t="shared" si="89"/>
        <v>0.31976146590046617</v>
      </c>
      <c r="BN162" s="173">
        <f t="shared" si="89"/>
        <v>5.218106906646427</v>
      </c>
      <c r="BO162" s="173">
        <f t="shared" si="89"/>
        <v>4.8374064837905237</v>
      </c>
      <c r="BP162" s="173">
        <f t="shared" si="89"/>
        <v>4.8374064837905237</v>
      </c>
      <c r="BQ162" s="173">
        <f t="shared" si="89"/>
        <v>5.8779876395966593</v>
      </c>
      <c r="BR162" s="173">
        <f t="shared" si="89"/>
        <v>5.8779876395966593</v>
      </c>
      <c r="BS162" s="173">
        <f t="shared" si="89"/>
        <v>5.8779876395966593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52.286478369294151</v>
      </c>
      <c r="AW163" s="62">
        <f t="shared" ref="AW163:BS163" si="92">AW147+AW148*AW162</f>
        <v>52.197648270627781</v>
      </c>
      <c r="AX163" s="62">
        <f t="shared" si="92"/>
        <v>52.108818171961403</v>
      </c>
      <c r="AY163" s="62">
        <f t="shared" si="92"/>
        <v>52.064403122628214</v>
      </c>
      <c r="AZ163" s="62">
        <f t="shared" si="92"/>
        <v>52.019988073295025</v>
      </c>
      <c r="BA163" s="62">
        <f t="shared" si="92"/>
        <v>30.975573023961836</v>
      </c>
      <c r="BB163" s="62">
        <f t="shared" si="92"/>
        <v>30.931157974628647</v>
      </c>
      <c r="BC163" s="62">
        <f t="shared" si="92"/>
        <v>30.886742925295458</v>
      </c>
      <c r="BD163" s="62">
        <f t="shared" si="92"/>
        <v>30.79791282662908</v>
      </c>
      <c r="BE163" s="62">
        <f t="shared" si="92"/>
        <v>30.131687086631246</v>
      </c>
      <c r="BF163" s="62">
        <f t="shared" si="92"/>
        <v>30.131687086631246</v>
      </c>
      <c r="BG163" s="62">
        <f t="shared" si="92"/>
        <v>21.559582565325815</v>
      </c>
      <c r="BH163" s="62">
        <f t="shared" si="92"/>
        <v>21.559582565325815</v>
      </c>
      <c r="BI163" s="62">
        <f t="shared" si="92"/>
        <v>21.559582565325815</v>
      </c>
      <c r="BJ163" s="62">
        <f t="shared" si="92"/>
        <v>21.559582565325815</v>
      </c>
      <c r="BK163" s="62">
        <f t="shared" si="92"/>
        <v>21.559582565325815</v>
      </c>
      <c r="BL163" s="62">
        <f t="shared" si="92"/>
        <v>21.559582565325815</v>
      </c>
      <c r="BM163" s="62">
        <f t="shared" si="92"/>
        <v>21.559582565325815</v>
      </c>
      <c r="BN163" s="62">
        <f t="shared" si="92"/>
        <v>30.131687086631246</v>
      </c>
      <c r="BO163" s="62">
        <f t="shared" si="92"/>
        <v>29.465461346633418</v>
      </c>
      <c r="BP163" s="62">
        <f t="shared" si="92"/>
        <v>50.465461346633418</v>
      </c>
      <c r="BQ163" s="62">
        <f t="shared" si="92"/>
        <v>52.286478369294151</v>
      </c>
      <c r="BR163" s="62">
        <f t="shared" si="92"/>
        <v>52.286478369294151</v>
      </c>
      <c r="BS163" s="62">
        <f t="shared" si="92"/>
        <v>52.286478369294151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21</v>
      </c>
      <c r="CI163" s="62">
        <f t="shared" si="93"/>
        <v>21</v>
      </c>
      <c r="CJ163" s="62">
        <f t="shared" si="93"/>
        <v>21</v>
      </c>
      <c r="CK163" s="62">
        <f t="shared" si="93"/>
        <v>21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21</v>
      </c>
      <c r="CU163" s="62">
        <f t="shared" si="93"/>
        <v>21</v>
      </c>
      <c r="CV163" s="62">
        <f t="shared" si="93"/>
        <v>21</v>
      </c>
      <c r="CW163" s="62">
        <f t="shared" si="93"/>
        <v>21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57.507144960000012</v>
      </c>
      <c r="D165" s="263">
        <f t="shared" si="50"/>
        <v>55.212595535162109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38.706725063999997</v>
      </c>
      <c r="D166" s="263">
        <f t="shared" si="50"/>
        <v>37.162317081396502</v>
      </c>
      <c r="AT166" s="147" t="s">
        <v>853</v>
      </c>
      <c r="AU166" s="17">
        <f>VLOOKUP(AU120,[1]Trav!$B$12:$C$31,2)</f>
        <v>2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3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 t="e">
        <f>VLOOKUP(DD120,[1]Trav!$B$12:$C$31,2)</f>
        <v>#N/A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14</v>
      </c>
      <c r="AZ167" s="190">
        <f>IF(AZ121&gt;0,HLOOKUP(AZ121,[1]Trav!$C$11:$O$31,$AU$166),0)</f>
        <v>14</v>
      </c>
      <c r="BA167" s="190">
        <f>IF(BA121&gt;0,HLOOKUP(BA121,[1]Trav!$C$11:$O$31,$AU$166),0)</f>
        <v>14</v>
      </c>
      <c r="BB167" s="190">
        <f>IF(BB121&gt;0,HLOOKUP(BB121,[1]Trav!$C$11:$O$31,$AU$166),0)</f>
        <v>14</v>
      </c>
      <c r="BC167" s="190">
        <f>IF(BC121&gt;0,HLOOKUP(BC121,[1]Trav!$C$11:$O$31,$AU$166),0)</f>
        <v>14</v>
      </c>
      <c r="BD167" s="190">
        <f>IF(BD121&gt;0,HLOOKUP(BD121,[1]Trav!$C$11:$O$31,$AU$166),0)</f>
        <v>14</v>
      </c>
      <c r="BE167" s="190">
        <f>IF(BE121&gt;0,HLOOKUP(BE121,[1]Trav!$C$11:$O$31,$AU$166),0)</f>
        <v>14</v>
      </c>
      <c r="BF167" s="190">
        <f>IF(BF121&gt;0,HLOOKUP(BF121,[1]Trav!$C$11:$O$31,$AU$166),0)</f>
        <v>14</v>
      </c>
      <c r="BG167" s="190">
        <f>IF(BG121&gt;0,HLOOKUP(BG121,[1]Trav!$C$11:$O$31,$AU$166),0)</f>
        <v>0</v>
      </c>
      <c r="BH167" s="190">
        <f>IF(BH121&gt;0,HLOOKUP(BH121,[1]Trav!$C$11:$O$31,$AU$166),0)</f>
        <v>0</v>
      </c>
      <c r="BI167" s="190">
        <f>IF(BI121&gt;0,HLOOKUP(BI121,[1]Trav!$C$11:$O$31,$AU$166),0)</f>
        <v>0</v>
      </c>
      <c r="BJ167" s="190">
        <f>IF(BJ121&gt;0,HLOOKUP(BJ121,[1]Trav!$C$11:$O$31,$AU$166),0)</f>
        <v>0</v>
      </c>
      <c r="BK167" s="190">
        <f>IF(BK121&gt;0,HLOOKUP(BK121,[1]Trav!$C$11:$O$31,$AU$166),0)</f>
        <v>0</v>
      </c>
      <c r="BL167" s="190">
        <f>IF(BL121&gt;0,HLOOKUP(BL121,[1]Trav!$C$11:$O$31,$AU$166),0)</f>
        <v>0</v>
      </c>
      <c r="BM167" s="190">
        <f>IF(BM121&gt;0,HLOOKUP(BM121,[1]Trav!$C$11:$O$31,$AU$166),0)</f>
        <v>0</v>
      </c>
      <c r="BN167" s="190">
        <f>IF(BN121&gt;0,HLOOKUP(BN121,[1]Trav!$C$11:$O$31,$AU$166),0)</f>
        <v>14</v>
      </c>
      <c r="BO167" s="190">
        <f>IF(BO121&gt;0,HLOOKUP(BO121,[1]Trav!$C$11:$O$31,$AU$166),0)</f>
        <v>14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14</v>
      </c>
      <c r="CI167" s="190">
        <f>IF(CI121&gt;0,HLOOKUP(CI121,[1]Trav!$C$11:$O$31,$AU$166),0)</f>
        <v>14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28</v>
      </c>
      <c r="CM167" s="190">
        <f>IF(CM121&gt;0,HLOOKUP(CM121,[1]Trav!$C$11:$O$31,$AU$166),0)</f>
        <v>28</v>
      </c>
      <c r="CN167" s="190">
        <f>IF(CN121&gt;0,HLOOKUP(CN121,[1]Trav!$C$11:$O$31,$AU$166),0)</f>
        <v>28</v>
      </c>
      <c r="CO167" s="190">
        <f>IF(CO121&gt;0,HLOOKUP(CO121,[1]Trav!$C$11:$O$31,$AU$166),0)</f>
        <v>21</v>
      </c>
      <c r="CP167" s="190">
        <f>IF(CP121&gt;0,HLOOKUP(CP121,[1]Trav!$C$11:$O$31,$AU$166),0)</f>
        <v>21</v>
      </c>
      <c r="CQ167" s="190">
        <f>IF(CQ121&gt;0,HLOOKUP(CQ121,[1]Trav!$C$11:$O$31,$AU$166),0)</f>
        <v>21</v>
      </c>
      <c r="CR167" s="190">
        <f>IF(CR121&gt;0,HLOOKUP(CR121,[1]Trav!$C$11:$O$31,$AU$166),0)</f>
        <v>28</v>
      </c>
      <c r="CS167" s="190">
        <f>IF(CS121&gt;0,HLOOKUP(CS121,[1]Trav!$C$11:$O$31,$AU$166),0)</f>
        <v>28</v>
      </c>
      <c r="CT167" s="190">
        <f>IF(CT121&gt;0,HLOOKUP(CT121,[1]Trav!$C$11:$O$31,$AU$166),0)</f>
        <v>21</v>
      </c>
      <c r="CU167" s="190">
        <f>IF(CU121&gt;0,HLOOKUP(CU121,[1]Trav!$C$11:$O$31,$AU$166),0)</f>
        <v>21</v>
      </c>
      <c r="CV167" s="190">
        <f>IF(CV121&gt;0,HLOOKUP(CV121,[1]Trav!$C$11:$O$31,$AU$166),0)</f>
        <v>21</v>
      </c>
      <c r="CW167" s="190">
        <f>IF(CW121&gt;0,HLOOKUP(CW121,[1]Trav!$C$11:$O$31,$AU$166),0)</f>
        <v>21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21</v>
      </c>
      <c r="AW168" s="190">
        <f>IF(AW122&gt;0,HLOOKUP(AW122,[1]Trav!$C$11:$O$31,$AU$166),0)</f>
        <v>21</v>
      </c>
      <c r="AX168" s="190">
        <f>IF(AX122&gt;0,HLOOKUP(AX122,[1]Trav!$C$11:$O$31,$AU$166),0)</f>
        <v>21</v>
      </c>
      <c r="AY168" s="190">
        <f>IF(AY122&gt;0,HLOOKUP(AY122,[1]Trav!$C$11:$O$31,$AU$166),0)</f>
        <v>21</v>
      </c>
      <c r="AZ168" s="190">
        <f>IF(AZ122&gt;0,HLOOKUP(AZ122,[1]Trav!$C$11:$O$31,$AU$166),0)</f>
        <v>21</v>
      </c>
      <c r="BA168" s="190">
        <f>IF(BA122&gt;0,HLOOKUP(BA122,[1]Trav!$C$11:$O$31,$AU$166),0)</f>
        <v>21</v>
      </c>
      <c r="BB168" s="190">
        <f>IF(BB122&gt;0,HLOOKUP(BB122,[1]Trav!$C$11:$O$31,$AU$166),0)</f>
        <v>21</v>
      </c>
      <c r="BC168" s="190">
        <f>IF(BC122&gt;0,HLOOKUP(BC122,[1]Trav!$C$11:$O$31,$AU$166),0)</f>
        <v>21</v>
      </c>
      <c r="BD168" s="190">
        <f>IF(BD122&gt;0,HLOOKUP(BD122,[1]Trav!$C$11:$O$31,$AU$166),0)</f>
        <v>21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21</v>
      </c>
      <c r="BP168" s="190">
        <f>IF(BP122&gt;0,HLOOKUP(BP122,[1]Trav!$C$11:$O$31,$AU$166),0)</f>
        <v>21</v>
      </c>
      <c r="BQ168" s="190">
        <f>IF(BQ122&gt;0,HLOOKUP(BQ122,[1]Trav!$C$11:$O$31,$AU$166),0)</f>
        <v>21</v>
      </c>
      <c r="BR168" s="190">
        <f>IF(BR122&gt;0,HLOOKUP(BR122,[1]Trav!$C$11:$O$31,$AU$166),0)</f>
        <v>21</v>
      </c>
      <c r="BS168" s="190">
        <f>IF(BS122&gt;0,HLOOKUP(BS122,[1]Trav!$C$11:$O$31,$AU$166),0)</f>
        <v>21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21</v>
      </c>
      <c r="CH168" s="190">
        <f>IF(CH122&gt;0,HLOOKUP(CH122,[1]Trav!$C$11:$O$31,$AU$166),0)</f>
        <v>21</v>
      </c>
      <c r="CI168" s="190">
        <f>IF(CI122&gt;0,HLOOKUP(CI122,[1]Trav!$C$11:$O$31,$AU$166),0)</f>
        <v>21</v>
      </c>
      <c r="CJ168" s="190">
        <f>IF(CJ122&gt;0,HLOOKUP(CJ122,[1]Trav!$C$11:$O$31,$AU$166),0)</f>
        <v>21</v>
      </c>
      <c r="CK168" s="190">
        <f>IF(CK122&gt;0,HLOOKUP(CK122,[1]Trav!$C$11:$O$31,$AU$166),0)</f>
        <v>21</v>
      </c>
      <c r="CL168" s="190">
        <f>IF(CL122&gt;0,HLOOKUP(CL122,[1]Trav!$C$11:$O$31,$AU$166),0)</f>
        <v>21</v>
      </c>
      <c r="CM168" s="190">
        <f>IF(CM122&gt;0,HLOOKUP(CM122,[1]Trav!$C$11:$O$31,$AU$166),0)</f>
        <v>21</v>
      </c>
      <c r="CN168" s="190">
        <f>IF(CN122&gt;0,HLOOKUP(CN122,[1]Trav!$C$11:$O$31,$AU$166),0)</f>
        <v>21</v>
      </c>
      <c r="CO168" s="190">
        <f>IF(CO122&gt;0,HLOOKUP(CO122,[1]Trav!$C$11:$O$31,$AU$166),0)</f>
        <v>21</v>
      </c>
      <c r="CP168" s="190">
        <f>IF(CP122&gt;0,HLOOKUP(CP122,[1]Trav!$C$11:$O$31,$AU$166),0)</f>
        <v>21</v>
      </c>
      <c r="CQ168" s="190">
        <f>IF(CQ122&gt;0,HLOOKUP(CQ122,[1]Trav!$C$11:$O$31,$AU$166),0)</f>
        <v>21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14</v>
      </c>
      <c r="CW168" s="190">
        <f>IF(CW122&gt;0,HLOOKUP(CW122,[1]Trav!$C$11:$O$31,$AU$166),0)</f>
        <v>14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155.11500000000001</v>
      </c>
      <c r="D169" s="263">
        <f t="shared" si="50"/>
        <v>148.92587281795514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14</v>
      </c>
      <c r="BB169" s="190">
        <f>IF(BB123&gt;0,HLOOKUP(BB123,[1]Trav!$C$11:$O$31,$AU$166),0)</f>
        <v>14</v>
      </c>
      <c r="BC169" s="190">
        <f>IF(BC123&gt;0,HLOOKUP(BC123,[1]Trav!$C$11:$O$31,$AU$166),0)</f>
        <v>14</v>
      </c>
      <c r="BD169" s="190">
        <f>IF(BD123&gt;0,HLOOKUP(BD123,[1]Trav!$C$11:$O$31,$AU$166),0)</f>
        <v>14</v>
      </c>
      <c r="BE169" s="190">
        <f>IF(BE123&gt;0,HLOOKUP(BE123,[1]Trav!$C$11:$O$31,$AU$166),0)</f>
        <v>14</v>
      </c>
      <c r="BF169" s="190">
        <f>IF(BF123&gt;0,HLOOKUP(BF123,[1]Trav!$C$11:$O$31,$AU$166),0)</f>
        <v>14</v>
      </c>
      <c r="BG169" s="190">
        <f>IF(BG123&gt;0,HLOOKUP(BG123,[1]Trav!$C$11:$O$31,$AU$166),0)</f>
        <v>14</v>
      </c>
      <c r="BH169" s="190">
        <f>IF(BH123&gt;0,HLOOKUP(BH123,[1]Trav!$C$11:$O$31,$AU$166),0)</f>
        <v>14</v>
      </c>
      <c r="BI169" s="190">
        <f>IF(BI123&gt;0,HLOOKUP(BI123,[1]Trav!$C$11:$O$31,$AU$166),0)</f>
        <v>14</v>
      </c>
      <c r="BJ169" s="190">
        <f>IF(BJ123&gt;0,HLOOKUP(BJ123,[1]Trav!$C$11:$O$31,$AU$166),0)</f>
        <v>14</v>
      </c>
      <c r="BK169" s="190">
        <f>IF(BK123&gt;0,HLOOKUP(BK123,[1]Trav!$C$11:$O$31,$AU$166),0)</f>
        <v>14</v>
      </c>
      <c r="BL169" s="190">
        <f>IF(BL123&gt;0,HLOOKUP(BL123,[1]Trav!$C$11:$O$31,$AU$166),0)</f>
        <v>14</v>
      </c>
      <c r="BM169" s="190">
        <f>IF(BM123&gt;0,HLOOKUP(BM123,[1]Trav!$C$11:$O$31,$AU$166),0)</f>
        <v>14</v>
      </c>
      <c r="BN169" s="190">
        <f>IF(BN123&gt;0,HLOOKUP(BN123,[1]Trav!$C$11:$O$31,$AU$166),0)</f>
        <v>14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7</v>
      </c>
      <c r="CE169" s="190">
        <f>IF(CE123&gt;0,HLOOKUP(CE123,[1]Trav!$C$11:$O$31,$AU$166),0)</f>
        <v>7</v>
      </c>
      <c r="CF169" s="190">
        <f>IF(CF123&gt;0,HLOOKUP(CF123,[1]Trav!$C$11:$O$31,$AU$166),0)</f>
        <v>7</v>
      </c>
      <c r="CG169" s="190">
        <f>IF(CG123&gt;0,HLOOKUP(CG123,[1]Trav!$C$11:$O$31,$AU$166),0)</f>
        <v>7</v>
      </c>
      <c r="CH169" s="190">
        <f>IF(CH123&gt;0,HLOOKUP(CH123,[1]Trav!$C$11:$O$31,$AU$166),0)</f>
        <v>7</v>
      </c>
      <c r="CI169" s="190">
        <f>IF(CI123&gt;0,HLOOKUP(CI123,[1]Trav!$C$11:$O$31,$AU$166),0)</f>
        <v>7</v>
      </c>
      <c r="CJ169" s="190">
        <f>IF(CJ123&gt;0,HLOOKUP(CJ123,[1]Trav!$C$11:$O$31,$AU$166),0)</f>
        <v>7</v>
      </c>
      <c r="CK169" s="190">
        <f>IF(CK123&gt;0,HLOOKUP(CK123,[1]Trav!$C$11:$O$31,$AU$166),0)</f>
        <v>7</v>
      </c>
      <c r="CL169" s="190">
        <f>IF(CL123&gt;0,HLOOKUP(CL123,[1]Trav!$C$11:$O$31,$AU$166),0)</f>
        <v>7</v>
      </c>
      <c r="CM169" s="190">
        <f>IF(CM123&gt;0,HLOOKUP(CM123,[1]Trav!$C$11:$O$31,$AU$166),0)</f>
        <v>7</v>
      </c>
      <c r="CN169" s="190">
        <f>IF(CN123&gt;0,HLOOKUP(CN123,[1]Trav!$C$11:$O$31,$AU$166),0)</f>
        <v>7</v>
      </c>
      <c r="CO169" s="190">
        <f>IF(CO123&gt;0,HLOOKUP(CO123,[1]Trav!$C$11:$O$31,$AU$166),0)</f>
        <v>7</v>
      </c>
      <c r="CP169" s="190">
        <f>IF(CP123&gt;0,HLOOKUP(CP123,[1]Trav!$C$11:$O$31,$AU$166),0)</f>
        <v>7</v>
      </c>
      <c r="CQ169" s="190">
        <f>IF(CQ123&gt;0,HLOOKUP(CQ123,[1]Trav!$C$11:$O$31,$AU$166),0)</f>
        <v>7</v>
      </c>
      <c r="CR169" s="190">
        <f>IF(CR123&gt;0,HLOOKUP(CR123,[1]Trav!$C$11:$O$31,$AU$166),0)</f>
        <v>7</v>
      </c>
      <c r="CS169" s="190">
        <f>IF(CS123&gt;0,HLOOKUP(CS123,[1]Trav!$C$11:$O$31,$AU$166),0)</f>
        <v>7</v>
      </c>
      <c r="CT169" s="190">
        <f>IF(CT123&gt;0,HLOOKUP(CT123,[1]Trav!$C$11:$O$31,$AU$166),0)</f>
        <v>7</v>
      </c>
      <c r="CU169" s="190">
        <f>IF(CU123&gt;0,HLOOKUP(CU123,[1]Trav!$C$11:$O$31,$AU$166),0)</f>
        <v>5.25</v>
      </c>
      <c r="CV169" s="190">
        <f>IF(CV123&gt;0,HLOOKUP(CV123,[1]Trav!$C$11:$O$31,$AU$166),0)</f>
        <v>5.25</v>
      </c>
      <c r="CW169" s="190">
        <f>IF(CW123&gt;0,HLOOKUP(CW123,[1]Trav!$C$11:$O$31,$AU$166),0)</f>
        <v>5.25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116.3062904394435</v>
      </c>
      <c r="D170" s="263">
        <f t="shared" si="50"/>
        <v>111.66564044684725</v>
      </c>
      <c r="AT170" s="189" t="str">
        <f t="shared" si="95"/>
        <v>beliers</v>
      </c>
      <c r="AV170" s="190">
        <f>IF(AV124&gt;0,HLOOKUP(AV124,[1]Trav!$C$11:$O$31,$AU$166),0)</f>
        <v>28</v>
      </c>
      <c r="AW170" s="190">
        <f>IF(AW124&gt;0,HLOOKUP(AW124,[1]Trav!$C$11:$O$31,$AU$166),0)</f>
        <v>28</v>
      </c>
      <c r="AX170" s="190">
        <f>IF(AX124&gt;0,HLOOKUP(AX124,[1]Trav!$C$11:$O$31,$AU$166),0)</f>
        <v>28</v>
      </c>
      <c r="AY170" s="190">
        <f>IF(AY124&gt;0,HLOOKUP(AY124,[1]Trav!$C$11:$O$31,$AU$166),0)</f>
        <v>28</v>
      </c>
      <c r="AZ170" s="190">
        <f>IF(AZ124&gt;0,HLOOKUP(AZ124,[1]Trav!$C$11:$O$31,$AU$166),0)</f>
        <v>28</v>
      </c>
      <c r="BA170" s="190">
        <f>IF(BA124&gt;0,HLOOKUP(BA124,[1]Trav!$C$11:$O$31,$AU$166),0)</f>
        <v>28</v>
      </c>
      <c r="BB170" s="190">
        <f>IF(BB124&gt;0,HLOOKUP(BB124,[1]Trav!$C$11:$O$31,$AU$166),0)</f>
        <v>28</v>
      </c>
      <c r="BC170" s="190">
        <f>IF(BC124&gt;0,HLOOKUP(BC124,[1]Trav!$C$11:$O$31,$AU$166),0)</f>
        <v>28</v>
      </c>
      <c r="BD170" s="190">
        <f>IF(BD124&gt;0,HLOOKUP(BD124,[1]Trav!$C$11:$O$31,$AU$166),0)</f>
        <v>21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28</v>
      </c>
      <c r="BP170" s="190">
        <f>IF(BP124&gt;0,HLOOKUP(BP124,[1]Trav!$C$11:$O$31,$AU$166),0)</f>
        <v>28</v>
      </c>
      <c r="BQ170" s="190">
        <f>IF(BQ124&gt;0,HLOOKUP(BQ124,[1]Trav!$C$11:$O$31,$AU$166),0)</f>
        <v>28</v>
      </c>
      <c r="BR170" s="190">
        <f>IF(BR124&gt;0,HLOOKUP(BR124,[1]Trav!$C$11:$O$31,$AU$166),0)</f>
        <v>28</v>
      </c>
      <c r="BS170" s="190">
        <f>IF(BS124&gt;0,HLOOKUP(BS124,[1]Trav!$C$11:$O$31,$AU$166),0)</f>
        <v>28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99.540999999999997</v>
      </c>
      <c r="D171" s="263">
        <f t="shared" si="50"/>
        <v>95.569289276807979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144.9</v>
      </c>
      <c r="D172" s="263">
        <f t="shared" si="50"/>
        <v>139.11845386533668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38.808709560556508</v>
      </c>
      <c r="D173" s="263">
        <f t="shared" si="50"/>
        <v>37.260232371107868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>
        <f>ROUND((1 -(C173/C169))*100,1)</f>
        <v>75</v>
      </c>
      <c r="D174" s="263">
        <f t="shared" si="50"/>
        <v>72.007481296758101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-45.359000000000009</v>
      </c>
      <c r="D175" s="263">
        <f>C175*$D$82/$C$82</f>
        <v>-43.549164588528683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45.359000000000009</v>
      </c>
      <c r="D176" s="263">
        <f>C176*$D$82/$C$82</f>
        <v>43.549164588528683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83</v>
      </c>
      <c r="D178" s="173">
        <f>ROUND((D170+D171)/(D170+D172),2)*100</f>
        <v>83</v>
      </c>
      <c r="AT178" s="40" t="s">
        <v>865</v>
      </c>
      <c r="AV178" s="173">
        <f>SUM(AV167:AV176)</f>
        <v>49</v>
      </c>
      <c r="AW178" s="173">
        <f t="shared" ref="AW178:BS178" si="98">SUM(AW167:AW176)</f>
        <v>49</v>
      </c>
      <c r="AX178" s="173">
        <f t="shared" si="98"/>
        <v>49</v>
      </c>
      <c r="AY178" s="173">
        <f t="shared" si="98"/>
        <v>63</v>
      </c>
      <c r="AZ178" s="173">
        <f t="shared" si="98"/>
        <v>63</v>
      </c>
      <c r="BA178" s="173">
        <f t="shared" si="98"/>
        <v>77</v>
      </c>
      <c r="BB178" s="173">
        <f t="shared" si="98"/>
        <v>77</v>
      </c>
      <c r="BC178" s="173">
        <f t="shared" si="98"/>
        <v>77</v>
      </c>
      <c r="BD178" s="173">
        <f t="shared" si="98"/>
        <v>70</v>
      </c>
      <c r="BE178" s="173">
        <f t="shared" si="98"/>
        <v>28</v>
      </c>
      <c r="BF178" s="173">
        <f t="shared" si="98"/>
        <v>28</v>
      </c>
      <c r="BG178" s="173">
        <f t="shared" si="98"/>
        <v>14</v>
      </c>
      <c r="BH178" s="173">
        <f t="shared" si="98"/>
        <v>14</v>
      </c>
      <c r="BI178" s="173">
        <f t="shared" si="98"/>
        <v>14</v>
      </c>
      <c r="BJ178" s="173">
        <f t="shared" si="98"/>
        <v>14</v>
      </c>
      <c r="BK178" s="173">
        <f t="shared" si="98"/>
        <v>14</v>
      </c>
      <c r="BL178" s="173">
        <f t="shared" si="98"/>
        <v>14</v>
      </c>
      <c r="BM178" s="173">
        <f t="shared" si="98"/>
        <v>14</v>
      </c>
      <c r="BN178" s="173">
        <f t="shared" si="98"/>
        <v>28</v>
      </c>
      <c r="BO178" s="173">
        <f t="shared" si="98"/>
        <v>63</v>
      </c>
      <c r="BP178" s="173">
        <f t="shared" si="98"/>
        <v>49</v>
      </c>
      <c r="BQ178" s="173">
        <f t="shared" si="98"/>
        <v>49</v>
      </c>
      <c r="BR178" s="173">
        <f t="shared" si="98"/>
        <v>49</v>
      </c>
      <c r="BS178" s="173">
        <f t="shared" si="98"/>
        <v>49</v>
      </c>
      <c r="CA178" s="40" t="s">
        <v>865</v>
      </c>
      <c r="CB178" s="173">
        <f>SUM(CB167:CB176)</f>
        <v>21</v>
      </c>
      <c r="CC178" s="173">
        <f t="shared" ref="CC178:CY178" si="99">SUM(CC167:CC176)</f>
        <v>21</v>
      </c>
      <c r="CD178" s="173">
        <f t="shared" si="99"/>
        <v>28</v>
      </c>
      <c r="CE178" s="173">
        <f t="shared" si="99"/>
        <v>28</v>
      </c>
      <c r="CF178" s="173">
        <f t="shared" si="99"/>
        <v>28</v>
      </c>
      <c r="CG178" s="173">
        <f t="shared" si="99"/>
        <v>49</v>
      </c>
      <c r="CH178" s="173">
        <f t="shared" si="99"/>
        <v>42</v>
      </c>
      <c r="CI178" s="173">
        <f t="shared" si="99"/>
        <v>42</v>
      </c>
      <c r="CJ178" s="173">
        <f t="shared" si="99"/>
        <v>49</v>
      </c>
      <c r="CK178" s="173">
        <f t="shared" si="99"/>
        <v>49</v>
      </c>
      <c r="CL178" s="173">
        <f t="shared" si="99"/>
        <v>56</v>
      </c>
      <c r="CM178" s="173">
        <f t="shared" si="99"/>
        <v>56</v>
      </c>
      <c r="CN178" s="173">
        <f t="shared" si="99"/>
        <v>56</v>
      </c>
      <c r="CO178" s="173">
        <f t="shared" si="99"/>
        <v>49</v>
      </c>
      <c r="CP178" s="173">
        <f t="shared" si="99"/>
        <v>49</v>
      </c>
      <c r="CQ178" s="173">
        <f t="shared" si="99"/>
        <v>49</v>
      </c>
      <c r="CR178" s="173">
        <f t="shared" si="99"/>
        <v>56</v>
      </c>
      <c r="CS178" s="173">
        <f t="shared" si="99"/>
        <v>56</v>
      </c>
      <c r="CT178" s="173">
        <f t="shared" si="99"/>
        <v>49</v>
      </c>
      <c r="CU178" s="173">
        <f t="shared" si="99"/>
        <v>47.25</v>
      </c>
      <c r="CV178" s="173">
        <f t="shared" si="99"/>
        <v>40.25</v>
      </c>
      <c r="CW178" s="173">
        <f t="shared" si="99"/>
        <v>40.25</v>
      </c>
      <c r="CX178" s="173">
        <f t="shared" si="99"/>
        <v>21</v>
      </c>
      <c r="CY178" s="173">
        <f t="shared" si="99"/>
        <v>21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49</v>
      </c>
      <c r="D179" s="263">
        <f>C179*$D$82/$C$82</f>
        <v>47.044887780548628</v>
      </c>
    </row>
    <row r="180" spans="1:132" x14ac:dyDescent="0.25">
      <c r="B180" s="14" t="s">
        <v>1290</v>
      </c>
      <c r="C180" s="173">
        <f>SUM('Calcul éco'!D19:D21)</f>
        <v>0</v>
      </c>
      <c r="D180" s="263">
        <f>C180*$D$82/$C$82</f>
        <v>0</v>
      </c>
    </row>
    <row r="181" spans="1:132" x14ac:dyDescent="0.25">
      <c r="B181" s="14" t="s">
        <v>1291</v>
      </c>
      <c r="C181" s="173">
        <f>ROUND(C180/C179,2)*100</f>
        <v>0</v>
      </c>
      <c r="D181" s="173">
        <f>ROUND(D180/D179,2)*100</f>
        <v>0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9365</v>
      </c>
      <c r="D183" s="264">
        <f>ROUND(D184*D185,0)</f>
        <v>9010</v>
      </c>
      <c r="E183" s="17" t="s">
        <v>1295</v>
      </c>
    </row>
    <row r="184" spans="1:132" x14ac:dyDescent="0.25">
      <c r="B184" s="14" t="s">
        <v>1296</v>
      </c>
      <c r="C184" s="173">
        <f>Protection!AK26</f>
        <v>39.099999999999994</v>
      </c>
      <c r="D184" s="265">
        <f>C184*D82/C82</f>
        <v>37.539900249376551</v>
      </c>
    </row>
    <row r="185" spans="1:132" x14ac:dyDescent="0.25">
      <c r="B185" s="14" t="s">
        <v>1297</v>
      </c>
      <c r="C185" s="173">
        <f>IF(C183=0,0,ROUND(C183/C184,0))</f>
        <v>240</v>
      </c>
      <c r="D185" s="173">
        <f>C185</f>
        <v>240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1</v>
      </c>
      <c r="D187" s="173">
        <f>C187</f>
        <v>1</v>
      </c>
    </row>
    <row r="188" spans="1:132" x14ac:dyDescent="0.25">
      <c r="B188" s="14" t="s">
        <v>1300</v>
      </c>
      <c r="C188" s="173">
        <f>'Calcul éco'!T236</f>
        <v>0</v>
      </c>
      <c r="D188" s="173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10</v>
      </c>
      <c r="D189" s="173">
        <f t="shared" si="101"/>
        <v>10</v>
      </c>
      <c r="AH189" s="15"/>
      <c r="AJ189" s="14" t="s">
        <v>1114</v>
      </c>
      <c r="AK189" s="30">
        <f>D189</f>
        <v>10</v>
      </c>
      <c r="AO189" s="173">
        <f>ROUND((([1]Protect!$B$5/[1]Protect!$B$11)+[1]Protect!$B$8)*AK189,0)</f>
        <v>9043</v>
      </c>
    </row>
    <row r="190" spans="1:132" x14ac:dyDescent="0.25">
      <c r="B190" s="14" t="s">
        <v>1302</v>
      </c>
      <c r="C190" s="173">
        <f>'Calcul éco'!T246*(30)</f>
        <v>210</v>
      </c>
      <c r="D190" s="173">
        <f>C190</f>
        <v>210</v>
      </c>
      <c r="AH190" s="15"/>
      <c r="AJ190" s="14" t="s">
        <v>1115</v>
      </c>
      <c r="AK190" s="30">
        <f>D190/30</f>
        <v>7</v>
      </c>
      <c r="AN190" s="173">
        <f>[1]Eco!$B$106*[1]Eco!$B$108*[1]Eco!$B$109</f>
        <v>2551.2000000000003</v>
      </c>
      <c r="AO190" s="173">
        <f>AK190*AN190</f>
        <v>17858.400000000001</v>
      </c>
    </row>
    <row r="191" spans="1:132" x14ac:dyDescent="0.25">
      <c r="B191" s="14" t="s">
        <v>1303</v>
      </c>
      <c r="C191" s="198">
        <f>ROUND(SUM(Travail!F69:F74)/8,1)</f>
        <v>34.4</v>
      </c>
      <c r="D191" s="173">
        <f>C191</f>
        <v>34.4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98</v>
      </c>
      <c r="AN191" s="173">
        <f>[1]Eco!$B$111</f>
        <v>28.3</v>
      </c>
      <c r="AO191" s="173">
        <f>AK191*AN191</f>
        <v>2773.4</v>
      </c>
    </row>
    <row r="192" spans="1:132" x14ac:dyDescent="0.25">
      <c r="B192" s="14" t="s">
        <v>1307</v>
      </c>
      <c r="C192" s="173">
        <f>(Travail!F83+Travail!F84)/8</f>
        <v>1.325</v>
      </c>
      <c r="D192" s="266">
        <f>ROUND((D183/1000)*([1]Protect!$B$25*8/10+[1]Protect!$B$26),2)/8</f>
        <v>1.2725</v>
      </c>
      <c r="E192" s="17" t="s">
        <v>1308</v>
      </c>
      <c r="I192" s="5"/>
      <c r="AN192" s="14" t="s">
        <v>1117</v>
      </c>
      <c r="AO192" s="173">
        <f>SUM(AO189:AO191)</f>
        <v>29674.800000000003</v>
      </c>
    </row>
    <row r="193" spans="1:43" x14ac:dyDescent="0.25">
      <c r="B193" s="14" t="s">
        <v>1309</v>
      </c>
      <c r="C193" s="173">
        <f>(Travail!F75+Travail!F76+Travail!F81)/8</f>
        <v>28.5</v>
      </c>
      <c r="D193" s="173">
        <f>C193</f>
        <v>28.5</v>
      </c>
      <c r="I193" s="32" t="s">
        <v>1310</v>
      </c>
      <c r="J193" s="5">
        <f>D65</f>
        <v>18.242000000000001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291.87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102379</v>
      </c>
      <c r="D194" s="261">
        <f>ROUND(C194*D$82/C$82,0)</f>
        <v>98294</v>
      </c>
      <c r="I194" s="32" t="s">
        <v>1315</v>
      </c>
      <c r="J194" s="5">
        <f>J193/IF(Scénario!K2="Exploit. Ind.",1,Scénario!K3)</f>
        <v>18.242000000000001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291.87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78209</v>
      </c>
      <c r="D195" s="261">
        <f t="shared" ref="D195:D200" si="102">ROUND(C195*D$82/C$82,0)</f>
        <v>75088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éco'!K9:K15)-'Calcul éco'!K16,0)</f>
        <v>14002</v>
      </c>
      <c r="D197" s="261">
        <f t="shared" si="102"/>
        <v>13443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18.242000000000001</v>
      </c>
      <c r="J198" s="173">
        <f>H198*I198</f>
        <v>3028.172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291.87</v>
      </c>
      <c r="W198" s="214">
        <f>U198*V198</f>
        <v>7092.4410000000007</v>
      </c>
      <c r="AI198" s="40" t="s">
        <v>1120</v>
      </c>
      <c r="AJ198" s="4">
        <f>IF(Troupeau!B3="OL",L223,0)*Scénario!K56</f>
        <v>230.42394014962593</v>
      </c>
      <c r="AO198" s="40" t="s">
        <v>1121</v>
      </c>
      <c r="AP198">
        <f>IF(Troupeau!B3="OL",D63,0)</f>
        <v>291.87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12619</v>
      </c>
      <c r="D199" s="261">
        <f t="shared" si="102"/>
        <v>12115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7092.4410000000007</v>
      </c>
      <c r="AI200" s="14" t="s">
        <v>1123</v>
      </c>
      <c r="AJ200" s="30">
        <f>IF(AJ198&lt;151,1,0)</f>
        <v>0</v>
      </c>
      <c r="AK200" s="173">
        <f>IF(AJ200=0,0,[1]Protect!B76)</f>
        <v>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3154</v>
      </c>
      <c r="D201" s="264">
        <f>J201</f>
        <v>3028.172</v>
      </c>
      <c r="E201" s="17" t="s">
        <v>1324</v>
      </c>
      <c r="I201" s="40" t="s">
        <v>949</v>
      </c>
      <c r="J201" s="62">
        <f>SUM(J198:J200)*IF(Scénario!K2="Exploit. Ind.",1,Scénario!K3)</f>
        <v>3028.172</v>
      </c>
      <c r="AI201" s="14" t="s">
        <v>1125</v>
      </c>
      <c r="AJ201" s="30">
        <f>IF(AND(150 &lt;AJ$198,AJ$198&lt;451),1,0)</f>
        <v>1</v>
      </c>
      <c r="AK201" s="173">
        <f>IF(AJ201=0,0,[1]Protect!B77)</f>
        <v>12500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0</v>
      </c>
      <c r="AK202" s="173">
        <f>IF(AJ202=0,0,[1]Protect!B78)</f>
        <v>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7387.2</v>
      </c>
      <c r="D203" s="264">
        <f>ROUND(W200,0)</f>
        <v>7092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3">
        <f>IF(AJ203=0,0,[1]Protect!B79)</f>
        <v>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27.843</v>
      </c>
      <c r="K205" s="173">
        <v>1</v>
      </c>
      <c r="L205" s="173">
        <f>J205*K205</f>
        <v>27.843</v>
      </c>
      <c r="T205" s="5"/>
      <c r="U205" s="5"/>
      <c r="V205" s="36"/>
      <c r="W205" s="5"/>
      <c r="X205" s="14" t="s">
        <v>966</v>
      </c>
      <c r="Y205" s="190">
        <f>'Calcul éco'!AC36</f>
        <v>258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9203</v>
      </c>
      <c r="D206" s="261">
        <f>ROUND(C206*D$82/C$82,0)</f>
        <v>8836</v>
      </c>
      <c r="I206" s="14" t="s">
        <v>270</v>
      </c>
      <c r="J206" s="173">
        <f>D80</f>
        <v>10.657</v>
      </c>
      <c r="K206" s="173">
        <f>[1]Eco!$B$22/100</f>
        <v>0.6</v>
      </c>
      <c r="L206" s="173">
        <f t="shared" ref="L206" si="104">J206*K206</f>
        <v>6.3941999999999997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2548</v>
      </c>
      <c r="D207" s="264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328</v>
      </c>
      <c r="Z207" s="173">
        <f>X207*Y207</f>
        <v>8200</v>
      </c>
      <c r="AF207" s="23" t="s">
        <v>1133</v>
      </c>
      <c r="AL207" s="173">
        <f>IF(Scénario!K84=2,AL209,IF(Scénario!K84=1,AL208,0))</f>
        <v>10000</v>
      </c>
      <c r="AQ207" s="5"/>
    </row>
    <row r="208" spans="1:43" x14ac:dyDescent="0.25">
      <c r="B208" s="211" t="s">
        <v>987</v>
      </c>
      <c r="C208" s="173">
        <f>ROUND('Calcul éco'!J44,0)</f>
        <v>6357</v>
      </c>
      <c r="D208" s="261">
        <f>ROUND(C208*D$82/C$82,0)</f>
        <v>6103</v>
      </c>
      <c r="S208" s="14" t="s">
        <v>978</v>
      </c>
      <c r="T208" s="30">
        <f>L212</f>
        <v>91.094307231920197</v>
      </c>
      <c r="W208" s="14" t="s">
        <v>979</v>
      </c>
      <c r="X208" s="173">
        <f>IF(T208&gt;50,25,IF(T208&gt;25,T208-25,0))</f>
        <v>25</v>
      </c>
      <c r="Y208" s="173">
        <f>Y209+0.66*Y205</f>
        <v>240.28</v>
      </c>
      <c r="Z208" s="173">
        <f t="shared" ref="Z208:Z209" si="105">X208*Y208</f>
        <v>6007</v>
      </c>
      <c r="AF208" s="5"/>
      <c r="AK208" s="14" t="s">
        <v>1134</v>
      </c>
      <c r="AL208" s="173">
        <f>IF(AO192&lt;SUM(AK200:AK204),AO192,SUM(AK200:AK204))</f>
        <v>12500</v>
      </c>
      <c r="AQ208" s="245"/>
    </row>
    <row r="209" spans="1:43" x14ac:dyDescent="0.25">
      <c r="B209" s="19" t="s">
        <v>989</v>
      </c>
      <c r="C209" s="173">
        <f>ROUND('Calcul éco'!J45,0)</f>
        <v>15957</v>
      </c>
      <c r="D209" s="264">
        <f>IF(Scénario!K9=0,0,ROUND(Z210,0))</f>
        <v>15957</v>
      </c>
      <c r="E209" s="17" t="s">
        <v>1327</v>
      </c>
      <c r="K209" s="40" t="s">
        <v>988</v>
      </c>
      <c r="L209" s="62">
        <f>SUM(L205:L206)</f>
        <v>34.237200000000001</v>
      </c>
      <c r="W209" s="14" t="s">
        <v>980</v>
      </c>
      <c r="X209" s="173">
        <f>IF(T208&gt;75,25,IF(T208&gt;50,T208-50,0))</f>
        <v>25</v>
      </c>
      <c r="Y209" s="190">
        <f>[1]Eco!$B$34</f>
        <v>70</v>
      </c>
      <c r="Z209" s="173">
        <f t="shared" si="105"/>
        <v>1750</v>
      </c>
      <c r="AF209" s="5"/>
      <c r="AK209" s="14" t="s">
        <v>1135</v>
      </c>
      <c r="AL209" s="173">
        <f>IF(AO192&lt;SUM(AQ200:AQ204),AO192,SUM(AQ200:AQ204))</f>
        <v>10000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12500</v>
      </c>
      <c r="D210" s="264">
        <f>ROUND(AL207,0)</f>
        <v>10000</v>
      </c>
      <c r="E210" s="17" t="s">
        <v>1329</v>
      </c>
      <c r="K210" s="14" t="s">
        <v>990</v>
      </c>
      <c r="L210" s="173">
        <f>J221</f>
        <v>56.857107231920189</v>
      </c>
      <c r="Y210" s="40" t="s">
        <v>949</v>
      </c>
      <c r="Z210" s="62">
        <f>SUM(Z207:Z209)*IF(Scénario!K2="Exploit. Ind.",1,Scénario!K3)</f>
        <v>15957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57106.2</v>
      </c>
      <c r="D211" s="264">
        <f>ROUND(SUM(D201:D210),0)</f>
        <v>53564</v>
      </c>
      <c r="E211" s="17" t="s">
        <v>1331</v>
      </c>
      <c r="K211" s="40" t="s">
        <v>995</v>
      </c>
      <c r="L211" s="62">
        <f>L209+L210</f>
        <v>91.094307231920197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24892.400000000001</v>
      </c>
      <c r="D212" s="261">
        <f>ROUND(C212*D$82/C$82,0)</f>
        <v>23899</v>
      </c>
      <c r="K212" s="40" t="s">
        <v>1334</v>
      </c>
      <c r="L212" s="62">
        <f>L211/IF(Scénario!K2="Exploit. Ind.",1,Scénario!K3)</f>
        <v>91.094307231920197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7353.1</v>
      </c>
      <c r="D214" s="261">
        <f t="shared" si="106"/>
        <v>7060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32246</v>
      </c>
      <c r="D216" s="261">
        <f t="shared" si="106"/>
        <v>30959</v>
      </c>
      <c r="G216" s="14" t="s">
        <v>568</v>
      </c>
      <c r="H216" s="14" t="str">
        <f>Troupeau!B3</f>
        <v>OL</v>
      </c>
      <c r="I216" s="30">
        <f>'Calcul éco'!S50</f>
        <v>126</v>
      </c>
      <c r="J216" s="48">
        <f>I216*D$82/C$82</f>
        <v>120.97256857855361</v>
      </c>
      <c r="K216" s="223"/>
      <c r="L216" s="223"/>
      <c r="AF216" s="5"/>
      <c r="AI216" s="14" t="s">
        <v>1140</v>
      </c>
      <c r="AJ216" s="173">
        <f>D183*[1]Protect!$B$17/100</f>
        <v>135.15</v>
      </c>
      <c r="AK216" s="173"/>
      <c r="AL216" s="173"/>
      <c r="AM216" s="173">
        <f>'Calcul éco'!W272</f>
        <v>6</v>
      </c>
      <c r="AN216" s="173">
        <f>AJ216*AM216</f>
        <v>810.90000000000009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2426.433</v>
      </c>
      <c r="D217" s="261">
        <f t="shared" si="106"/>
        <v>2330</v>
      </c>
      <c r="G217" s="19" t="s">
        <v>601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14093.489000000001</v>
      </c>
      <c r="D218" s="261">
        <f t="shared" si="106"/>
        <v>13531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2</v>
      </c>
      <c r="AK218" s="173"/>
      <c r="AL218" s="173"/>
      <c r="AM218" s="173">
        <f>'Calcul éco'!W274</f>
        <v>100</v>
      </c>
      <c r="AN218" s="173">
        <f>AJ218*AM218</f>
        <v>200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9043</v>
      </c>
      <c r="D219" s="261">
        <f t="shared" si="106"/>
        <v>8682</v>
      </c>
      <c r="K219" s="4"/>
      <c r="AF219" s="5"/>
      <c r="AG219" s="247"/>
      <c r="AI219" s="14" t="s">
        <v>1103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1042.8499999999999</v>
      </c>
      <c r="D220" s="264">
        <f>SUM(AN215:AN219)</f>
        <v>1010.9000000000001</v>
      </c>
      <c r="E220" s="17" t="s">
        <v>1345</v>
      </c>
      <c r="H220" s="14" t="s">
        <v>1000</v>
      </c>
      <c r="I220" s="30">
        <f>SUM(I216:I219)</f>
        <v>126</v>
      </c>
      <c r="J220" s="30">
        <f>SUM(J216:J219)</f>
        <v>120.97256857855361</v>
      </c>
    </row>
    <row r="221" spans="1:43" x14ac:dyDescent="0.25">
      <c r="B221" s="14" t="s">
        <v>1346</v>
      </c>
      <c r="C221" s="173">
        <f>ROUND(SUM(C216:C220),0)</f>
        <v>58852</v>
      </c>
      <c r="D221" s="264">
        <f>ROUND(SUM(D216:D220),0)</f>
        <v>56513</v>
      </c>
      <c r="E221" s="17" t="s">
        <v>1345</v>
      </c>
      <c r="H221" s="14" t="s">
        <v>1001</v>
      </c>
      <c r="I221" s="30">
        <f>I220*[1]Eco!$B$25</f>
        <v>59.22</v>
      </c>
      <c r="J221" s="30">
        <f>J220*[1]Eco!$B$25</f>
        <v>56.857107231920189</v>
      </c>
    </row>
    <row r="222" spans="1:43" x14ac:dyDescent="0.25">
      <c r="A222" s="2" t="s">
        <v>1067</v>
      </c>
      <c r="B222" s="14" t="s">
        <v>1347</v>
      </c>
      <c r="C222" s="173">
        <f>'Calcul éco'!J149</f>
        <v>945.40000000000009</v>
      </c>
      <c r="D222" s="261">
        <f>ROUND(C222*D$82/C$82,0)</f>
        <v>908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1500</v>
      </c>
      <c r="D223" s="173">
        <f>C223</f>
        <v>1500</v>
      </c>
      <c r="J223" s="14" t="s">
        <v>1349</v>
      </c>
      <c r="K223" s="30">
        <f>Scénario!K55/0.15</f>
        <v>240</v>
      </c>
      <c r="L223" s="30">
        <f>K223*'Synthèse résultats'!D$82/'Synthèse résultats'!C$82</f>
        <v>230.42394014962593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19182</v>
      </c>
      <c r="D224" s="173">
        <f>C224</f>
        <v>19182</v>
      </c>
      <c r="G224" s="14"/>
      <c r="H224" s="14"/>
      <c r="J224" s="14" t="s">
        <v>1350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9010</v>
      </c>
      <c r="AL225" t="s">
        <v>1101</v>
      </c>
      <c r="AM225" s="173"/>
      <c r="AN225" s="173">
        <f>[1]Protect!$B$4</f>
        <v>6</v>
      </c>
      <c r="AO225" s="173">
        <f>AK225*AN225</f>
        <v>54060</v>
      </c>
    </row>
    <row r="226" spans="1:49" x14ac:dyDescent="0.25">
      <c r="B226" s="14" t="s">
        <v>1074</v>
      </c>
      <c r="C226" s="173">
        <f>'Calcul éco'!J153</f>
        <v>16000</v>
      </c>
      <c r="D226" s="261">
        <f>ROUND(C226*D$82/C$82,0)</f>
        <v>15362</v>
      </c>
      <c r="G226" s="14"/>
      <c r="H226" s="14"/>
      <c r="AJ226" s="14" t="s">
        <v>1102</v>
      </c>
      <c r="AK226" s="30">
        <f>D187</f>
        <v>1</v>
      </c>
      <c r="AN226" s="173">
        <f>[1]Protect!$B$83</f>
        <v>2000</v>
      </c>
      <c r="AO226" s="173">
        <f t="shared" ref="AO226:AO227" si="108">AK226*AN226</f>
        <v>2000</v>
      </c>
    </row>
    <row r="227" spans="1:49" x14ac:dyDescent="0.25">
      <c r="B227" s="14" t="s">
        <v>1076</v>
      </c>
      <c r="C227" s="173">
        <f>'Calcul éco'!J154</f>
        <v>8430.2999999999993</v>
      </c>
      <c r="D227" s="261">
        <f t="shared" ref="D227:D233" si="109">ROUND(C227*D$82/C$82,0)</f>
        <v>8094</v>
      </c>
      <c r="AJ227" s="14" t="s">
        <v>1103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56060</v>
      </c>
      <c r="AQ228" s="30">
        <f>IF(Scénario!K84=1,MIN(0.8*AO228,[1]Protect!$B$68),IF(Scénario!K84=2,MIN(0.8*AO228,[1]Protect!$B$67),0))</f>
        <v>15500</v>
      </c>
      <c r="AR228" s="30">
        <f>AO228-AQ228</f>
        <v>40560</v>
      </c>
      <c r="AS228" s="30">
        <f>(1-Scénario!K127/100)*AR228</f>
        <v>40560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-136.83599999999998</v>
      </c>
      <c r="D230" s="261">
        <f t="shared" si="109"/>
        <v>-131</v>
      </c>
    </row>
    <row r="231" spans="1:49" x14ac:dyDescent="0.25">
      <c r="B231" s="14" t="s">
        <v>1083</v>
      </c>
      <c r="C231" s="173">
        <f>'Calcul éco'!J159</f>
        <v>0</v>
      </c>
      <c r="D231" s="261">
        <f t="shared" si="109"/>
        <v>0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0</v>
      </c>
      <c r="D232" s="261">
        <f t="shared" si="109"/>
        <v>0</v>
      </c>
    </row>
    <row r="233" spans="1:49" x14ac:dyDescent="0.25">
      <c r="B233" s="14" t="s">
        <v>1085</v>
      </c>
      <c r="C233" s="173">
        <f>'Calcul éco'!J161</f>
        <v>-65.267999999999986</v>
      </c>
      <c r="D233" s="261">
        <f t="shared" si="109"/>
        <v>-63</v>
      </c>
    </row>
    <row r="234" spans="1:49" x14ac:dyDescent="0.25">
      <c r="B234" s="14" t="s">
        <v>1352</v>
      </c>
      <c r="C234" s="173">
        <f>'Calcul éco'!J166</f>
        <v>17858.400000000001</v>
      </c>
      <c r="D234" s="173">
        <f>C234</f>
        <v>17858.400000000001</v>
      </c>
    </row>
    <row r="235" spans="1:49" x14ac:dyDescent="0.25">
      <c r="B235" s="14" t="s">
        <v>1353</v>
      </c>
      <c r="C235" s="173">
        <f>'Calcul éco'!J167</f>
        <v>4938.6980000000003</v>
      </c>
      <c r="D235" s="264">
        <f>(D191+D192)*8*[1]Eco!$B$106</f>
        <v>3033.5894000000003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68653</v>
      </c>
      <c r="D236" s="264">
        <f>ROUND(SUM(D222:D235),0)</f>
        <v>65744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31980.200000000012</v>
      </c>
      <c r="D237" s="264">
        <f>D194+D211-D221-D236</f>
        <v>29601</v>
      </c>
    </row>
    <row r="238" spans="1:49" x14ac:dyDescent="0.25">
      <c r="B238" s="211" t="s">
        <v>1090</v>
      </c>
      <c r="C238" s="173">
        <f>ROUND(C237/Scénario!$K$4,0)</f>
        <v>15990</v>
      </c>
      <c r="D238" s="264">
        <f>ROUND(D237/D83,0)</f>
        <v>14801</v>
      </c>
    </row>
    <row r="239" spans="1:49" x14ac:dyDescent="0.25">
      <c r="B239" s="211" t="s">
        <v>1091</v>
      </c>
      <c r="C239" s="173">
        <f>'Calcul éco'!B177</f>
        <v>11000</v>
      </c>
      <c r="D239" s="264">
        <f>C239</f>
        <v>11000</v>
      </c>
    </row>
    <row r="240" spans="1:49" x14ac:dyDescent="0.25">
      <c r="B240" s="211" t="s">
        <v>1092</v>
      </c>
      <c r="C240" s="267">
        <f>'Calcul éco'!B178</f>
        <v>5263.2904134535283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15717</v>
      </c>
      <c r="D241" s="268">
        <f>ROUND(D237-D239-D240,0)</f>
        <v>18601</v>
      </c>
    </row>
    <row r="242" spans="1:15" x14ac:dyDescent="0.25">
      <c r="B242" s="211" t="s">
        <v>1094</v>
      </c>
      <c r="C242" s="173">
        <f>ROUND(C241/Scénario!K4,0)</f>
        <v>7859</v>
      </c>
      <c r="D242" s="264">
        <f>ROUND(D241/D83,0)</f>
        <v>9301</v>
      </c>
    </row>
    <row r="243" spans="1:15" x14ac:dyDescent="0.25">
      <c r="B243" s="211" t="s">
        <v>1357</v>
      </c>
      <c r="C243" s="173">
        <f>'Calcul éco'!X237+'Calcul éco'!X240</f>
        <v>58190</v>
      </c>
      <c r="D243" s="173">
        <f>C243</f>
        <v>58190</v>
      </c>
    </row>
    <row r="244" spans="1:15" x14ac:dyDescent="0.25">
      <c r="B244" s="211" t="s">
        <v>1358</v>
      </c>
      <c r="C244" s="173">
        <f>'Calcul éco'!AA237+'Calcul éco'!AA240</f>
        <v>42690</v>
      </c>
      <c r="D244" s="173">
        <f>C244</f>
        <v>42690</v>
      </c>
    </row>
    <row r="245" spans="1:15" x14ac:dyDescent="0.25">
      <c r="A245" s="2" t="s">
        <v>1359</v>
      </c>
      <c r="B245" s="14" t="s">
        <v>568</v>
      </c>
      <c r="C245" s="270">
        <f>Travail!F5</f>
        <v>1015</v>
      </c>
      <c r="D245" s="173">
        <f>C245</f>
        <v>1015</v>
      </c>
    </row>
    <row r="246" spans="1:15" x14ac:dyDescent="0.25">
      <c r="B246" s="14" t="s">
        <v>601</v>
      </c>
      <c r="C246" s="270">
        <f>Travail!F6</f>
        <v>189</v>
      </c>
      <c r="D246" s="173">
        <f t="shared" ref="D246:D247" si="112">C246</f>
        <v>189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871.15547826086947</v>
      </c>
      <c r="D248" s="264">
        <f>ROUND(SUM(AV163:BS163),1)</f>
        <v>862.4</v>
      </c>
    </row>
    <row r="249" spans="1:15" x14ac:dyDescent="0.25">
      <c r="B249" s="14" t="s">
        <v>601</v>
      </c>
      <c r="C249" s="270">
        <f>Travail!F10</f>
        <v>504</v>
      </c>
      <c r="D249" s="264">
        <f>SUM(CB163:CY163)</f>
        <v>504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784</v>
      </c>
      <c r="D251" s="173">
        <f>C251</f>
        <v>784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0</v>
      </c>
      <c r="D252" s="173">
        <f t="shared" ref="D252:D253" si="113">C252</f>
        <v>0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0</v>
      </c>
      <c r="L253" s="190">
        <f>IF(K253&gt;[1]Trav!$E$116,[1]Trav!C116,[1]Trav!B116)</f>
        <v>11</v>
      </c>
      <c r="M253" s="5"/>
      <c r="N253" s="274"/>
      <c r="O253">
        <f>K253*L253</f>
        <v>0</v>
      </c>
    </row>
    <row r="254" spans="1:15" x14ac:dyDescent="0.25">
      <c r="A254" s="43" t="s">
        <v>761</v>
      </c>
      <c r="B254" s="14" t="s">
        <v>568</v>
      </c>
      <c r="C254" s="270">
        <f>Travail!F20</f>
        <v>0</v>
      </c>
      <c r="D254" s="173">
        <f>Travail!G20</f>
        <v>0</v>
      </c>
      <c r="J254" s="14" t="s">
        <v>785</v>
      </c>
      <c r="K254" s="173">
        <f>D90</f>
        <v>0.96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15.071999999999999</v>
      </c>
    </row>
    <row r="255" spans="1:15" x14ac:dyDescent="0.25">
      <c r="A255" s="43"/>
      <c r="B255" s="14" t="s">
        <v>601</v>
      </c>
      <c r="C255" s="270">
        <f>Travail!F21</f>
        <v>0</v>
      </c>
      <c r="D255" s="173">
        <f>Travail!G21</f>
        <v>0</v>
      </c>
      <c r="J255" s="32" t="s">
        <v>787</v>
      </c>
      <c r="K255" s="173">
        <f>D73/[1]Trav!$B$124</f>
        <v>1.2</v>
      </c>
      <c r="L255" s="190">
        <f>IF(K255&gt;[1]Trav!E118,[1]Trav!C118,[1]Trav!B118)</f>
        <v>3.7</v>
      </c>
      <c r="N255" s="274"/>
      <c r="O255">
        <f t="shared" si="114"/>
        <v>4.4400000000000004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528</v>
      </c>
      <c r="D257" s="261">
        <f>ROUND(C257*D$82/C$82,0)</f>
        <v>507</v>
      </c>
      <c r="E257" s="17" t="s">
        <v>1360</v>
      </c>
      <c r="J257" s="32" t="s">
        <v>789</v>
      </c>
      <c r="K257" s="173">
        <f>D72+D73+D75</f>
        <v>26.882000000000001</v>
      </c>
      <c r="L257" s="190">
        <f>IF(K257&gt;[1]Trav!E119,[1]Trav!C119,[1]Trav!B119)</f>
        <v>1.4</v>
      </c>
      <c r="N257" s="274"/>
      <c r="O257">
        <f t="shared" si="114"/>
        <v>37.634799999999998</v>
      </c>
    </row>
    <row r="258" spans="1:15" x14ac:dyDescent="0.25">
      <c r="A258" s="2"/>
      <c r="B258" s="14" t="s">
        <v>601</v>
      </c>
      <c r="C258" s="270">
        <f>Travail!F32</f>
        <v>84</v>
      </c>
      <c r="D258" s="261">
        <f t="shared" ref="D258:D259" si="115">ROUND(C258*D$82/C$82,0)</f>
        <v>81</v>
      </c>
      <c r="E258" s="17"/>
      <c r="J258" s="32" t="s">
        <v>790</v>
      </c>
      <c r="K258" s="173">
        <f>D85*((100-Scénario!K31)/100)</f>
        <v>16.677000000000003</v>
      </c>
      <c r="L258" s="190">
        <f>IF(K258&gt;[1]Trav!E121,[1]Trav!C121,[1]Trav!B121)</f>
        <v>7.2</v>
      </c>
      <c r="N258" s="274"/>
      <c r="O258">
        <f t="shared" si="114"/>
        <v>120.07440000000003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15.362</v>
      </c>
      <c r="L259" s="190">
        <f>IF(K259&gt;[1]Trav!E121,[1]Trav!C121,[1]Trav!B121)</f>
        <v>7.2</v>
      </c>
      <c r="N259" s="274"/>
      <c r="O259">
        <f t="shared" si="114"/>
        <v>110.60640000000001</v>
      </c>
    </row>
    <row r="260" spans="1:15" x14ac:dyDescent="0.25">
      <c r="A260" s="2" t="s">
        <v>767</v>
      </c>
      <c r="B260" s="14" t="s">
        <v>568</v>
      </c>
      <c r="C260" s="270">
        <f>ROUND(Travail!F35,0)</f>
        <v>900</v>
      </c>
      <c r="D260" s="264">
        <f>ROUND(Travail!B35+(Travail!D35*Travail!C35*'Synthèse résultats'!G63),0)</f>
        <v>873</v>
      </c>
      <c r="E260" s="17" t="s">
        <v>1361</v>
      </c>
      <c r="J260" s="32" t="s">
        <v>792</v>
      </c>
      <c r="K260" s="173">
        <f>D87</f>
        <v>0</v>
      </c>
      <c r="L260" s="190">
        <f>IF(K260&gt;[1]Trav!E121,[1]Trav!C121,[1]Trav!B121)</f>
        <v>7.2</v>
      </c>
      <c r="N260" s="274"/>
      <c r="O260">
        <f t="shared" si="114"/>
        <v>0</v>
      </c>
    </row>
    <row r="261" spans="1:15" x14ac:dyDescent="0.25">
      <c r="A261" s="2" t="s">
        <v>772</v>
      </c>
      <c r="B261" s="14" t="s">
        <v>568</v>
      </c>
      <c r="C261" s="270">
        <f>Travail!F39</f>
        <v>1442</v>
      </c>
      <c r="D261" s="261">
        <f>ROUND(C261*G63,0)</f>
        <v>1384</v>
      </c>
      <c r="E261" s="17" t="s">
        <v>1362</v>
      </c>
      <c r="J261" s="32" t="s">
        <v>793</v>
      </c>
      <c r="K261" s="173">
        <f>D88</f>
        <v>1.853</v>
      </c>
      <c r="L261" s="190">
        <f>IF(K261&gt;[1]Trav!E122,[1]Trav!C122,[1]Trav!B122)</f>
        <v>4.4000000000000004</v>
      </c>
      <c r="M261" s="5"/>
      <c r="N261" s="274"/>
      <c r="O261">
        <f t="shared" si="114"/>
        <v>8.1532</v>
      </c>
    </row>
    <row r="262" spans="1:15" x14ac:dyDescent="0.25">
      <c r="A262" s="2" t="s">
        <v>1363</v>
      </c>
      <c r="B262" s="14" t="s">
        <v>783</v>
      </c>
      <c r="C262" s="270">
        <f>Travail!F50</f>
        <v>0</v>
      </c>
      <c r="D262" s="264">
        <f t="shared" ref="D262:D271" si="116">ROUND(K253*L253,0)</f>
        <v>0</v>
      </c>
      <c r="E262" s="17" t="s">
        <v>1364</v>
      </c>
      <c r="J262" s="32" t="s">
        <v>795</v>
      </c>
      <c r="K262" s="173">
        <f>D89</f>
        <v>0</v>
      </c>
      <c r="L262" s="190">
        <f>[1]Trav!$B$123</f>
        <v>7.2</v>
      </c>
      <c r="M262" s="5"/>
      <c r="N262" s="274"/>
      <c r="O262">
        <f t="shared" si="114"/>
        <v>0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1</v>
      </c>
      <c r="D264" s="264">
        <f t="shared" si="116"/>
        <v>4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39</v>
      </c>
      <c r="D266" s="264">
        <f t="shared" si="116"/>
        <v>38</v>
      </c>
    </row>
    <row r="267" spans="1:15" x14ac:dyDescent="0.25">
      <c r="B267" s="32" t="s">
        <v>790</v>
      </c>
      <c r="C267" s="270">
        <f>Travail!F55</f>
        <v>125</v>
      </c>
      <c r="D267" s="264">
        <f t="shared" si="116"/>
        <v>120</v>
      </c>
    </row>
    <row r="268" spans="1:15" x14ac:dyDescent="0.25">
      <c r="B268" s="32" t="s">
        <v>791</v>
      </c>
      <c r="C268" s="270">
        <f>Travail!F56</f>
        <v>115</v>
      </c>
      <c r="D268" s="264">
        <f t="shared" si="116"/>
        <v>111</v>
      </c>
    </row>
    <row r="269" spans="1:15" x14ac:dyDescent="0.25">
      <c r="B269" s="32" t="s">
        <v>792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793</v>
      </c>
      <c r="C270" s="270">
        <f>Travail!F58</f>
        <v>8</v>
      </c>
      <c r="D270" s="264">
        <f t="shared" si="116"/>
        <v>8</v>
      </c>
    </row>
    <row r="271" spans="1:15" x14ac:dyDescent="0.25">
      <c r="B271" s="32" t="s">
        <v>795</v>
      </c>
      <c r="C271" s="270">
        <f>Travail!F59</f>
        <v>0</v>
      </c>
      <c r="D271" s="264">
        <f t="shared" si="116"/>
        <v>0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275.2</v>
      </c>
      <c r="D275" s="173">
        <f>C275</f>
        <v>275.2</v>
      </c>
    </row>
    <row r="276" spans="1:4" x14ac:dyDescent="0.25">
      <c r="A276" s="23"/>
      <c r="B276" s="32" t="s">
        <v>1369</v>
      </c>
      <c r="C276" s="270">
        <f>C192*8</f>
        <v>10.6</v>
      </c>
      <c r="D276" s="264">
        <f>D192*8</f>
        <v>10.18</v>
      </c>
    </row>
    <row r="277" spans="1:4" x14ac:dyDescent="0.25">
      <c r="B277" s="32" t="s">
        <v>1419</v>
      </c>
      <c r="C277" s="270">
        <f>Travail!F75+Travail!F81</f>
        <v>179</v>
      </c>
      <c r="D277" s="173">
        <f>C277</f>
        <v>179</v>
      </c>
    </row>
    <row r="278" spans="1:4" x14ac:dyDescent="0.25">
      <c r="B278" s="32" t="s">
        <v>1420</v>
      </c>
      <c r="C278" s="270">
        <f>Travail!F76</f>
        <v>49</v>
      </c>
      <c r="D278" s="173">
        <f>C278</f>
        <v>49</v>
      </c>
    </row>
    <row r="279" spans="1:4" x14ac:dyDescent="0.25">
      <c r="B279" s="32" t="s">
        <v>1386</v>
      </c>
      <c r="C279" s="270">
        <f>Travail!F86</f>
        <v>1680</v>
      </c>
      <c r="D279" s="270">
        <f>C279</f>
        <v>1680</v>
      </c>
    </row>
    <row r="280" spans="1:4" x14ac:dyDescent="0.25">
      <c r="B280" s="32" t="s">
        <v>1387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5540</v>
      </c>
      <c r="D281" s="264">
        <f>ROUND(D245+D248+D251+D254+D257+D260+D261,0)</f>
        <v>5425</v>
      </c>
    </row>
    <row r="282" spans="1:4" x14ac:dyDescent="0.25">
      <c r="B282" s="14" t="s">
        <v>1372</v>
      </c>
      <c r="C282" s="173">
        <f>ROUND(C246+C249+C252+C255+C258,0)</f>
        <v>777</v>
      </c>
      <c r="D282" s="264">
        <f>ROUND(D246+D249+D252+D255+D258,0)</f>
        <v>774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18.22</v>
      </c>
      <c r="D284" s="173">
        <f>ROUND(D281/(Troupeau!$B$17*G63),2)</f>
        <v>18.59</v>
      </c>
    </row>
    <row r="285" spans="1:4" x14ac:dyDescent="0.25">
      <c r="B285" s="14" t="s">
        <v>1375</v>
      </c>
      <c r="C285" s="173">
        <f>IF(Troupeau!$C$17=0,0,ROUND(C282/Troupeau!$C$17,2))</f>
        <v>40.89</v>
      </c>
      <c r="D285" s="173">
        <f>IF(Troupeau!$C$17=0,0,ROUND(D282/Troupeau!$C$17*G63,2))</f>
        <v>39.11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6317</v>
      </c>
      <c r="D287" s="264">
        <f>SUM(D281:D283)</f>
        <v>6199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304</v>
      </c>
      <c r="D289" s="264">
        <f>SUM(D262:D271)</f>
        <v>296</v>
      </c>
    </row>
    <row r="290" spans="2:4" x14ac:dyDescent="0.25">
      <c r="B290" s="14" t="s">
        <v>1421</v>
      </c>
      <c r="C290" s="270">
        <f>C275+C276+C277</f>
        <v>464.8</v>
      </c>
      <c r="D290" s="277">
        <f>D275+D276+D277</f>
        <v>464.38</v>
      </c>
    </row>
    <row r="291" spans="2:4" x14ac:dyDescent="0.25">
      <c r="B291" s="14" t="s">
        <v>1422</v>
      </c>
      <c r="C291" s="270">
        <f>C278+C279+C280</f>
        <v>1729</v>
      </c>
      <c r="D291" s="270">
        <f>D278+D279+D280</f>
        <v>1729</v>
      </c>
    </row>
    <row r="292" spans="2:4" x14ac:dyDescent="0.25">
      <c r="B292" s="14" t="s">
        <v>873</v>
      </c>
      <c r="C292" s="173">
        <f>ROUND(SUM(C287:C291),0)</f>
        <v>9415</v>
      </c>
      <c r="D292" s="264">
        <f>ROUND(SUM(D287:D291),0)</f>
        <v>9288</v>
      </c>
    </row>
    <row r="293" spans="2:4" x14ac:dyDescent="0.25">
      <c r="B293" s="14" t="s">
        <v>874</v>
      </c>
      <c r="C293" s="173">
        <f>ROUND(IF(Scénario!$K$129=1,SUM(C275:C280),SUM(C278:C280)),0)</f>
        <v>2194</v>
      </c>
      <c r="D293" s="173">
        <f>ROUND(IF(Scénario!$K$129=1,SUM(D275:D280),SUM(D278:D280)),0)</f>
        <v>2193</v>
      </c>
    </row>
    <row r="294" spans="2:4" x14ac:dyDescent="0.25">
      <c r="B294" s="14" t="s">
        <v>875</v>
      </c>
      <c r="C294" s="173">
        <f>ROUND((C292-C293)/C83,0)</f>
        <v>3611</v>
      </c>
      <c r="D294" s="173">
        <f>ROUND((D292-D293)/D83,0)</f>
        <v>3548</v>
      </c>
    </row>
    <row r="295" spans="2:4" x14ac:dyDescent="0.25">
      <c r="B295" s="14" t="s">
        <v>1447</v>
      </c>
      <c r="C295" s="173">
        <f>IF(Alim_Surf!Q7=0,Alim_Surf!R7,0)+IF(Alim_Surf!Q8=0,Alim_Surf!R8,0)+IF(Alim_Surf!Q9=0,Alim_Surf!R9,0)+IF(Alim_Surf!Q10=0,Alim_Surf!R10,0)+IF(Alim_Surf!Q11=0,Alim_Surf!R11,0)+IF(Alim_Surf!Q12=0,Alim_Surf!R12,0)+IF(Alim_Surf!Q13=0,Alim_Surf!R13,0)+IF(Alim_Surf!Q14=0,Alim_Surf!R14,0)+IF(Alim_Surf!Q15=0,Alim_Surf!R15,0)+IF(Alim_Surf!Q16=0,Alim_Surf!R16,0)+IF(Alim_Surf!Q17=0,Alim_Surf!R17,0)+IF(Alim_Surf!Q18=0,Alim_Surf!R18,0)</f>
        <v>0</v>
      </c>
    </row>
    <row r="296" spans="2:4" x14ac:dyDescent="0.25">
      <c r="B296" s="14" t="s">
        <v>1448</v>
      </c>
      <c r="C296" s="173">
        <f>IF(Alim_Surf!Q29=0,Alim_Surf!R29,0)+IF(Alim_Surf!Q28=0,Alim_Surf!R28,0)+IF(Alim_Surf!Q29=0,Alim_Surf!R29,0)+IF(Alim_Surf!Q30=0,Alim_Surf!R30,0)+IF(Alim_Surf!Q31=0,Alim_Surf!R31,0)+IF(Alim_Surf!Q32=0,Alim_Surf!R32,0)+IF(Alim_Surf!Q33=0,Alim_Surf!R33,0)+IF(Alim_Surf!Q34=0,Alim_Surf!R34,0)+IF(Alim_Surf!Q35=0,Alim_Surf!R35,0)+IF(Alim_Surf!Q36=0,Alim_Surf!R36,0)+IF(Alim_Surf!Q37=0,Alim_Surf!R37,0)+IF(Alim_Surf!Q38=0,Alim_Surf!R38,0)</f>
        <v>0</v>
      </c>
    </row>
    <row r="297" spans="2:4" x14ac:dyDescent="0.25">
      <c r="B297" s="14" t="s">
        <v>1449</v>
      </c>
      <c r="C297" s="173">
        <f>IF(Alim_Surf!Q51=0,Alim_Surf!R51,0)+IF(Alim_Surf!Q52=0,Alim_Surf!R52,0)+IF(Alim_Surf!Q53=0,Alim_Surf!R53,0)+IF(Alim_Surf!Q54=0,Alim_Surf!R54,0)+IF(Alim_Surf!Q55=0,Alim_Surf!R55,0)</f>
        <v>0</v>
      </c>
    </row>
    <row r="298" spans="2:4" x14ac:dyDescent="0.25">
      <c r="B298" s="14" t="s">
        <v>1450</v>
      </c>
      <c r="C298" s="173">
        <f>IF(Troupeau!$B$3="OL",CdTrp1!AA220,0)</f>
        <v>58.799145479443467</v>
      </c>
    </row>
    <row r="299" spans="2:4" x14ac:dyDescent="0.25">
      <c r="B299" s="14" t="s">
        <v>1451</v>
      </c>
      <c r="C299" s="173">
        <f>IF(Troupeau!$B$3="OL",CdTrp1!AA221,0)</f>
        <v>38.48082199652174</v>
      </c>
    </row>
    <row r="300" spans="2:4" x14ac:dyDescent="0.25">
      <c r="B300" s="14" t="s">
        <v>1452</v>
      </c>
      <c r="C300" s="173">
        <f>IF(Troupeau!$B$3="BV",CdTrp1!AA220,0)+IF(Troupeau!$C$3="BV",CdTrp2!AA220,0)</f>
        <v>57.507144959999984</v>
      </c>
    </row>
    <row r="301" spans="2:4" x14ac:dyDescent="0.25">
      <c r="B301" s="14" t="s">
        <v>1453</v>
      </c>
      <c r="C301" s="173">
        <f>IF(Troupeau!$B$3="BV",CdTrp1!AA221,0)+IF(Troupeau!$C$3="BV",CdTrp2!AA221,0)</f>
        <v>0</v>
      </c>
    </row>
    <row r="302" spans="2:4" x14ac:dyDescent="0.25">
      <c r="B302" s="14" t="s">
        <v>1454</v>
      </c>
      <c r="C302" s="173">
        <f>IF(Troupeau!$B$3="VL",CdTrp1!AA220,0)</f>
        <v>0</v>
      </c>
    </row>
    <row r="303" spans="2:4" x14ac:dyDescent="0.25">
      <c r="B303" s="14" t="s">
        <v>1455</v>
      </c>
      <c r="C303" s="173">
        <v>0</v>
      </c>
    </row>
    <row r="304" spans="2:4" x14ac:dyDescent="0.25">
      <c r="B304" s="14" t="s">
        <v>1456</v>
      </c>
      <c r="C304" s="173">
        <f>Protection!BL31+Protection!BK31</f>
        <v>28</v>
      </c>
    </row>
    <row r="305" spans="2:3" x14ac:dyDescent="0.25">
      <c r="B305" s="14" t="s">
        <v>1457</v>
      </c>
      <c r="C305" s="173">
        <f>Protection!BJ31</f>
        <v>11.1</v>
      </c>
    </row>
    <row r="306" spans="2:3" x14ac:dyDescent="0.25">
      <c r="B306" s="14" t="s">
        <v>1458</v>
      </c>
      <c r="C306" s="173">
        <f>'Calcul éco'!X233</f>
        <v>0</v>
      </c>
    </row>
    <row r="307" spans="2:3" x14ac:dyDescent="0.25">
      <c r="B307" s="14" t="s">
        <v>1459</v>
      </c>
      <c r="C307" s="173">
        <f>'Calcul éco'!X234</f>
        <v>56190</v>
      </c>
    </row>
    <row r="308" spans="2:3" x14ac:dyDescent="0.25">
      <c r="B308" s="14" t="s">
        <v>1460</v>
      </c>
      <c r="C308" s="173">
        <f>'Calcul éco'!X235</f>
        <v>2000</v>
      </c>
    </row>
    <row r="309" spans="2:3" x14ac:dyDescent="0.25">
      <c r="B309" s="14" t="s">
        <v>1461</v>
      </c>
      <c r="C309" s="173">
        <f>'Calcul éco'!X236</f>
        <v>0</v>
      </c>
    </row>
    <row r="310" spans="2:3" x14ac:dyDescent="0.25">
      <c r="B310" s="14" t="s">
        <v>1462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9" zoomScaleNormal="100" workbookViewId="0">
      <selection activeCell="J11" sqref="J11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304</v>
      </c>
      <c r="C17" s="60">
        <v>19</v>
      </c>
      <c r="D17" s="60"/>
      <c r="E17" s="60"/>
      <c r="H17" s="2" t="s">
        <v>152</v>
      </c>
      <c r="I17" s="22"/>
      <c r="J17" s="60">
        <v>8</v>
      </c>
      <c r="K17" s="60">
        <v>9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288</v>
      </c>
      <c r="C18" s="61">
        <f t="shared" si="0"/>
        <v>14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95</v>
      </c>
      <c r="K18" s="76">
        <f>HLOOKUP(K$17,[1]Anx!$C$8:$CO$37,$I18)</f>
        <v>77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273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397</v>
      </c>
      <c r="C20" s="61">
        <f>ROUNDDOWN(C18*K20/100,0)</f>
        <v>14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138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355</v>
      </c>
      <c r="C21" s="61">
        <f>ROUNDDOWN((C20*(100-K21))/100,0)</f>
        <v>13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10.4</v>
      </c>
      <c r="K21" s="76">
        <f>HLOOKUP(K$17,[1]Anx!$C$8:$CO$37,$I21)</f>
        <v>5.9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60</v>
      </c>
      <c r="C22" s="61">
        <f>ROUNDDOWN(C17*K22/100,0)</f>
        <v>3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20</v>
      </c>
      <c r="K22" s="76">
        <f>HLOOKUP(K$17,[1]Anx!$C$8:$CO$37,$I22)</f>
        <v>18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60</v>
      </c>
      <c r="C23" s="61">
        <f>IF(K$23&gt;1,C22,0)</f>
        <v>3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3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2.1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7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37947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139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15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5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45</v>
      </c>
      <c r="C37" s="61">
        <f>C22-C36</f>
        <v>3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117.5</v>
      </c>
      <c r="C39" s="61">
        <f t="shared" ref="C39:E39" si="2">IF(K26=0,C21/2-C22,C21/2-C22-C30)</f>
        <v>3.5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177.5</v>
      </c>
      <c r="C43" s="61">
        <f>IF(K$27&lt;=1,C21/2,0)</f>
        <v>6.5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57.449999999999996</v>
      </c>
      <c r="C49" s="75">
        <f>SUM(C50:C61)</f>
        <v>21.4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45.6</v>
      </c>
      <c r="C50" s="61">
        <f>C17*K50</f>
        <v>16.149999999999999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0.15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1.7999999999999998</v>
      </c>
      <c r="C51" s="61">
        <f t="shared" ref="C51:C61" si="4">C22*K51</f>
        <v>1.0499999999999998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0.03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9</v>
      </c>
      <c r="C52" s="61">
        <f t="shared" si="4"/>
        <v>1.7999999999999998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0.15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2.4000000000000004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1.05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0.15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11.4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11.97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9667.2000000000007</v>
      </c>
      <c r="C72" s="61">
        <f t="shared" ref="C72:E76" si="8">C$17*K72</f>
        <v>5282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31.8</v>
      </c>
      <c r="K72" s="76">
        <f>HLOOKUP(K$17,[1]Anx!$C$50:$CO$85,$I72)</f>
        <v>278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20915.2</v>
      </c>
      <c r="C73" s="61">
        <f t="shared" si="8"/>
        <v>2242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68.8</v>
      </c>
      <c r="K73" s="76">
        <f>HLOOKUP(K$17,[1]Anx!$C$50:$CO$85,$I73)</f>
        <v>118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3404.7999999999997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11.2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6660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780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13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Normal="100" workbookViewId="0">
      <pane ySplit="1" topLeftCell="A49" activePane="bottomLeft" state="frozen"/>
      <selection pane="bottomLeft" activeCell="U53" sqref="U53:Y53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21"/>
      <c r="AA1" t="s">
        <v>176</v>
      </c>
      <c r="AK1" t="s">
        <v>1428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1429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89">
        <f>Troupeau!J17</f>
        <v>8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4.5999999999999996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264.3478260869565</v>
      </c>
      <c r="C15" s="60">
        <f>CdTrp1!AM2*Troupeau!$B$17/CdTrp1!$AI$2</f>
        <v>261.70434782608697</v>
      </c>
      <c r="D15" s="60">
        <f>CdTrp1!AN2*Troupeau!$B$17/CdTrp1!$AI$2</f>
        <v>259.06086956521739</v>
      </c>
      <c r="E15" s="60">
        <f>CdTrp1!AO2*Troupeau!$B$17/CdTrp1!$AI$2</f>
        <v>257.73913043478262</v>
      </c>
      <c r="F15" s="60">
        <f>CdTrp1!AP2*Troupeau!$B$17/CdTrp1!$AI$2</f>
        <v>256.4173913043478</v>
      </c>
      <c r="G15" s="60">
        <f>CdTrp1!AQ2*Troupeau!$B$17/CdTrp1!$AI$2</f>
        <v>255.09565217391304</v>
      </c>
      <c r="H15" s="60">
        <f>CdTrp1!AR2*Troupeau!$B$17/CdTrp1!$AI$2</f>
        <v>253.77391304347827</v>
      </c>
      <c r="I15" s="60">
        <f>CdTrp1!AS2*Troupeau!$B$17/CdTrp1!$AI$2</f>
        <v>252.45217391304348</v>
      </c>
      <c r="J15" s="60">
        <f>CdTrp1!AT2*Troupeau!$B$17/CdTrp1!$AI$2</f>
        <v>249.80869565217392</v>
      </c>
      <c r="K15" s="60">
        <f>CdTrp1!AU2*Troupeau!$B$17/CdTrp1!$AI$2</f>
        <v>255.09565217391304</v>
      </c>
      <c r="L15" s="60">
        <f>CdTrp1!AV2*Troupeau!$B$17/CdTrp1!$AI$2</f>
        <v>255.09565217391304</v>
      </c>
      <c r="M15" s="60">
        <f>CdTrp1!AW2*Troupeau!$B$17/CdTrp1!$AI$2</f>
        <v>255.09565217391304</v>
      </c>
      <c r="N15" s="60">
        <f>CdTrp1!AX2*Troupeau!$B$17/CdTrp1!$AI$2</f>
        <v>255.09565217391304</v>
      </c>
      <c r="O15" s="60">
        <f>CdTrp1!AY2*Troupeau!$B$17/CdTrp1!$AI$2</f>
        <v>255.09565217391304</v>
      </c>
      <c r="P15" s="60">
        <f>CdTrp1!AZ2*Troupeau!$B$17/CdTrp1!$AI$2</f>
        <v>255.09565217391304</v>
      </c>
      <c r="Q15" s="60">
        <f>CdTrp1!BA2*Troupeau!$B$17/CdTrp1!$AI$2</f>
        <v>255.09565217391304</v>
      </c>
      <c r="R15" s="60">
        <f>CdTrp1!BB2*Troupeau!$B$17/CdTrp1!$AI$2</f>
        <v>255.09565217391304</v>
      </c>
      <c r="S15" s="60">
        <f>CdTrp1!BC2*Troupeau!$B$17/CdTrp1!$AI$2</f>
        <v>255.09565217391304</v>
      </c>
      <c r="T15" s="60">
        <f>CdTrp1!BD2*Troupeau!$B$17/CdTrp1!$AI$2</f>
        <v>255.09565217391304</v>
      </c>
      <c r="U15" s="60">
        <f>CdTrp1!BE2*Troupeau!$B$17/CdTrp1!$AI$2</f>
        <v>278.88695652173914</v>
      </c>
      <c r="V15" s="60">
        <f>CdTrp1!BF2*Troupeau!$B$17/CdTrp1!$AI$2</f>
        <v>278.88695652173914</v>
      </c>
      <c r="W15" s="60">
        <f>CdTrp1!BG2*Troupeau!$B$17/CdTrp1!$AI$2</f>
        <v>264.3478260869565</v>
      </c>
      <c r="X15" s="60">
        <f>CdTrp1!BH2*Troupeau!$B$17/CdTrp1!$AI$2</f>
        <v>264.3478260869565</v>
      </c>
      <c r="Y15" s="60">
        <f>CdTrp1!BI2*Troupeau!$B$17/CdTrp1!$AI$2</f>
        <v>264.3478260869565</v>
      </c>
      <c r="Z15" s="52"/>
    </row>
    <row r="16" spans="1:61" x14ac:dyDescent="0.25">
      <c r="A16" s="50" t="s">
        <v>439</v>
      </c>
      <c r="B16" s="60">
        <f>CdTrp1!AL3*Troupeau!$B$17/CdTrp1!$AI$2</f>
        <v>25.11304347826087</v>
      </c>
      <c r="C16" s="60">
        <f>CdTrp1!AM3*Troupeau!$B$17/CdTrp1!$AI$2</f>
        <v>25.11304347826087</v>
      </c>
      <c r="D16" s="60">
        <f>CdTrp1!AN3*Troupeau!$B$17/CdTrp1!$AI$2</f>
        <v>25.11304347826087</v>
      </c>
      <c r="E16" s="60">
        <f>CdTrp1!AO3*Troupeau!$B$17/CdTrp1!$AI$2</f>
        <v>25.11304347826087</v>
      </c>
      <c r="F16" s="60">
        <f>CdTrp1!AP3*Troupeau!$B$17/CdTrp1!$AI$2</f>
        <v>25.11304347826087</v>
      </c>
      <c r="G16" s="60">
        <f>CdTrp1!AQ3*Troupeau!$B$17/CdTrp1!$AI$2</f>
        <v>25.11304347826087</v>
      </c>
      <c r="H16" s="60">
        <f>CdTrp1!AR3*Troupeau!$B$17/CdTrp1!$AI$2</f>
        <v>25.11304347826087</v>
      </c>
      <c r="I16" s="60">
        <f>CdTrp1!AS3*Troupeau!$B$17/CdTrp1!$AI$2</f>
        <v>25.11304347826087</v>
      </c>
      <c r="J16" s="60">
        <f>CdTrp1!AT3*Troupeau!$B$17/CdTrp1!$AI$2</f>
        <v>25.11304347826087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25.11304347826087</v>
      </c>
      <c r="V16" s="60">
        <f>CdTrp1!BF3*Troupeau!$B$17/CdTrp1!$AI$2</f>
        <v>25.11304347826087</v>
      </c>
      <c r="W16" s="60">
        <f>CdTrp1!BG3*Troupeau!$B$17/CdTrp1!$AI$2</f>
        <v>25.11304347826087</v>
      </c>
      <c r="X16" s="60">
        <f>CdTrp1!BH3*Troupeau!$B$17/CdTrp1!$AI$2</f>
        <v>25.11304347826087</v>
      </c>
      <c r="Y16" s="60">
        <f>CdTrp1!BI3*Troupeau!$B$17/CdTrp1!$AI$2</f>
        <v>25.11304347826087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68.730434782608697</v>
      </c>
      <c r="C17" s="60">
        <f>CdTrp1!AM4*Troupeau!$B$17/CdTrp1!$AI$2</f>
        <v>68.730434782608697</v>
      </c>
      <c r="D17" s="60">
        <f>CdTrp1!AN4*Troupeau!$B$17/CdTrp1!$AI$2</f>
        <v>68.730434782608697</v>
      </c>
      <c r="E17" s="60">
        <f>CdTrp1!AO4*Troupeau!$B$17/CdTrp1!$AI$2</f>
        <v>68.730434782608697</v>
      </c>
      <c r="F17" s="60">
        <f>CdTrp1!AP4*Troupeau!$B$17/CdTrp1!$AI$2</f>
        <v>68.730434782608697</v>
      </c>
      <c r="G17" s="60">
        <f>CdTrp1!AQ4*Troupeau!$B$17/CdTrp1!$AI$2</f>
        <v>68.730434782608697</v>
      </c>
      <c r="H17" s="60">
        <f>CdTrp1!AR4*Troupeau!$B$17/CdTrp1!$AI$2</f>
        <v>68.730434782608697</v>
      </c>
      <c r="I17" s="60">
        <f>CdTrp1!AS4*Troupeau!$B$17/CdTrp1!$AI$2</f>
        <v>68.730434782608697</v>
      </c>
      <c r="J17" s="60">
        <f>CdTrp1!AT4*Troupeau!$B$17/CdTrp1!$AI$2</f>
        <v>68.730434782608697</v>
      </c>
      <c r="K17" s="60">
        <f>CdTrp1!AU4*Troupeau!$B$17/CdTrp1!$AI$2</f>
        <v>68.730434782608697</v>
      </c>
      <c r="L17" s="60">
        <f>CdTrp1!AV4*Troupeau!$B$17/CdTrp1!$AI$2</f>
        <v>68.730434782608697</v>
      </c>
      <c r="M17" s="60">
        <f>CdTrp1!AW4*Troupeau!$B$17/CdTrp1!$AI$2</f>
        <v>68.730434782608697</v>
      </c>
      <c r="N17" s="60">
        <f>CdTrp1!AX4*Troupeau!$B$17/CdTrp1!$AI$2</f>
        <v>68.730434782608697</v>
      </c>
      <c r="O17" s="60">
        <f>CdTrp1!AY4*Troupeau!$B$17/CdTrp1!$AI$2</f>
        <v>68.730434782608697</v>
      </c>
      <c r="P17" s="60">
        <f>CdTrp1!AZ4*Troupeau!$B$17/CdTrp1!$AI$2</f>
        <v>68.730434782608697</v>
      </c>
      <c r="Q17" s="60">
        <f>CdTrp1!BA4*Troupeau!$B$17/CdTrp1!$AI$2</f>
        <v>68.730434782608697</v>
      </c>
      <c r="R17" s="60">
        <f>CdTrp1!BB4*Troupeau!$B$17/CdTrp1!$AI$2</f>
        <v>68.730434782608697</v>
      </c>
      <c r="S17" s="60">
        <f>CdTrp1!BC4*Troupeau!$B$17/CdTrp1!$AI$2</f>
        <v>68.730434782608697</v>
      </c>
      <c r="T17" s="60">
        <f>CdTrp1!BD4*Troupeau!$B$17/CdTrp1!$AI$2</f>
        <v>68.730434782608697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68.730434782608697</v>
      </c>
      <c r="X17" s="60">
        <f>CdTrp1!BH4*Troupeau!$B$17/CdTrp1!$AI$2</f>
        <v>68.730434782608697</v>
      </c>
      <c r="Y17" s="60">
        <f>CdTrp1!BI4*Troupeau!$B$17/CdTrp1!$AI$2</f>
        <v>68.730434782608697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7.9304347826086961</v>
      </c>
      <c r="C18" s="60">
        <f>CdTrp1!AM5*Troupeau!$B$17/CdTrp1!$AI$2</f>
        <v>7.9304347826086961</v>
      </c>
      <c r="D18" s="60">
        <f>CdTrp1!AN5*Troupeau!$B$17/CdTrp1!$AI$2</f>
        <v>7.9304347826086961</v>
      </c>
      <c r="E18" s="60">
        <f>CdTrp1!AO5*Troupeau!$B$17/CdTrp1!$AI$2</f>
        <v>7.9304347826086961</v>
      </c>
      <c r="F18" s="60">
        <f>CdTrp1!AP5*Troupeau!$B$17/CdTrp1!$AI$2</f>
        <v>7.9304347826086961</v>
      </c>
      <c r="G18" s="60">
        <f>CdTrp1!AQ5*Troupeau!$B$17/CdTrp1!$AI$2</f>
        <v>7.9304347826086961</v>
      </c>
      <c r="H18" s="60">
        <f>CdTrp1!AR5*Troupeau!$B$17/CdTrp1!$AI$2</f>
        <v>7.9304347826086961</v>
      </c>
      <c r="I18" s="60">
        <f>CdTrp1!AS5*Troupeau!$B$17/CdTrp1!$AI$2</f>
        <v>7.9304347826086961</v>
      </c>
      <c r="J18" s="60">
        <f>CdTrp1!AT5*Troupeau!$B$17/CdTrp1!$AI$2</f>
        <v>7.9304347826086961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7.9304347826086961</v>
      </c>
      <c r="V18" s="60">
        <f>CdTrp1!BF5*Troupeau!$B$17/CdTrp1!$AI$2</f>
        <v>7.9304347826086961</v>
      </c>
      <c r="W18" s="60">
        <f>CdTrp1!BG5*Troupeau!$B$17/CdTrp1!$AI$2</f>
        <v>7.9304347826086961</v>
      </c>
      <c r="X18" s="60">
        <f>CdTrp1!BH5*Troupeau!$B$17/CdTrp1!$AI$2</f>
        <v>7.9304347826086961</v>
      </c>
      <c r="Y18" s="60">
        <f>CdTrp1!BI5*Troupeau!$B$17/CdTrp1!$AI$2</f>
        <v>7.9304347826086961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9667.2000000000007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9.6999999999999993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20915.2</v>
      </c>
      <c r="AK19" s="54">
        <f t="shared" ref="AK19:AK52" si="4">IF($AH19=AK$17,ROUND($AI19/1000,1),0)</f>
        <v>20.9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3404.7999999999997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3.4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6660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6.7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 t="str">
        <f>HLOOKUP(AF$4,[1]Anx!$C$86:$CO$121,AE24)</f>
        <v>1 -maïs-grain</v>
      </c>
      <c r="AH24" s="61">
        <f t="shared" si="3"/>
        <v>1</v>
      </c>
      <c r="AI24" s="129">
        <f>Troupeau!B78</f>
        <v>780</v>
      </c>
      <c r="AK24" s="54">
        <f t="shared" si="4"/>
        <v>0.8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37.008695652173913</v>
      </c>
      <c r="C39" s="61">
        <f t="shared" ref="C39:Y48" si="12">C15*C27</f>
        <v>36.638608695652181</v>
      </c>
      <c r="D39" s="61">
        <f t="shared" si="12"/>
        <v>36.268521739130435</v>
      </c>
      <c r="E39" s="61">
        <f t="shared" si="12"/>
        <v>36.083478260869569</v>
      </c>
      <c r="F39" s="61">
        <f t="shared" si="12"/>
        <v>35.898434782608696</v>
      </c>
      <c r="G39" s="61">
        <f t="shared" si="12"/>
        <v>35.71339130434783</v>
      </c>
      <c r="H39" s="61">
        <f t="shared" si="12"/>
        <v>35.528347826086964</v>
      </c>
      <c r="I39" s="61">
        <f t="shared" si="12"/>
        <v>35.343304347826091</v>
      </c>
      <c r="J39" s="61">
        <f t="shared" si="12"/>
        <v>34.973217391304352</v>
      </c>
      <c r="K39" s="61">
        <f t="shared" si="12"/>
        <v>35.71339130434783</v>
      </c>
      <c r="L39" s="61">
        <f t="shared" si="12"/>
        <v>35.71339130434783</v>
      </c>
      <c r="M39" s="61">
        <f t="shared" si="12"/>
        <v>35.71339130434783</v>
      </c>
      <c r="N39" s="61">
        <f t="shared" si="12"/>
        <v>35.71339130434783</v>
      </c>
      <c r="O39" s="61">
        <f t="shared" si="12"/>
        <v>35.71339130434783</v>
      </c>
      <c r="P39" s="61">
        <f t="shared" si="12"/>
        <v>35.71339130434783</v>
      </c>
      <c r="Q39" s="61">
        <f t="shared" si="12"/>
        <v>35.71339130434783</v>
      </c>
      <c r="R39" s="61">
        <f t="shared" si="12"/>
        <v>35.71339130434783</v>
      </c>
      <c r="S39" s="61">
        <f t="shared" si="12"/>
        <v>35.71339130434783</v>
      </c>
      <c r="T39" s="61">
        <f t="shared" si="12"/>
        <v>35.71339130434783</v>
      </c>
      <c r="U39" s="61">
        <f t="shared" si="12"/>
        <v>39.04417391304348</v>
      </c>
      <c r="V39" s="61">
        <f t="shared" si="12"/>
        <v>39.04417391304348</v>
      </c>
      <c r="W39" s="61">
        <f t="shared" si="12"/>
        <v>37.008695652173913</v>
      </c>
      <c r="X39" s="61">
        <f t="shared" si="12"/>
        <v>37.008695652173913</v>
      </c>
      <c r="Y39" s="61">
        <f t="shared" si="12"/>
        <v>37.008695652173913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3.5158260869565221</v>
      </c>
      <c r="C40" s="61">
        <f t="shared" si="13"/>
        <v>3.5158260869565221</v>
      </c>
      <c r="D40" s="61">
        <f t="shared" si="13"/>
        <v>3.5158260869565221</v>
      </c>
      <c r="E40" s="61">
        <f t="shared" si="13"/>
        <v>3.5158260869565221</v>
      </c>
      <c r="F40" s="61">
        <f t="shared" si="13"/>
        <v>3.5158260869565221</v>
      </c>
      <c r="G40" s="61">
        <f t="shared" si="13"/>
        <v>3.5158260869565221</v>
      </c>
      <c r="H40" s="61">
        <f t="shared" si="13"/>
        <v>3.5158260869565221</v>
      </c>
      <c r="I40" s="61">
        <f t="shared" si="13"/>
        <v>3.5158260869565221</v>
      </c>
      <c r="J40" s="61">
        <f t="shared" si="13"/>
        <v>3.5158260869565221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3.5158260869565221</v>
      </c>
      <c r="V40" s="61">
        <f t="shared" si="12"/>
        <v>3.5158260869565221</v>
      </c>
      <c r="W40" s="61">
        <f t="shared" si="12"/>
        <v>3.5158260869565221</v>
      </c>
      <c r="X40" s="61">
        <f t="shared" si="12"/>
        <v>3.5158260869565221</v>
      </c>
      <c r="Y40" s="61">
        <f t="shared" si="12"/>
        <v>3.5158260869565221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1.9244521739130436</v>
      </c>
      <c r="C41" s="61">
        <f t="shared" si="12"/>
        <v>1.9244521739130436</v>
      </c>
      <c r="D41" s="61">
        <f t="shared" si="12"/>
        <v>1.9244521739130436</v>
      </c>
      <c r="E41" s="61">
        <f t="shared" si="12"/>
        <v>1.9244521739130436</v>
      </c>
      <c r="F41" s="61">
        <f t="shared" si="12"/>
        <v>1.9244521739130436</v>
      </c>
      <c r="G41" s="61">
        <f t="shared" si="12"/>
        <v>1.9244521739130436</v>
      </c>
      <c r="H41" s="61">
        <f t="shared" si="12"/>
        <v>1.9244521739130436</v>
      </c>
      <c r="I41" s="61">
        <f t="shared" si="12"/>
        <v>1.9244521739130436</v>
      </c>
      <c r="J41" s="61">
        <f t="shared" si="12"/>
        <v>4.8111304347826094</v>
      </c>
      <c r="K41" s="61">
        <f t="shared" si="12"/>
        <v>4.8111304347826094</v>
      </c>
      <c r="L41" s="61">
        <f t="shared" si="12"/>
        <v>4.8111304347826094</v>
      </c>
      <c r="M41" s="61">
        <f t="shared" si="12"/>
        <v>4.8111304347826094</v>
      </c>
      <c r="N41" s="61">
        <f t="shared" si="12"/>
        <v>4.8111304347826094</v>
      </c>
      <c r="O41" s="61">
        <f t="shared" si="12"/>
        <v>4.8111304347826094</v>
      </c>
      <c r="P41" s="61">
        <f t="shared" si="12"/>
        <v>4.8111304347826094</v>
      </c>
      <c r="Q41" s="61">
        <f t="shared" si="12"/>
        <v>4.8111304347826094</v>
      </c>
      <c r="R41" s="61">
        <f t="shared" si="12"/>
        <v>4.8111304347826094</v>
      </c>
      <c r="S41" s="61">
        <f t="shared" si="12"/>
        <v>4.8111304347826094</v>
      </c>
      <c r="T41" s="61">
        <f t="shared" si="12"/>
        <v>4.8111304347826094</v>
      </c>
      <c r="U41" s="61">
        <f t="shared" si="12"/>
        <v>0</v>
      </c>
      <c r="V41" s="61">
        <f t="shared" si="12"/>
        <v>0</v>
      </c>
      <c r="W41" s="61">
        <f t="shared" si="12"/>
        <v>1.9244521739130436</v>
      </c>
      <c r="X41" s="61">
        <f t="shared" si="12"/>
        <v>1.9244521739130436</v>
      </c>
      <c r="Y41" s="61">
        <f t="shared" si="12"/>
        <v>1.9244521739130436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1.1102608695652176</v>
      </c>
      <c r="C42" s="61">
        <f t="shared" si="12"/>
        <v>1.1102608695652176</v>
      </c>
      <c r="D42" s="61">
        <f t="shared" si="12"/>
        <v>1.1102608695652176</v>
      </c>
      <c r="E42" s="61">
        <f t="shared" si="12"/>
        <v>1.1102608695652176</v>
      </c>
      <c r="F42" s="61">
        <f t="shared" si="12"/>
        <v>1.1102608695652176</v>
      </c>
      <c r="G42" s="61">
        <f t="shared" si="12"/>
        <v>1.1102608695652176</v>
      </c>
      <c r="H42" s="61">
        <f t="shared" si="12"/>
        <v>1.1102608695652176</v>
      </c>
      <c r="I42" s="61">
        <f t="shared" si="12"/>
        <v>1.1102608695652176</v>
      </c>
      <c r="J42" s="61">
        <f t="shared" si="12"/>
        <v>1.1102608695652176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1.1102608695652176</v>
      </c>
      <c r="V42" s="61">
        <f t="shared" si="12"/>
        <v>1.1102608695652176</v>
      </c>
      <c r="W42" s="61">
        <f t="shared" si="12"/>
        <v>1.1102608695652176</v>
      </c>
      <c r="X42" s="61">
        <f t="shared" si="12"/>
        <v>1.1102608695652176</v>
      </c>
      <c r="Y42" s="61">
        <f t="shared" si="12"/>
        <v>1.1102608695652176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43.559234782608698</v>
      </c>
      <c r="C49" s="62">
        <f t="shared" si="14"/>
        <v>43.189147826086966</v>
      </c>
      <c r="D49" s="62">
        <f t="shared" si="14"/>
        <v>42.81906086956522</v>
      </c>
      <c r="E49" s="62">
        <f t="shared" si="14"/>
        <v>42.634017391304354</v>
      </c>
      <c r="F49" s="62">
        <f t="shared" si="14"/>
        <v>42.448973913043481</v>
      </c>
      <c r="G49" s="62">
        <f t="shared" si="14"/>
        <v>42.263930434782615</v>
      </c>
      <c r="H49" s="62">
        <f t="shared" si="14"/>
        <v>42.07888695652175</v>
      </c>
      <c r="I49" s="62">
        <f t="shared" si="14"/>
        <v>41.893843478260877</v>
      </c>
      <c r="J49" s="62">
        <f t="shared" si="14"/>
        <v>44.410434782608704</v>
      </c>
      <c r="K49" s="62">
        <f t="shared" si="14"/>
        <v>40.524521739130442</v>
      </c>
      <c r="L49" s="62">
        <f t="shared" si="14"/>
        <v>40.524521739130442</v>
      </c>
      <c r="M49" s="62">
        <f t="shared" si="14"/>
        <v>40.524521739130442</v>
      </c>
      <c r="N49" s="62">
        <f t="shared" si="14"/>
        <v>40.524521739130442</v>
      </c>
      <c r="O49" s="62">
        <f t="shared" si="14"/>
        <v>40.524521739130442</v>
      </c>
      <c r="P49" s="62">
        <f t="shared" si="14"/>
        <v>40.524521739130442</v>
      </c>
      <c r="Q49" s="62">
        <f t="shared" si="14"/>
        <v>40.524521739130442</v>
      </c>
      <c r="R49" s="62">
        <f t="shared" si="14"/>
        <v>40.524521739130442</v>
      </c>
      <c r="S49" s="62">
        <f t="shared" si="14"/>
        <v>40.524521739130442</v>
      </c>
      <c r="T49" s="62">
        <f t="shared" si="14"/>
        <v>40.524521739130442</v>
      </c>
      <c r="U49" s="62">
        <f t="shared" si="14"/>
        <v>43.670260869565219</v>
      </c>
      <c r="V49" s="62">
        <f t="shared" si="14"/>
        <v>43.670260869565219</v>
      </c>
      <c r="W49" s="62">
        <f t="shared" si="14"/>
        <v>43.559234782608698</v>
      </c>
      <c r="X49" s="62">
        <f t="shared" si="14"/>
        <v>43.559234782608698</v>
      </c>
      <c r="Y49" s="62">
        <f t="shared" si="14"/>
        <v>43.559234782608698</v>
      </c>
      <c r="Z49" s="23"/>
      <c r="AA49" s="46">
        <f>AVERAGE(B49:Y49)</f>
        <v>42.023373913043486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60">
        <v>0.5</v>
      </c>
      <c r="V53" s="60">
        <v>0.5</v>
      </c>
      <c r="W53" s="60">
        <v>0.5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3</v>
      </c>
      <c r="V54" s="60">
        <v>3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21.7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9.6999999999999993</v>
      </c>
      <c r="AV54" s="84">
        <f t="shared" si="17"/>
        <v>0</v>
      </c>
      <c r="AW54" s="84">
        <f t="shared" si="17"/>
        <v>3.4</v>
      </c>
      <c r="AX54" s="84">
        <f t="shared" si="17"/>
        <v>6.7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0</v>
      </c>
      <c r="V55" s="60">
        <v>0</v>
      </c>
      <c r="W55" s="60">
        <v>0</v>
      </c>
      <c r="X55" s="60">
        <v>0</v>
      </c>
      <c r="Y55" s="60">
        <v>0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35.530399999999993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573.63478260869567</v>
      </c>
      <c r="C63" s="61">
        <f t="shared" si="18"/>
        <v>567.89843478260877</v>
      </c>
      <c r="D63" s="61">
        <f t="shared" si="18"/>
        <v>507.75930434782606</v>
      </c>
      <c r="E63" s="61">
        <f t="shared" si="18"/>
        <v>252.58434782608697</v>
      </c>
      <c r="F63" s="61">
        <f t="shared" si="18"/>
        <v>278.21286956521737</v>
      </c>
      <c r="G63" s="61">
        <f t="shared" si="18"/>
        <v>276.77878260869568</v>
      </c>
      <c r="H63" s="61">
        <f t="shared" si="18"/>
        <v>266.46260869565225</v>
      </c>
      <c r="I63" s="61">
        <f t="shared" si="18"/>
        <v>265.07478260869567</v>
      </c>
      <c r="J63" s="61">
        <f t="shared" si="18"/>
        <v>271.04243478260872</v>
      </c>
      <c r="K63" s="61">
        <f t="shared" si="18"/>
        <v>276.77878260869568</v>
      </c>
      <c r="L63" s="61">
        <f t="shared" si="18"/>
        <v>267.85043478260872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276.77878260869568</v>
      </c>
      <c r="U63" s="61">
        <f t="shared" si="18"/>
        <v>302.59234782608695</v>
      </c>
      <c r="V63" s="61">
        <f t="shared" si="18"/>
        <v>585.66260869565224</v>
      </c>
      <c r="W63" s="61">
        <f t="shared" si="18"/>
        <v>555.13043478260875</v>
      </c>
      <c r="X63" s="61">
        <f t="shared" si="18"/>
        <v>573.63478260869567</v>
      </c>
      <c r="Y63" s="61">
        <f t="shared" si="18"/>
        <v>573.63478260869567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27.247652173913046</v>
      </c>
      <c r="C64" s="61">
        <f t="shared" si="19"/>
        <v>27.247652173913046</v>
      </c>
      <c r="D64" s="61">
        <f t="shared" si="19"/>
        <v>24.610782608695654</v>
      </c>
      <c r="E64" s="61">
        <f t="shared" si="19"/>
        <v>24.610782608695654</v>
      </c>
      <c r="F64" s="61">
        <f t="shared" si="19"/>
        <v>27.247652173913046</v>
      </c>
      <c r="G64" s="61">
        <f t="shared" si="19"/>
        <v>27.247652173913046</v>
      </c>
      <c r="H64" s="61">
        <f t="shared" si="19"/>
        <v>26.368695652173916</v>
      </c>
      <c r="I64" s="61">
        <f t="shared" si="19"/>
        <v>26.368695652173916</v>
      </c>
      <c r="J64" s="61">
        <f t="shared" si="19"/>
        <v>27.247652173913046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27.247652173913046</v>
      </c>
      <c r="V64" s="61">
        <f t="shared" si="19"/>
        <v>26.368695652173916</v>
      </c>
      <c r="W64" s="61">
        <f t="shared" si="19"/>
        <v>26.368695652173916</v>
      </c>
      <c r="X64" s="61">
        <f t="shared" si="19"/>
        <v>27.247652173913046</v>
      </c>
      <c r="Y64" s="61">
        <f t="shared" si="19"/>
        <v>27.247652173913046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29.829008695652174</v>
      </c>
      <c r="C65" s="61">
        <f t="shared" si="20"/>
        <v>29.829008695652174</v>
      </c>
      <c r="D65" s="61">
        <f t="shared" si="20"/>
        <v>26.942330434782612</v>
      </c>
      <c r="E65" s="61">
        <f t="shared" si="20"/>
        <v>26.942330434782612</v>
      </c>
      <c r="F65" s="61">
        <f t="shared" si="20"/>
        <v>29.829008695652174</v>
      </c>
      <c r="G65" s="61">
        <f t="shared" si="20"/>
        <v>14.914504347826087</v>
      </c>
      <c r="H65" s="61">
        <f t="shared" si="20"/>
        <v>14.433391304347827</v>
      </c>
      <c r="I65" s="61">
        <f t="shared" si="20"/>
        <v>14.433391304347827</v>
      </c>
      <c r="J65" s="61">
        <f t="shared" si="20"/>
        <v>37.286260869565226</v>
      </c>
      <c r="K65" s="61">
        <f t="shared" si="20"/>
        <v>37.286260869565226</v>
      </c>
      <c r="L65" s="61">
        <f t="shared" si="20"/>
        <v>36.083478260869569</v>
      </c>
      <c r="M65" s="61">
        <f t="shared" si="20"/>
        <v>36.083478260869569</v>
      </c>
      <c r="N65" s="61">
        <f t="shared" si="20"/>
        <v>37.286260869565226</v>
      </c>
      <c r="O65" s="61">
        <f t="shared" si="20"/>
        <v>37.286260869565226</v>
      </c>
      <c r="P65" s="61">
        <f t="shared" si="20"/>
        <v>37.286260869565226</v>
      </c>
      <c r="Q65" s="61">
        <f t="shared" si="20"/>
        <v>37.286260869565226</v>
      </c>
      <c r="R65" s="61">
        <f t="shared" si="20"/>
        <v>36.083478260869569</v>
      </c>
      <c r="S65" s="61">
        <f t="shared" si="20"/>
        <v>36.083478260869569</v>
      </c>
      <c r="T65" s="61">
        <f t="shared" si="20"/>
        <v>37.286260869565226</v>
      </c>
      <c r="U65" s="61">
        <f t="shared" si="20"/>
        <v>0</v>
      </c>
      <c r="V65" s="61">
        <f t="shared" si="20"/>
        <v>0</v>
      </c>
      <c r="W65" s="61">
        <f t="shared" si="20"/>
        <v>28.866782608695654</v>
      </c>
      <c r="X65" s="61">
        <f t="shared" si="20"/>
        <v>29.829008695652174</v>
      </c>
      <c r="Y65" s="61">
        <f t="shared" si="20"/>
        <v>29.829008695652174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0</v>
      </c>
      <c r="C66" s="61">
        <f t="shared" si="21"/>
        <v>0</v>
      </c>
      <c r="D66" s="61">
        <f t="shared" si="21"/>
        <v>0</v>
      </c>
      <c r="E66" s="61">
        <f t="shared" si="21"/>
        <v>0</v>
      </c>
      <c r="F66" s="61">
        <f t="shared" si="21"/>
        <v>0</v>
      </c>
      <c r="G66" s="61">
        <f t="shared" si="21"/>
        <v>0</v>
      </c>
      <c r="H66" s="61">
        <f t="shared" si="21"/>
        <v>0</v>
      </c>
      <c r="I66" s="61">
        <f t="shared" si="21"/>
        <v>0</v>
      </c>
      <c r="J66" s="61">
        <f t="shared" si="21"/>
        <v>0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0</v>
      </c>
      <c r="V66" s="61">
        <f t="shared" si="21"/>
        <v>0</v>
      </c>
      <c r="W66" s="61">
        <f t="shared" si="21"/>
        <v>0</v>
      </c>
      <c r="X66" s="61">
        <f t="shared" si="21"/>
        <v>0</v>
      </c>
      <c r="Y66" s="61">
        <f t="shared" si="21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631</v>
      </c>
      <c r="C73" s="64">
        <f t="shared" ref="C73:Y73" si="28">ROUND(SUM(C63:C72),0)</f>
        <v>625</v>
      </c>
      <c r="D73" s="64">
        <f t="shared" si="28"/>
        <v>559</v>
      </c>
      <c r="E73" s="64">
        <f t="shared" si="28"/>
        <v>304</v>
      </c>
      <c r="F73" s="64">
        <f t="shared" si="28"/>
        <v>335</v>
      </c>
      <c r="G73" s="64">
        <f t="shared" si="28"/>
        <v>319</v>
      </c>
      <c r="H73" s="64">
        <f t="shared" si="28"/>
        <v>307</v>
      </c>
      <c r="I73" s="64">
        <f t="shared" si="28"/>
        <v>306</v>
      </c>
      <c r="J73" s="64">
        <f t="shared" si="28"/>
        <v>336</v>
      </c>
      <c r="K73" s="64">
        <f t="shared" si="28"/>
        <v>314</v>
      </c>
      <c r="L73" s="64">
        <f t="shared" si="28"/>
        <v>304</v>
      </c>
      <c r="M73" s="64">
        <f t="shared" si="28"/>
        <v>36</v>
      </c>
      <c r="N73" s="64">
        <f t="shared" si="28"/>
        <v>37</v>
      </c>
      <c r="O73" s="64">
        <f t="shared" si="28"/>
        <v>37</v>
      </c>
      <c r="P73" s="64">
        <f t="shared" si="28"/>
        <v>37</v>
      </c>
      <c r="Q73" s="64">
        <f t="shared" si="28"/>
        <v>37</v>
      </c>
      <c r="R73" s="64">
        <f t="shared" si="28"/>
        <v>36</v>
      </c>
      <c r="S73" s="64">
        <f t="shared" si="28"/>
        <v>36</v>
      </c>
      <c r="T73" s="64">
        <f t="shared" si="28"/>
        <v>314</v>
      </c>
      <c r="U73" s="64">
        <f t="shared" si="28"/>
        <v>330</v>
      </c>
      <c r="V73" s="64">
        <f t="shared" si="28"/>
        <v>612</v>
      </c>
      <c r="W73" s="64">
        <f t="shared" si="28"/>
        <v>610</v>
      </c>
      <c r="X73" s="64">
        <f t="shared" si="28"/>
        <v>631</v>
      </c>
      <c r="Y73" s="64">
        <f t="shared" si="28"/>
        <v>631</v>
      </c>
      <c r="Z73" s="52"/>
      <c r="AA73" s="56">
        <f>ROUND(SUM(B73:Y73),0)</f>
        <v>7724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>
        <v>2</v>
      </c>
      <c r="C77" s="60">
        <v>2</v>
      </c>
      <c r="D77" s="60">
        <v>2</v>
      </c>
      <c r="E77" s="60">
        <v>2</v>
      </c>
      <c r="F77" s="60">
        <v>3</v>
      </c>
      <c r="G77" s="60">
        <v>3</v>
      </c>
      <c r="H77" s="60">
        <v>3</v>
      </c>
      <c r="I77" s="60">
        <v>3</v>
      </c>
      <c r="J77" s="60">
        <v>3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>
        <v>3</v>
      </c>
      <c r="V77" s="60">
        <v>3</v>
      </c>
      <c r="W77" s="60">
        <v>3</v>
      </c>
      <c r="X77" s="60">
        <v>3</v>
      </c>
      <c r="Y77" s="60">
        <v>2</v>
      </c>
      <c r="AB77" t="s">
        <v>447</v>
      </c>
      <c r="AC77">
        <f>COUNTIF($B$76:$Y$85,"&gt;0")/2</f>
        <v>31</v>
      </c>
      <c r="AG77" s="5"/>
    </row>
    <row r="78" spans="1:33" x14ac:dyDescent="0.25">
      <c r="A78" s="128" t="str">
        <f>A$17</f>
        <v>agnelles</v>
      </c>
      <c r="B78" s="60"/>
      <c r="C78" s="60"/>
      <c r="D78" s="60">
        <v>1</v>
      </c>
      <c r="E78" s="60">
        <v>1</v>
      </c>
      <c r="F78" s="60">
        <v>1</v>
      </c>
      <c r="G78" s="60">
        <v>1</v>
      </c>
      <c r="H78" s="60">
        <v>1</v>
      </c>
      <c r="I78" s="60">
        <v>1</v>
      </c>
      <c r="J78" s="60">
        <v>1</v>
      </c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/>
      <c r="V78" s="60"/>
      <c r="W78" s="60"/>
      <c r="X78" s="60"/>
      <c r="Y78" s="60"/>
      <c r="AB78">
        <v>1</v>
      </c>
      <c r="AC78">
        <f>COUNTIF($B$76:$Y$85,AB78)/2</f>
        <v>14</v>
      </c>
      <c r="AG78" s="5"/>
    </row>
    <row r="79" spans="1:33" x14ac:dyDescent="0.25">
      <c r="A79" s="127" t="str">
        <f>A$18</f>
        <v>beliers</v>
      </c>
      <c r="B79" s="60">
        <v>2</v>
      </c>
      <c r="C79" s="60">
        <v>2</v>
      </c>
      <c r="D79" s="60">
        <v>2</v>
      </c>
      <c r="E79" s="60">
        <v>2</v>
      </c>
      <c r="F79" s="60">
        <v>2</v>
      </c>
      <c r="G79" s="60">
        <v>2</v>
      </c>
      <c r="H79" s="60">
        <v>2</v>
      </c>
      <c r="I79" s="60">
        <v>2</v>
      </c>
      <c r="J79" s="60">
        <v>1</v>
      </c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>
        <v>2</v>
      </c>
      <c r="V79" s="60">
        <v>2</v>
      </c>
      <c r="W79" s="60">
        <v>2</v>
      </c>
      <c r="X79" s="60">
        <v>2</v>
      </c>
      <c r="Y79" s="60">
        <v>2</v>
      </c>
      <c r="AB79" s="142">
        <v>2</v>
      </c>
      <c r="AC79">
        <f t="shared" ref="AC79:AC81" si="29">COUNTIF($B$76:$Y$85,AB79)/2</f>
        <v>9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4.5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9.2871471304347839</v>
      </c>
      <c r="C110" s="61">
        <f t="shared" si="40"/>
        <v>9.1942756591304367</v>
      </c>
      <c r="D110" s="61">
        <f t="shared" si="40"/>
        <v>8.2206231373913052</v>
      </c>
      <c r="E110" s="61">
        <f t="shared" si="40"/>
        <v>8.1786811826086971</v>
      </c>
      <c r="F110" s="61">
        <f t="shared" si="40"/>
        <v>9.0085327165217386</v>
      </c>
      <c r="G110" s="61">
        <f t="shared" si="40"/>
        <v>8.9620969808695659</v>
      </c>
      <c r="H110" s="61">
        <f t="shared" si="40"/>
        <v>8.6280592695652221</v>
      </c>
      <c r="I110" s="61">
        <f t="shared" si="40"/>
        <v>8.5831214608695667</v>
      </c>
      <c r="J110" s="61">
        <f t="shared" si="40"/>
        <v>8.7763540382608713</v>
      </c>
      <c r="K110" s="61">
        <f t="shared" si="40"/>
        <v>5.5743246817391308</v>
      </c>
      <c r="L110" s="61">
        <f t="shared" si="40"/>
        <v>5.3945077565217394</v>
      </c>
      <c r="M110" s="61">
        <f t="shared" si="40"/>
        <v>5.3945077565217394</v>
      </c>
      <c r="N110" s="61">
        <f t="shared" si="40"/>
        <v>5.5743246817391308</v>
      </c>
      <c r="O110" s="61">
        <f t="shared" si="40"/>
        <v>5.5743246817391308</v>
      </c>
      <c r="P110" s="61">
        <f t="shared" si="40"/>
        <v>5.5743246817391308</v>
      </c>
      <c r="Q110" s="61">
        <f t="shared" si="40"/>
        <v>5.5743246817391308</v>
      </c>
      <c r="R110" s="61">
        <f t="shared" si="40"/>
        <v>5.3945077565217394</v>
      </c>
      <c r="S110" s="61">
        <f t="shared" si="40"/>
        <v>5.3945077565217394</v>
      </c>
      <c r="T110" s="61">
        <f t="shared" si="40"/>
        <v>4.3786403408695662</v>
      </c>
      <c r="U110" s="61">
        <f t="shared" si="40"/>
        <v>8.6541411478260866</v>
      </c>
      <c r="V110" s="61">
        <f t="shared" si="40"/>
        <v>8.3749753043478261</v>
      </c>
      <c r="W110" s="61">
        <f t="shared" si="40"/>
        <v>8.9875617391304363</v>
      </c>
      <c r="X110" s="61">
        <f t="shared" si="40"/>
        <v>9.2871471304347839</v>
      </c>
      <c r="Y110" s="61">
        <f t="shared" si="40"/>
        <v>9.2871471304347839</v>
      </c>
    </row>
    <row r="111" spans="1:33" x14ac:dyDescent="0.25">
      <c r="A111" s="128" t="str">
        <f>A$16</f>
        <v>vides</v>
      </c>
      <c r="B111" s="61">
        <f t="shared" ref="B111:Y111" si="41">(B40*B$3*B100)/1000</f>
        <v>0.70843895652173916</v>
      </c>
      <c r="C111" s="61">
        <f t="shared" si="41"/>
        <v>0.70843895652173916</v>
      </c>
      <c r="D111" s="61">
        <f t="shared" si="41"/>
        <v>0.63988034782608705</v>
      </c>
      <c r="E111" s="61">
        <f t="shared" si="41"/>
        <v>0.63988034782608705</v>
      </c>
      <c r="F111" s="61">
        <f t="shared" si="41"/>
        <v>0.70843895652173916</v>
      </c>
      <c r="G111" s="61">
        <f t="shared" si="41"/>
        <v>0.70843895652173916</v>
      </c>
      <c r="H111" s="61">
        <f t="shared" si="41"/>
        <v>0.6855860869565219</v>
      </c>
      <c r="I111" s="61">
        <f t="shared" si="41"/>
        <v>0.6855860869565219</v>
      </c>
      <c r="J111" s="61">
        <f t="shared" si="41"/>
        <v>0.70843895652173916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0.70843895652173916</v>
      </c>
      <c r="V111" s="61">
        <f t="shared" si="41"/>
        <v>0.6855860869565219</v>
      </c>
      <c r="W111" s="61">
        <f t="shared" si="41"/>
        <v>0.6855860869565219</v>
      </c>
      <c r="X111" s="61">
        <f t="shared" si="41"/>
        <v>0.70843895652173916</v>
      </c>
      <c r="Y111" s="61">
        <f t="shared" si="41"/>
        <v>0.70843895652173916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0.38777711304347828</v>
      </c>
      <c r="C112" s="61">
        <f t="shared" si="42"/>
        <v>0.38777711304347828</v>
      </c>
      <c r="D112" s="61">
        <f t="shared" si="42"/>
        <v>0.35025029565217397</v>
      </c>
      <c r="E112" s="61">
        <f t="shared" si="42"/>
        <v>0.35025029565217397</v>
      </c>
      <c r="F112" s="61">
        <f t="shared" si="42"/>
        <v>0.38777711304347828</v>
      </c>
      <c r="G112" s="61">
        <f t="shared" si="42"/>
        <v>0.38777711304347828</v>
      </c>
      <c r="H112" s="61">
        <f t="shared" si="42"/>
        <v>0.37526817391304346</v>
      </c>
      <c r="I112" s="61">
        <f t="shared" si="42"/>
        <v>0.37526817391304346</v>
      </c>
      <c r="J112" s="61">
        <f t="shared" si="42"/>
        <v>0.96944278260869587</v>
      </c>
      <c r="K112" s="61">
        <f t="shared" si="42"/>
        <v>0.96944278260869587</v>
      </c>
      <c r="L112" s="61">
        <f t="shared" si="42"/>
        <v>0.93817043478260886</v>
      </c>
      <c r="M112" s="61">
        <f t="shared" si="42"/>
        <v>0.93817043478260886</v>
      </c>
      <c r="N112" s="61">
        <f t="shared" si="42"/>
        <v>0.96944278260869587</v>
      </c>
      <c r="O112" s="61">
        <f t="shared" si="42"/>
        <v>0.96944278260869587</v>
      </c>
      <c r="P112" s="61">
        <f t="shared" si="42"/>
        <v>0.96944278260869587</v>
      </c>
      <c r="Q112" s="61">
        <f t="shared" si="42"/>
        <v>0.96944278260869587</v>
      </c>
      <c r="R112" s="61">
        <f t="shared" si="42"/>
        <v>0.93817043478260886</v>
      </c>
      <c r="S112" s="61">
        <f t="shared" si="42"/>
        <v>0.93817043478260886</v>
      </c>
      <c r="T112" s="61">
        <f t="shared" si="42"/>
        <v>0.96944278260869587</v>
      </c>
      <c r="U112" s="61">
        <f t="shared" si="42"/>
        <v>0</v>
      </c>
      <c r="V112" s="61">
        <f t="shared" si="42"/>
        <v>0</v>
      </c>
      <c r="W112" s="61">
        <f t="shared" si="42"/>
        <v>0.37526817391304346</v>
      </c>
      <c r="X112" s="61">
        <f t="shared" si="42"/>
        <v>0.38777711304347828</v>
      </c>
      <c r="Y112" s="61">
        <f t="shared" si="42"/>
        <v>0.38777711304347828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0.22371756521739136</v>
      </c>
      <c r="C113" s="61">
        <f t="shared" si="43"/>
        <v>0.22371756521739136</v>
      </c>
      <c r="D113" s="61">
        <f t="shared" si="43"/>
        <v>0.20206747826086963</v>
      </c>
      <c r="E113" s="61">
        <f t="shared" si="43"/>
        <v>0.20206747826086963</v>
      </c>
      <c r="F113" s="61">
        <f t="shared" si="43"/>
        <v>0.22371756521739136</v>
      </c>
      <c r="G113" s="61">
        <f t="shared" si="43"/>
        <v>0.22371756521739136</v>
      </c>
      <c r="H113" s="61">
        <f t="shared" si="43"/>
        <v>0.21650086956521744</v>
      </c>
      <c r="I113" s="61">
        <f t="shared" si="43"/>
        <v>0.21650086956521744</v>
      </c>
      <c r="J113" s="61">
        <f t="shared" si="43"/>
        <v>0.22371756521739136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0.22371756521739136</v>
      </c>
      <c r="V113" s="61">
        <f t="shared" si="43"/>
        <v>0.21650086956521744</v>
      </c>
      <c r="W113" s="61">
        <f t="shared" si="43"/>
        <v>0.21650086956521744</v>
      </c>
      <c r="X113" s="61">
        <f t="shared" si="43"/>
        <v>0.22371756521739136</v>
      </c>
      <c r="Y113" s="61">
        <f t="shared" si="43"/>
        <v>0.22371756521739136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10.7</v>
      </c>
      <c r="C120" s="61">
        <f t="shared" ref="C120:Y120" si="50">SUM(C110:C119)</f>
        <v>10.514209293913046</v>
      </c>
      <c r="D120" s="61">
        <f t="shared" si="50"/>
        <v>9.4128212591304372</v>
      </c>
      <c r="E120" s="61">
        <f t="shared" si="50"/>
        <v>9.3708793043478291</v>
      </c>
      <c r="F120" s="61">
        <f t="shared" si="50"/>
        <v>10.328466351304348</v>
      </c>
      <c r="G120" s="61">
        <f t="shared" si="50"/>
        <v>10.282030615652175</v>
      </c>
      <c r="H120" s="61">
        <f t="shared" si="50"/>
        <v>9.9054144000000068</v>
      </c>
      <c r="I120" s="61">
        <f t="shared" si="50"/>
        <v>9.8604765913043515</v>
      </c>
      <c r="J120" s="61">
        <f t="shared" si="50"/>
        <v>10.677953342608697</v>
      </c>
      <c r="K120" s="61">
        <f t="shared" si="50"/>
        <v>6.5437674643478267</v>
      </c>
      <c r="L120" s="61">
        <f t="shared" si="50"/>
        <v>6.3326781913043479</v>
      </c>
      <c r="M120" s="61">
        <f t="shared" si="50"/>
        <v>6.3326781913043479</v>
      </c>
      <c r="N120" s="61">
        <f t="shared" si="50"/>
        <v>6.5437674643478267</v>
      </c>
      <c r="O120" s="61">
        <f t="shared" si="50"/>
        <v>6.5437674643478267</v>
      </c>
      <c r="P120" s="61">
        <f t="shared" si="50"/>
        <v>6.5437674643478267</v>
      </c>
      <c r="Q120" s="61">
        <f t="shared" si="50"/>
        <v>6.5437674643478267</v>
      </c>
      <c r="R120" s="61">
        <f t="shared" si="50"/>
        <v>6.3326781913043479</v>
      </c>
      <c r="S120" s="61">
        <f t="shared" si="50"/>
        <v>6.3326781913043479</v>
      </c>
      <c r="T120" s="61">
        <f t="shared" si="50"/>
        <v>5.3480831234782622</v>
      </c>
      <c r="U120" s="61">
        <f t="shared" si="50"/>
        <v>9.5862976695652176</v>
      </c>
      <c r="V120" s="61">
        <f t="shared" si="50"/>
        <v>9.2770622608695668</v>
      </c>
      <c r="W120" s="61">
        <f t="shared" si="50"/>
        <v>10.264916869565221</v>
      </c>
      <c r="X120" s="61">
        <f t="shared" si="50"/>
        <v>10.607080765217393</v>
      </c>
      <c r="Y120" s="61">
        <f t="shared" si="50"/>
        <v>10.607080765217393</v>
      </c>
      <c r="AA120" s="57">
        <f>SUM(B120:Y120)</f>
        <v>204.79232269913052</v>
      </c>
      <c r="AB120" t="s">
        <v>38</v>
      </c>
      <c r="AC120" t="s">
        <v>206</v>
      </c>
    </row>
    <row r="121" spans="1:29" x14ac:dyDescent="0.25">
      <c r="AA121">
        <f>AA49*4.75</f>
        <v>199.61102608695654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156">
        <v>0.6</v>
      </c>
      <c r="H123" s="156">
        <v>0.6</v>
      </c>
      <c r="I123" s="156">
        <v>0.6</v>
      </c>
      <c r="J123" s="156">
        <v>0.6</v>
      </c>
      <c r="K123" s="156">
        <v>0.8</v>
      </c>
      <c r="L123" s="156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156">
        <v>0.33</v>
      </c>
      <c r="U123" s="156">
        <v>0.33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>
        <v>0</v>
      </c>
      <c r="C125" s="60">
        <v>0</v>
      </c>
      <c r="D125" s="60">
        <v>1</v>
      </c>
      <c r="E125" s="60">
        <v>1</v>
      </c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0.33</v>
      </c>
      <c r="U125" s="60">
        <v>0.33</v>
      </c>
      <c r="V125" s="60">
        <v>0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beliers</v>
      </c>
      <c r="B126" s="60">
        <v>1</v>
      </c>
      <c r="C126" s="60">
        <v>1</v>
      </c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0.5</v>
      </c>
      <c r="K126" s="60">
        <v>0.5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>
        <v>1</v>
      </c>
      <c r="V126" s="60">
        <v>1</v>
      </c>
      <c r="W126" s="60">
        <v>1</v>
      </c>
      <c r="X126" s="60">
        <v>1</v>
      </c>
      <c r="Y126" s="60">
        <v>1</v>
      </c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9.2871471304347839</v>
      </c>
      <c r="C136" s="61">
        <f t="shared" ref="C136:Y136" si="51">C110*(1-C123)</f>
        <v>9.1942756591304367</v>
      </c>
      <c r="D136" s="61">
        <f t="shared" si="51"/>
        <v>8.2206231373913052</v>
      </c>
      <c r="E136" s="61">
        <f t="shared" si="51"/>
        <v>8.1786811826086971</v>
      </c>
      <c r="F136" s="61">
        <f t="shared" si="51"/>
        <v>9.0085327165217386</v>
      </c>
      <c r="G136" s="61">
        <f t="shared" si="51"/>
        <v>3.5848387923478264</v>
      </c>
      <c r="H136" s="61">
        <f t="shared" si="51"/>
        <v>3.451223707826089</v>
      </c>
      <c r="I136" s="61">
        <f t="shared" si="51"/>
        <v>3.4332485843478269</v>
      </c>
      <c r="J136" s="61">
        <f t="shared" si="51"/>
        <v>3.5105416153043487</v>
      </c>
      <c r="K136" s="61">
        <f t="shared" si="51"/>
        <v>1.1148649363478258</v>
      </c>
      <c r="L136" s="61">
        <f t="shared" si="51"/>
        <v>1.0789015513043476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2.9336890283826089</v>
      </c>
      <c r="U136" s="61">
        <f t="shared" si="51"/>
        <v>5.7982745690434774</v>
      </c>
      <c r="V136" s="61">
        <f t="shared" si="51"/>
        <v>8.3749753043478261</v>
      </c>
      <c r="W136" s="61">
        <f t="shared" si="51"/>
        <v>8.9875617391304363</v>
      </c>
      <c r="X136" s="61">
        <f t="shared" si="51"/>
        <v>9.2871471304347839</v>
      </c>
      <c r="Y136" s="61">
        <f t="shared" si="51"/>
        <v>9.2871471304347839</v>
      </c>
      <c r="AA136" s="61">
        <f>SUM(B136:Y136)</f>
        <v>104.73167391533917</v>
      </c>
    </row>
    <row r="137" spans="1:31" x14ac:dyDescent="0.25">
      <c r="A137" s="128" t="str">
        <f>A$16</f>
        <v>vides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2"/>
        <v>0.38777711304347828</v>
      </c>
      <c r="C138" s="61">
        <f t="shared" si="52"/>
        <v>0.38777711304347828</v>
      </c>
      <c r="D138" s="61">
        <f t="shared" si="52"/>
        <v>0</v>
      </c>
      <c r="E138" s="61">
        <f t="shared" si="52"/>
        <v>0</v>
      </c>
      <c r="F138" s="61">
        <f t="shared" si="52"/>
        <v>0</v>
      </c>
      <c r="G138" s="61">
        <f t="shared" si="52"/>
        <v>0</v>
      </c>
      <c r="H138" s="61">
        <f t="shared" si="52"/>
        <v>0</v>
      </c>
      <c r="I138" s="61">
        <f t="shared" si="52"/>
        <v>0</v>
      </c>
      <c r="J138" s="61">
        <f t="shared" si="52"/>
        <v>0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0.64952666434782613</v>
      </c>
      <c r="U138" s="61">
        <f t="shared" si="52"/>
        <v>0</v>
      </c>
      <c r="V138" s="61">
        <f t="shared" si="52"/>
        <v>0</v>
      </c>
      <c r="W138" s="61">
        <f t="shared" si="52"/>
        <v>0.37526817391304346</v>
      </c>
      <c r="X138" s="61">
        <f t="shared" si="52"/>
        <v>0.38777711304347828</v>
      </c>
      <c r="Y138" s="61">
        <f t="shared" si="52"/>
        <v>0.38777711304347828</v>
      </c>
      <c r="AA138" s="61">
        <f t="shared" ref="AA138:AA144" si="53">SUM(B138:Y138)</f>
        <v>2.5759032904347827</v>
      </c>
    </row>
    <row r="139" spans="1:31" x14ac:dyDescent="0.25">
      <c r="A139" s="127" t="str">
        <f>A$18</f>
        <v>beliers</v>
      </c>
      <c r="B139" s="61">
        <f t="shared" si="52"/>
        <v>0</v>
      </c>
      <c r="C139" s="61">
        <f t="shared" si="52"/>
        <v>0</v>
      </c>
      <c r="D139" s="61">
        <f t="shared" si="52"/>
        <v>0</v>
      </c>
      <c r="E139" s="61">
        <f t="shared" si="52"/>
        <v>0</v>
      </c>
      <c r="F139" s="61">
        <f t="shared" si="52"/>
        <v>0</v>
      </c>
      <c r="G139" s="61">
        <f t="shared" si="52"/>
        <v>0</v>
      </c>
      <c r="H139" s="61">
        <f t="shared" si="52"/>
        <v>0</v>
      </c>
      <c r="I139" s="61">
        <f t="shared" si="52"/>
        <v>0</v>
      </c>
      <c r="J139" s="61">
        <f t="shared" si="52"/>
        <v>0.11185878260869568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</v>
      </c>
      <c r="V139" s="61">
        <f t="shared" si="52"/>
        <v>0</v>
      </c>
      <c r="W139" s="61">
        <f t="shared" si="52"/>
        <v>0</v>
      </c>
      <c r="X139" s="61">
        <f t="shared" si="52"/>
        <v>0</v>
      </c>
      <c r="Y139" s="61">
        <f t="shared" si="52"/>
        <v>0</v>
      </c>
      <c r="AA139" s="61">
        <f t="shared" si="53"/>
        <v>0.11185878260869568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107.41943598838265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118.16137958722092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5.3772581885217399</v>
      </c>
      <c r="H149" s="61">
        <f t="shared" si="55"/>
        <v>5.1768355617391331</v>
      </c>
      <c r="I149" s="61">
        <f t="shared" si="55"/>
        <v>5.1498728765217399</v>
      </c>
      <c r="J149" s="61">
        <f t="shared" si="55"/>
        <v>5.2658124229565226</v>
      </c>
      <c r="K149" s="61">
        <f t="shared" si="55"/>
        <v>4.459459745391305</v>
      </c>
      <c r="L149" s="61">
        <f t="shared" si="55"/>
        <v>4.3156062052173922</v>
      </c>
      <c r="M149" s="61">
        <f t="shared" si="55"/>
        <v>5.3945077565217394</v>
      </c>
      <c r="N149" s="61">
        <f t="shared" si="55"/>
        <v>5.5743246817391308</v>
      </c>
      <c r="O149" s="61">
        <f t="shared" si="55"/>
        <v>5.5743246817391308</v>
      </c>
      <c r="P149" s="61">
        <f t="shared" si="55"/>
        <v>5.5743246817391308</v>
      </c>
      <c r="Q149" s="61">
        <f t="shared" si="55"/>
        <v>5.5743246817391308</v>
      </c>
      <c r="R149" s="61">
        <f t="shared" si="55"/>
        <v>5.3945077565217394</v>
      </c>
      <c r="S149" s="61">
        <f t="shared" si="55"/>
        <v>5.3945077565217394</v>
      </c>
      <c r="T149" s="61">
        <f t="shared" si="55"/>
        <v>1.4449513124869573</v>
      </c>
      <c r="U149" s="61">
        <f t="shared" si="55"/>
        <v>2.8558665787826092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0.70843895652173916</v>
      </c>
      <c r="C150" s="61">
        <f t="shared" si="56"/>
        <v>0.70843895652173916</v>
      </c>
      <c r="D150" s="61">
        <f t="shared" si="56"/>
        <v>0.63988034782608705</v>
      </c>
      <c r="E150" s="61">
        <f t="shared" si="56"/>
        <v>0.63988034782608705</v>
      </c>
      <c r="F150" s="61">
        <f t="shared" si="56"/>
        <v>0.70843895652173916</v>
      </c>
      <c r="G150" s="61">
        <f t="shared" si="56"/>
        <v>0.70843895652173916</v>
      </c>
      <c r="H150" s="61">
        <f t="shared" si="56"/>
        <v>0.6855860869565219</v>
      </c>
      <c r="I150" s="61">
        <f t="shared" si="56"/>
        <v>0.6855860869565219</v>
      </c>
      <c r="J150" s="61">
        <f t="shared" si="56"/>
        <v>0.70843895652173916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0.70843895652173916</v>
      </c>
      <c r="V150" s="61">
        <f t="shared" si="56"/>
        <v>0.6855860869565219</v>
      </c>
      <c r="W150" s="61">
        <f t="shared" si="56"/>
        <v>0.6855860869565219</v>
      </c>
      <c r="X150" s="61">
        <f t="shared" si="56"/>
        <v>0.70843895652173916</v>
      </c>
      <c r="Y150" s="61">
        <f t="shared" si="56"/>
        <v>0.70843895652173916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0.35025029565217397</v>
      </c>
      <c r="E151" s="61">
        <f t="shared" si="57"/>
        <v>0.35025029565217397</v>
      </c>
      <c r="F151" s="61">
        <f t="shared" si="57"/>
        <v>0.38777711304347828</v>
      </c>
      <c r="G151" s="61">
        <f t="shared" si="57"/>
        <v>0.38777711304347828</v>
      </c>
      <c r="H151" s="61">
        <f t="shared" si="57"/>
        <v>0.37526817391304346</v>
      </c>
      <c r="I151" s="61">
        <f t="shared" si="57"/>
        <v>0.37526817391304346</v>
      </c>
      <c r="J151" s="61">
        <f t="shared" si="57"/>
        <v>0.96944278260869587</v>
      </c>
      <c r="K151" s="61">
        <f t="shared" si="57"/>
        <v>0.96944278260869587</v>
      </c>
      <c r="L151" s="61">
        <f t="shared" si="57"/>
        <v>0.93817043478260886</v>
      </c>
      <c r="M151" s="61">
        <f t="shared" si="57"/>
        <v>0.93817043478260886</v>
      </c>
      <c r="N151" s="61">
        <f t="shared" si="57"/>
        <v>0.96944278260869587</v>
      </c>
      <c r="O151" s="61">
        <f t="shared" si="57"/>
        <v>0.96944278260869587</v>
      </c>
      <c r="P151" s="61">
        <f t="shared" si="57"/>
        <v>0.96944278260869587</v>
      </c>
      <c r="Q151" s="61">
        <f t="shared" si="57"/>
        <v>0.96944278260869587</v>
      </c>
      <c r="R151" s="61">
        <f t="shared" si="57"/>
        <v>0.93817043478260886</v>
      </c>
      <c r="S151" s="61">
        <f t="shared" si="57"/>
        <v>0.93817043478260886</v>
      </c>
      <c r="T151" s="61">
        <f t="shared" si="57"/>
        <v>0.31991611826086974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0.22371756521739136</v>
      </c>
      <c r="C152" s="61">
        <f t="shared" si="58"/>
        <v>0.22371756521739136</v>
      </c>
      <c r="D152" s="61">
        <f t="shared" si="58"/>
        <v>0.20206747826086963</v>
      </c>
      <c r="E152" s="61">
        <f t="shared" si="58"/>
        <v>0.20206747826086963</v>
      </c>
      <c r="F152" s="61">
        <f t="shared" si="58"/>
        <v>0.22371756521739136</v>
      </c>
      <c r="G152" s="61">
        <f t="shared" si="58"/>
        <v>0.22371756521739136</v>
      </c>
      <c r="H152" s="61">
        <f t="shared" si="58"/>
        <v>0.21650086956521744</v>
      </c>
      <c r="I152" s="61">
        <f t="shared" si="58"/>
        <v>0.21650086956521744</v>
      </c>
      <c r="J152" s="61">
        <f t="shared" si="58"/>
        <v>0.11185878260869568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0.22371756521739136</v>
      </c>
      <c r="V152" s="61">
        <f t="shared" si="58"/>
        <v>0.21650086956521744</v>
      </c>
      <c r="W152" s="61">
        <f t="shared" si="58"/>
        <v>0.21650086956521744</v>
      </c>
      <c r="X152" s="61">
        <f t="shared" si="58"/>
        <v>0.22371756521739136</v>
      </c>
      <c r="Y152" s="61">
        <f t="shared" si="58"/>
        <v>0.22371756521739136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97.279967475965137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5.3772581885217399</v>
      </c>
      <c r="H162" s="61">
        <f t="shared" si="65"/>
        <v>5.1768355617391331</v>
      </c>
      <c r="I162" s="61">
        <f t="shared" si="65"/>
        <v>5.1498728765217399</v>
      </c>
      <c r="J162" s="61">
        <f t="shared" si="65"/>
        <v>5.2658124229565226</v>
      </c>
      <c r="K162" s="61">
        <f t="shared" si="65"/>
        <v>4.459459745391305</v>
      </c>
      <c r="L162" s="61">
        <f t="shared" si="65"/>
        <v>4.3156062052173922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1.4449513124869573</v>
      </c>
      <c r="U162" s="61">
        <f t="shared" si="65"/>
        <v>2.8558665787826092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0.35025029565217397</v>
      </c>
      <c r="E164" s="61">
        <f t="shared" si="67"/>
        <v>0.35025029565217397</v>
      </c>
      <c r="F164" s="61">
        <f t="shared" si="67"/>
        <v>0.38777711304347828</v>
      </c>
      <c r="G164" s="61">
        <f t="shared" si="67"/>
        <v>0.38777711304347828</v>
      </c>
      <c r="H164" s="61">
        <f t="shared" si="67"/>
        <v>0.37526817391304346</v>
      </c>
      <c r="I164" s="61">
        <f t="shared" si="67"/>
        <v>0.37526817391304346</v>
      </c>
      <c r="J164" s="61">
        <f t="shared" si="67"/>
        <v>0.96944278260869587</v>
      </c>
      <c r="K164" s="61">
        <f t="shared" si="67"/>
        <v>0.96944278260869587</v>
      </c>
      <c r="L164" s="61">
        <f t="shared" si="67"/>
        <v>0.93817043478260886</v>
      </c>
      <c r="M164" s="61">
        <f t="shared" si="67"/>
        <v>0.93817043478260886</v>
      </c>
      <c r="N164" s="61">
        <f t="shared" si="67"/>
        <v>0.96944278260869587</v>
      </c>
      <c r="O164" s="61">
        <f t="shared" si="67"/>
        <v>0.96944278260869587</v>
      </c>
      <c r="P164" s="61">
        <f t="shared" si="67"/>
        <v>0.96944278260869587</v>
      </c>
      <c r="Q164" s="61">
        <f t="shared" si="67"/>
        <v>0.96944278260869587</v>
      </c>
      <c r="R164" s="61">
        <f t="shared" si="67"/>
        <v>0.93817043478260886</v>
      </c>
      <c r="S164" s="61">
        <f t="shared" si="67"/>
        <v>0.93817043478260886</v>
      </c>
      <c r="T164" s="61">
        <f t="shared" si="67"/>
        <v>0.31991611826086974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0.11185878260869568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0.35025029565217397</v>
      </c>
      <c r="E172" s="61">
        <f t="shared" si="75"/>
        <v>0.35025029565217397</v>
      </c>
      <c r="F172" s="61">
        <f t="shared" si="75"/>
        <v>0.38777711304347828</v>
      </c>
      <c r="G172" s="61">
        <f t="shared" si="75"/>
        <v>5.7650353015652183</v>
      </c>
      <c r="H172" s="61">
        <f t="shared" si="75"/>
        <v>5.5521037356521763</v>
      </c>
      <c r="I172" s="61">
        <f t="shared" si="75"/>
        <v>5.5251410504347831</v>
      </c>
      <c r="J172" s="61">
        <f t="shared" si="75"/>
        <v>6.3471139881739145</v>
      </c>
      <c r="K172" s="61">
        <f t="shared" si="75"/>
        <v>5.4289025280000009</v>
      </c>
      <c r="L172" s="61">
        <f t="shared" si="75"/>
        <v>5.2537766400000008</v>
      </c>
      <c r="M172" s="61">
        <f t="shared" si="75"/>
        <v>0.93817043478260886</v>
      </c>
      <c r="N172" s="61">
        <f t="shared" si="75"/>
        <v>0.96944278260869587</v>
      </c>
      <c r="O172" s="61">
        <f t="shared" si="75"/>
        <v>0.96944278260869587</v>
      </c>
      <c r="P172" s="61">
        <f t="shared" si="75"/>
        <v>0.96944278260869587</v>
      </c>
      <c r="Q172" s="61">
        <f t="shared" si="75"/>
        <v>0.96944278260869587</v>
      </c>
      <c r="R172" s="61">
        <f t="shared" si="75"/>
        <v>0.93817043478260886</v>
      </c>
      <c r="S172" s="61">
        <f t="shared" si="75"/>
        <v>0.93817043478260886</v>
      </c>
      <c r="T172" s="61">
        <f t="shared" si="75"/>
        <v>1.7648674307478269</v>
      </c>
      <c r="U172" s="61">
        <f t="shared" si="75"/>
        <v>2.8558665787826092</v>
      </c>
      <c r="V172" s="61">
        <f t="shared" si="75"/>
        <v>0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46.273367392486954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0.70843895652173916</v>
      </c>
      <c r="C176" s="61">
        <f t="shared" si="77"/>
        <v>0.70843895652173916</v>
      </c>
      <c r="D176" s="61">
        <f t="shared" si="77"/>
        <v>0.63988034782608705</v>
      </c>
      <c r="E176" s="61">
        <f t="shared" si="77"/>
        <v>0.63988034782608705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0.70843895652173916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0.22371756521739136</v>
      </c>
      <c r="C178" s="61">
        <f t="shared" si="79"/>
        <v>0.22371756521739136</v>
      </c>
      <c r="D178" s="61">
        <f t="shared" si="79"/>
        <v>0.20206747826086963</v>
      </c>
      <c r="E178" s="61">
        <f t="shared" si="79"/>
        <v>0.20206747826086963</v>
      </c>
      <c r="F178" s="61">
        <f t="shared" si="79"/>
        <v>0.22371756521739136</v>
      </c>
      <c r="G178" s="61">
        <f t="shared" si="79"/>
        <v>0.22371756521739136</v>
      </c>
      <c r="H178" s="61">
        <f t="shared" si="79"/>
        <v>0.21650086956521744</v>
      </c>
      <c r="I178" s="61">
        <f t="shared" si="79"/>
        <v>0.21650086956521744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0.22371756521739136</v>
      </c>
      <c r="V178" s="61">
        <f t="shared" si="79"/>
        <v>0.21650086956521744</v>
      </c>
      <c r="W178" s="61">
        <f t="shared" si="79"/>
        <v>0.21650086956521744</v>
      </c>
      <c r="X178" s="61">
        <f t="shared" si="79"/>
        <v>0.22371756521739136</v>
      </c>
      <c r="Y178" s="61">
        <f t="shared" si="79"/>
        <v>0.22371756521739136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0.93215652173913055</v>
      </c>
      <c r="C185" s="61">
        <f>SUM(CdTrp1!C175:C184)</f>
        <v>0.93215652173913055</v>
      </c>
      <c r="D185" s="61">
        <f>SUM(CdTrp1!D175:D184)</f>
        <v>0.84194782608695662</v>
      </c>
      <c r="E185" s="61">
        <f>SUM(CdTrp1!E175:E184)</f>
        <v>0.84194782608695662</v>
      </c>
      <c r="F185" s="61">
        <f>SUM(CdTrp1!F175:F184)</f>
        <v>0.22371756521739136</v>
      </c>
      <c r="G185" s="61">
        <f>SUM(CdTrp1!G175:G184)</f>
        <v>0.22371756521739136</v>
      </c>
      <c r="H185" s="61">
        <f>SUM(CdTrp1!H175:H184)</f>
        <v>0.21650086956521744</v>
      </c>
      <c r="I185" s="61">
        <f>SUM(CdTrp1!I175:I184)</f>
        <v>0.21650086956521744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0.22371756521739136</v>
      </c>
      <c r="V185" s="61">
        <f>SUM(CdTrp1!V175:V184)</f>
        <v>0.21650086956521744</v>
      </c>
      <c r="W185" s="61">
        <f>SUM(CdTrp1!W175:W184)</f>
        <v>0.21650086956521744</v>
      </c>
      <c r="X185" s="61">
        <f>SUM(CdTrp1!X175:X184)</f>
        <v>0.22371756521739136</v>
      </c>
      <c r="Y185" s="61">
        <f>SUM(CdTrp1!Y175:Y184)</f>
        <v>0.93215652173913055</v>
      </c>
      <c r="AA185" s="64">
        <f>SUM(B185:Y185)</f>
        <v>6.2412389565217392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0.70843895652173916</v>
      </c>
      <c r="G189" s="61">
        <f t="shared" si="87"/>
        <v>0.70843895652173916</v>
      </c>
      <c r="H189" s="61">
        <f t="shared" si="87"/>
        <v>0.6855860869565219</v>
      </c>
      <c r="I189" s="61">
        <f t="shared" si="87"/>
        <v>0.6855860869565219</v>
      </c>
      <c r="J189" s="61">
        <f t="shared" si="87"/>
        <v>0.70843895652173916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0.70843895652173916</v>
      </c>
      <c r="V189" s="61">
        <f t="shared" si="87"/>
        <v>0.6855860869565219</v>
      </c>
      <c r="W189" s="61">
        <f t="shared" si="87"/>
        <v>0.6855860869565219</v>
      </c>
      <c r="X189" s="61">
        <f t="shared" si="87"/>
        <v>0.70843895652173916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0.70843895652173916</v>
      </c>
      <c r="G198" s="61">
        <f t="shared" si="96"/>
        <v>0.70843895652173916</v>
      </c>
      <c r="H198" s="61">
        <f t="shared" si="96"/>
        <v>0.6855860869565219</v>
      </c>
      <c r="I198" s="61">
        <f t="shared" si="96"/>
        <v>0.6855860869565219</v>
      </c>
      <c r="J198" s="61">
        <f t="shared" si="96"/>
        <v>0.70843895652173916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0.70843895652173916</v>
      </c>
      <c r="V198" s="61">
        <f t="shared" si="96"/>
        <v>0.6855860869565219</v>
      </c>
      <c r="W198" s="61">
        <f t="shared" si="96"/>
        <v>0.6855860869565219</v>
      </c>
      <c r="X198" s="61">
        <f t="shared" si="96"/>
        <v>0.70843895652173916</v>
      </c>
      <c r="Y198" s="61">
        <f t="shared" si="96"/>
        <v>0</v>
      </c>
      <c r="AA198" s="64">
        <f>SUM(B198:Y198)</f>
        <v>6.2845391304347835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5.3945077565217394</v>
      </c>
      <c r="N201" s="61">
        <f t="shared" si="97"/>
        <v>5.5743246817391308</v>
      </c>
      <c r="O201" s="61">
        <f t="shared" si="97"/>
        <v>5.5743246817391308</v>
      </c>
      <c r="P201" s="61">
        <f t="shared" si="97"/>
        <v>5.5743246817391308</v>
      </c>
      <c r="Q201" s="61">
        <f t="shared" si="97"/>
        <v>5.5743246817391308</v>
      </c>
      <c r="R201" s="61">
        <f t="shared" si="97"/>
        <v>5.3945077565217394</v>
      </c>
      <c r="S201" s="61">
        <f t="shared" si="97"/>
        <v>5.3945077565217394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5.3945077565217394</v>
      </c>
      <c r="N211" s="61">
        <f t="shared" si="107"/>
        <v>5.5743246817391308</v>
      </c>
      <c r="O211" s="61">
        <f t="shared" si="107"/>
        <v>5.5743246817391308</v>
      </c>
      <c r="P211" s="61">
        <f t="shared" si="107"/>
        <v>5.5743246817391308</v>
      </c>
      <c r="Q211" s="61">
        <f t="shared" si="107"/>
        <v>5.5743246817391308</v>
      </c>
      <c r="R211" s="61">
        <f t="shared" si="107"/>
        <v>5.3945077565217394</v>
      </c>
      <c r="S211" s="61">
        <f t="shared" si="107"/>
        <v>5.3945077565217394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38.48082199652174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8">C172</f>
        <v>0</v>
      </c>
      <c r="D215" s="61">
        <f t="shared" si="108"/>
        <v>0.35025029565217397</v>
      </c>
      <c r="E215" s="61">
        <f t="shared" si="108"/>
        <v>0.35025029565217397</v>
      </c>
      <c r="F215" s="61">
        <f t="shared" si="108"/>
        <v>0.38777711304347828</v>
      </c>
      <c r="G215" s="61">
        <f t="shared" si="108"/>
        <v>5.7650353015652183</v>
      </c>
      <c r="H215" s="61">
        <f t="shared" si="108"/>
        <v>5.5521037356521763</v>
      </c>
      <c r="I215" s="61">
        <f t="shared" si="108"/>
        <v>5.5251410504347831</v>
      </c>
      <c r="J215" s="61">
        <f t="shared" si="108"/>
        <v>6.3471139881739145</v>
      </c>
      <c r="K215" s="61">
        <f t="shared" si="108"/>
        <v>5.4289025280000009</v>
      </c>
      <c r="L215" s="61">
        <f t="shared" si="108"/>
        <v>5.2537766400000008</v>
      </c>
      <c r="M215" s="61">
        <f t="shared" si="108"/>
        <v>0.93817043478260886</v>
      </c>
      <c r="N215" s="61">
        <f t="shared" si="108"/>
        <v>0.96944278260869587</v>
      </c>
      <c r="O215" s="61">
        <f t="shared" si="108"/>
        <v>0.96944278260869587</v>
      </c>
      <c r="P215" s="61">
        <f t="shared" si="108"/>
        <v>0.96944278260869587</v>
      </c>
      <c r="Q215" s="61">
        <f t="shared" si="108"/>
        <v>0.96944278260869587</v>
      </c>
      <c r="R215" s="61">
        <f t="shared" si="108"/>
        <v>0.93817043478260886</v>
      </c>
      <c r="S215" s="61">
        <f t="shared" si="108"/>
        <v>0.93817043478260886</v>
      </c>
      <c r="T215" s="61">
        <f t="shared" si="108"/>
        <v>1.7648674307478269</v>
      </c>
      <c r="U215" s="61">
        <f t="shared" si="108"/>
        <v>2.8558665787826092</v>
      </c>
      <c r="V215" s="61">
        <f t="shared" si="108"/>
        <v>0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218</v>
      </c>
      <c r="B216" s="61">
        <f>B185</f>
        <v>0.93215652173913055</v>
      </c>
      <c r="C216" s="61">
        <f t="shared" ref="C216:Y216" si="109">C185</f>
        <v>0.93215652173913055</v>
      </c>
      <c r="D216" s="61">
        <f t="shared" si="109"/>
        <v>0.84194782608695662</v>
      </c>
      <c r="E216" s="61">
        <f t="shared" si="109"/>
        <v>0.84194782608695662</v>
      </c>
      <c r="F216" s="61">
        <f t="shared" si="109"/>
        <v>0.22371756521739136</v>
      </c>
      <c r="G216" s="61">
        <f t="shared" si="109"/>
        <v>0.22371756521739136</v>
      </c>
      <c r="H216" s="61">
        <f t="shared" si="109"/>
        <v>0.21650086956521744</v>
      </c>
      <c r="I216" s="61">
        <f t="shared" si="109"/>
        <v>0.21650086956521744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0.22371756521739136</v>
      </c>
      <c r="V216" s="61">
        <f t="shared" si="109"/>
        <v>0.21650086956521744</v>
      </c>
      <c r="W216" s="61">
        <f t="shared" si="109"/>
        <v>0.21650086956521744</v>
      </c>
      <c r="X216" s="61">
        <f t="shared" si="109"/>
        <v>0.22371756521739136</v>
      </c>
      <c r="Y216" s="61">
        <f t="shared" si="109"/>
        <v>0.93215652173913055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0.70843895652173916</v>
      </c>
      <c r="G217" s="61">
        <f t="shared" si="110"/>
        <v>0.70843895652173916</v>
      </c>
      <c r="H217" s="61">
        <f t="shared" si="110"/>
        <v>0.6855860869565219</v>
      </c>
      <c r="I217" s="61">
        <f t="shared" si="110"/>
        <v>0.6855860869565219</v>
      </c>
      <c r="J217" s="61">
        <f t="shared" si="110"/>
        <v>0.70843895652173916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0.70843895652173916</v>
      </c>
      <c r="V217" s="61">
        <f t="shared" si="110"/>
        <v>0.6855860869565219</v>
      </c>
      <c r="W217" s="61">
        <f t="shared" si="110"/>
        <v>0.6855860869565219</v>
      </c>
      <c r="X217" s="61">
        <f t="shared" si="110"/>
        <v>0.70843895652173916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5.3945077565217394</v>
      </c>
      <c r="N218" s="61">
        <f t="shared" si="111"/>
        <v>5.5743246817391308</v>
      </c>
      <c r="O218" s="61">
        <f t="shared" si="111"/>
        <v>5.5743246817391308</v>
      </c>
      <c r="P218" s="61">
        <f t="shared" si="111"/>
        <v>5.5743246817391308</v>
      </c>
      <c r="Q218" s="61">
        <f t="shared" si="111"/>
        <v>5.5743246817391308</v>
      </c>
      <c r="R218" s="61">
        <f t="shared" si="111"/>
        <v>5.3945077565217394</v>
      </c>
      <c r="S218" s="61">
        <f t="shared" si="111"/>
        <v>5.3945077565217394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97.279967475965179</v>
      </c>
      <c r="AB219" t="s">
        <v>222</v>
      </c>
    </row>
    <row r="220" spans="1:28" x14ac:dyDescent="0.25">
      <c r="AA220" s="30">
        <f>SUM(B215:Y217)</f>
        <v>58.799145479443467</v>
      </c>
      <c r="AB220" t="s">
        <v>223</v>
      </c>
    </row>
    <row r="221" spans="1:28" x14ac:dyDescent="0.25">
      <c r="AA221" s="30">
        <f>SUM(B218:Y218)</f>
        <v>38.48082199652174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8" activePane="bottomLeft" state="frozen"/>
      <selection pane="bottomLeft" activeCell="Y54" sqref="Y5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  <c r="AK1" t="s">
        <v>1428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1429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89">
        <f>Troupeau!K17</f>
        <v>9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14.44</v>
      </c>
      <c r="C15" s="162">
        <f>CdTrp2!AM2*Troupeau!$C$17/CdTrp2!$AI$2</f>
        <v>14.44</v>
      </c>
      <c r="D15" s="162">
        <f>CdTrp2!AN2*Troupeau!$C$17/CdTrp2!$AI$2</f>
        <v>14.44</v>
      </c>
      <c r="E15" s="162">
        <f>CdTrp2!AO2*Troupeau!$C$17/CdTrp2!$AI$2</f>
        <v>14.44</v>
      </c>
      <c r="F15" s="162">
        <f>CdTrp2!AP2*Troupeau!$C$17/CdTrp2!$AI$2</f>
        <v>14.44</v>
      </c>
      <c r="G15" s="162">
        <f>CdTrp2!AQ2*Troupeau!$C$17/CdTrp2!$AI$2</f>
        <v>14.44</v>
      </c>
      <c r="H15" s="162">
        <f>CdTrp2!AR2*Troupeau!$C$17/CdTrp2!$AI$2</f>
        <v>14.44</v>
      </c>
      <c r="I15" s="162">
        <f>CdTrp2!AS2*Troupeau!$C$17/CdTrp2!$AI$2</f>
        <v>14.44</v>
      </c>
      <c r="J15" s="162">
        <f>CdTrp2!AT2*Troupeau!$C$17/CdTrp2!$AI$2</f>
        <v>14.44</v>
      </c>
      <c r="K15" s="162">
        <f>CdTrp2!AU2*Troupeau!$C$17/CdTrp2!$AI$2</f>
        <v>14.44</v>
      </c>
      <c r="L15" s="162">
        <f>CdTrp2!AV2*Troupeau!$C$17/CdTrp2!$AI$2</f>
        <v>14.44</v>
      </c>
      <c r="M15" s="162">
        <f>CdTrp2!AW2*Troupeau!$C$17/CdTrp2!$AI$2</f>
        <v>14.44</v>
      </c>
      <c r="N15" s="162">
        <f>CdTrp2!AX2*Troupeau!$C$17/CdTrp2!$AI$2</f>
        <v>14.44</v>
      </c>
      <c r="O15" s="162">
        <f>CdTrp2!AY2*Troupeau!$C$17/CdTrp2!$AI$2</f>
        <v>14.44</v>
      </c>
      <c r="P15" s="162">
        <f>CdTrp2!AZ2*Troupeau!$C$17/CdTrp2!$AI$2</f>
        <v>14.44</v>
      </c>
      <c r="Q15" s="162">
        <f>CdTrp2!BA2*Troupeau!$C$17/CdTrp2!$AI$2</f>
        <v>14.44</v>
      </c>
      <c r="R15" s="162">
        <f>CdTrp2!BB2*Troupeau!$C$17/CdTrp2!$AI$2</f>
        <v>13.68</v>
      </c>
      <c r="S15" s="162">
        <f>CdTrp2!BC2*Troupeau!$C$17/CdTrp2!$AI$2</f>
        <v>13.68</v>
      </c>
      <c r="T15" s="162">
        <f>CdTrp2!BD2*Troupeau!$C$17/CdTrp2!$AI$2</f>
        <v>13.68</v>
      </c>
      <c r="U15" s="162">
        <f>CdTrp2!BE2*Troupeau!$C$17/CdTrp2!$AI$2</f>
        <v>13.68</v>
      </c>
      <c r="V15" s="162">
        <f>CdTrp2!BF2*Troupeau!$C$17/CdTrp2!$AI$2</f>
        <v>14.44</v>
      </c>
      <c r="W15" s="162">
        <f>CdTrp2!BG2*Troupeau!$C$17/CdTrp2!$AI$2</f>
        <v>14.44</v>
      </c>
      <c r="X15" s="162">
        <f>CdTrp2!BH2*Troupeau!$C$17/CdTrp2!$AI$2</f>
        <v>14.44</v>
      </c>
      <c r="Y15" s="162">
        <f>CdTrp2!BI2*Troupeau!$C$17/CdTrp2!$AI$2</f>
        <v>14.44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1.52</v>
      </c>
      <c r="H16" s="162">
        <f>CdTrp2!AR3*Troupeau!$C$17/CdTrp2!$AI$2</f>
        <v>3.04</v>
      </c>
      <c r="I16" s="162">
        <f>CdTrp2!AS3*Troupeau!$C$17/CdTrp2!$AI$2</f>
        <v>4.5599999999999996</v>
      </c>
      <c r="J16" s="162">
        <f>CdTrp2!AT3*Troupeau!$C$17/CdTrp2!$AI$2</f>
        <v>4.5599999999999996</v>
      </c>
      <c r="K16" s="162">
        <f>CdTrp2!AU3*Troupeau!$C$17/CdTrp2!$AI$2</f>
        <v>4.5599999999999996</v>
      </c>
      <c r="L16" s="162">
        <f>CdTrp2!AV3*Troupeau!$C$17/CdTrp2!$AI$2</f>
        <v>4.5599999999999996</v>
      </c>
      <c r="M16" s="162">
        <f>CdTrp2!AW3*Troupeau!$C$17/CdTrp2!$AI$2</f>
        <v>4.5599999999999996</v>
      </c>
      <c r="N16" s="162">
        <f>CdTrp2!AX3*Troupeau!$C$17/CdTrp2!$AI$2</f>
        <v>4.5599999999999996</v>
      </c>
      <c r="O16" s="162">
        <f>CdTrp2!AY3*Troupeau!$C$17/CdTrp2!$AI$2</f>
        <v>4.5599999999999996</v>
      </c>
      <c r="P16" s="162">
        <f>CdTrp2!AZ3*Troupeau!$C$17/CdTrp2!$AI$2</f>
        <v>4.5599999999999996</v>
      </c>
      <c r="Q16" s="162">
        <f>CdTrp2!BA3*Troupeau!$C$17/CdTrp2!$AI$2</f>
        <v>4.5599999999999996</v>
      </c>
      <c r="R16" s="162">
        <f>CdTrp2!BB3*Troupeau!$C$17/CdTrp2!$AI$2</f>
        <v>4.5599999999999996</v>
      </c>
      <c r="S16" s="162">
        <f>CdTrp2!BC3*Troupeau!$C$17/CdTrp2!$AI$2</f>
        <v>4.5599999999999996</v>
      </c>
      <c r="T16" s="162">
        <f>CdTrp2!BD3*Troupeau!$C$17/CdTrp2!$AI$2</f>
        <v>3.8</v>
      </c>
      <c r="U16" s="162">
        <f>CdTrp2!BE3*Troupeau!$C$17/CdTrp2!$AI$2</f>
        <v>3.8</v>
      </c>
      <c r="V16" s="162">
        <f>CdTrp2!BF3*Troupeau!$C$17/CdTrp2!$AI$2</f>
        <v>1.52</v>
      </c>
      <c r="W16" s="162">
        <f>CdTrp2!BG3*Troupeau!$C$17/CdTrp2!$AI$2</f>
        <v>0.76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9.1199999999999992</v>
      </c>
      <c r="C17" s="162">
        <f>CdTrp2!AM4*Troupeau!$C$17/CdTrp2!$AI$2</f>
        <v>9.1199999999999992</v>
      </c>
      <c r="D17" s="162">
        <f>CdTrp2!AN4*Troupeau!$C$17/CdTrp2!$AI$2</f>
        <v>9.1199999999999992</v>
      </c>
      <c r="E17" s="162">
        <f>CdTrp2!AO4*Troupeau!$C$17/CdTrp2!$AI$2</f>
        <v>9.1199999999999992</v>
      </c>
      <c r="F17" s="162">
        <f>CdTrp2!AP4*Troupeau!$C$17/CdTrp2!$AI$2</f>
        <v>9.1199999999999992</v>
      </c>
      <c r="G17" s="162">
        <f>CdTrp2!AQ4*Troupeau!$C$17/CdTrp2!$AI$2</f>
        <v>9.1199999999999992</v>
      </c>
      <c r="H17" s="162">
        <f>CdTrp2!AR4*Troupeau!$C$17/CdTrp2!$AI$2</f>
        <v>9.1199999999999992</v>
      </c>
      <c r="I17" s="162">
        <f>CdTrp2!AS4*Troupeau!$C$17/CdTrp2!$AI$2</f>
        <v>9.1199999999999992</v>
      </c>
      <c r="J17" s="162">
        <f>CdTrp2!AT4*Troupeau!$C$17/CdTrp2!$AI$2</f>
        <v>9.1199999999999992</v>
      </c>
      <c r="K17" s="162">
        <f>CdTrp2!AU4*Troupeau!$C$17/CdTrp2!$AI$2</f>
        <v>9.1199999999999992</v>
      </c>
      <c r="L17" s="162">
        <f>CdTrp2!AV4*Troupeau!$C$17/CdTrp2!$AI$2</f>
        <v>9.1199999999999992</v>
      </c>
      <c r="M17" s="162">
        <f>CdTrp2!AW4*Troupeau!$C$17/CdTrp2!$AI$2</f>
        <v>9.1199999999999992</v>
      </c>
      <c r="N17" s="162">
        <f>CdTrp2!AX4*Troupeau!$C$17/CdTrp2!$AI$2</f>
        <v>9.1199999999999992</v>
      </c>
      <c r="O17" s="162">
        <f>CdTrp2!AY4*Troupeau!$C$17/CdTrp2!$AI$2</f>
        <v>9.1199999999999992</v>
      </c>
      <c r="P17" s="162">
        <f>CdTrp2!AZ4*Troupeau!$C$17/CdTrp2!$AI$2</f>
        <v>9.1199999999999992</v>
      </c>
      <c r="Q17" s="162">
        <f>CdTrp2!BA4*Troupeau!$C$17/CdTrp2!$AI$2</f>
        <v>9.1199999999999992</v>
      </c>
      <c r="R17" s="162">
        <f>CdTrp2!BB4*Troupeau!$C$17/CdTrp2!$AI$2</f>
        <v>9.1199999999999992</v>
      </c>
      <c r="S17" s="162">
        <f>CdTrp2!BC4*Troupeau!$C$17/CdTrp2!$AI$2</f>
        <v>9.1199999999999992</v>
      </c>
      <c r="T17" s="162">
        <f>CdTrp2!BD4*Troupeau!$C$17/CdTrp2!$AI$2</f>
        <v>9.1199999999999992</v>
      </c>
      <c r="U17" s="162">
        <f>CdTrp2!BE4*Troupeau!$C$17/CdTrp2!$AI$2</f>
        <v>9.1199999999999992</v>
      </c>
      <c r="V17" s="162">
        <f>CdTrp2!BF4*Troupeau!$C$17/CdTrp2!$AI$2</f>
        <v>9.1199999999999992</v>
      </c>
      <c r="W17" s="162">
        <f>CdTrp2!BG4*Troupeau!$C$17/CdTrp2!$AI$2</f>
        <v>9.1199999999999992</v>
      </c>
      <c r="X17" s="162">
        <f>CdTrp2!BH4*Troupeau!$C$17/CdTrp2!$AI$2</f>
        <v>9.1199999999999992</v>
      </c>
      <c r="Y17" s="162">
        <f>CdTrp2!BI4*Troupeau!$C$17/CdTrp2!$AI$2</f>
        <v>9.1199999999999992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5282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5.3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2242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2.2000000000000002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 t="str">
        <f>HLOOKUP(AF$4,[1]Anx!$C$86:$CO$121,AE20)</f>
        <v>8 -CMV bovin allaitant</v>
      </c>
      <c r="AH20" s="61">
        <f t="shared" si="2"/>
        <v>8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f>(19/25)*1+(6/25)*0.85</f>
        <v>0.96399999999999997</v>
      </c>
      <c r="C27" s="60">
        <v>0.96</v>
      </c>
      <c r="D27" s="60">
        <v>0.96</v>
      </c>
      <c r="E27" s="60">
        <v>0.96</v>
      </c>
      <c r="F27" s="60">
        <v>0.96</v>
      </c>
      <c r="G27" s="60">
        <f>(9/25)*1+(16/25)*0.85</f>
        <v>0.90400000000000003</v>
      </c>
      <c r="H27" s="60">
        <f>(6/25)*1+(19/25)*0.85</f>
        <v>0.88600000000000001</v>
      </c>
      <c r="I27" s="60">
        <f>(3/25)*1+(22/25)*0.85</f>
        <v>0.86799999999999999</v>
      </c>
      <c r="J27" s="60">
        <f>(0/25)*1+(25/25)*0.85</f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f>(4/25)*1+(21/25)*0.85</f>
        <v>0.874</v>
      </c>
      <c r="U27" s="60">
        <f>(8/25)*1+(17/25)*0.85</f>
        <v>0.89800000000000013</v>
      </c>
      <c r="V27" s="60">
        <f>(12/25)*1+(13/25)*0.85</f>
        <v>0.92199999999999993</v>
      </c>
      <c r="W27" s="60">
        <f>(15/25)*1+(10/25)*0.85</f>
        <v>0.94</v>
      </c>
      <c r="X27" s="60">
        <f>(18/25)*1+(7/25)*0.85</f>
        <v>0.95799999999999996</v>
      </c>
      <c r="Y27" s="60">
        <f>(21/25)*1+(4/25)*0.85</f>
        <v>0.97599999999999998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13.920159999999999</v>
      </c>
      <c r="C39" s="61">
        <f t="shared" ref="C39:Y48" si="13">C15*C27</f>
        <v>13.862399999999999</v>
      </c>
      <c r="D39" s="61">
        <f t="shared" si="13"/>
        <v>13.862399999999999</v>
      </c>
      <c r="E39" s="61">
        <f t="shared" si="13"/>
        <v>13.862399999999999</v>
      </c>
      <c r="F39" s="61">
        <f t="shared" si="13"/>
        <v>13.862399999999999</v>
      </c>
      <c r="G39" s="61">
        <f t="shared" si="13"/>
        <v>13.05376</v>
      </c>
      <c r="H39" s="61">
        <f t="shared" si="13"/>
        <v>12.793839999999999</v>
      </c>
      <c r="I39" s="61">
        <f t="shared" si="13"/>
        <v>12.53392</v>
      </c>
      <c r="J39" s="61">
        <f t="shared" si="13"/>
        <v>12.273999999999999</v>
      </c>
      <c r="K39" s="61">
        <f t="shared" si="13"/>
        <v>12.273999999999999</v>
      </c>
      <c r="L39" s="61">
        <f t="shared" si="13"/>
        <v>12.273999999999999</v>
      </c>
      <c r="M39" s="61">
        <f t="shared" si="13"/>
        <v>12.273999999999999</v>
      </c>
      <c r="N39" s="61">
        <f t="shared" si="13"/>
        <v>12.273999999999999</v>
      </c>
      <c r="O39" s="61">
        <f t="shared" si="13"/>
        <v>12.273999999999999</v>
      </c>
      <c r="P39" s="61">
        <f t="shared" si="13"/>
        <v>12.273999999999999</v>
      </c>
      <c r="Q39" s="61">
        <f t="shared" si="13"/>
        <v>12.273999999999999</v>
      </c>
      <c r="R39" s="61">
        <f t="shared" si="13"/>
        <v>11.628</v>
      </c>
      <c r="S39" s="61">
        <f t="shared" si="13"/>
        <v>11.628</v>
      </c>
      <c r="T39" s="61">
        <f t="shared" si="13"/>
        <v>11.95632</v>
      </c>
      <c r="U39" s="61">
        <f t="shared" si="13"/>
        <v>12.284640000000001</v>
      </c>
      <c r="V39" s="61">
        <f t="shared" si="13"/>
        <v>13.313679999999998</v>
      </c>
      <c r="W39" s="61">
        <f t="shared" si="13"/>
        <v>13.573599999999999</v>
      </c>
      <c r="X39" s="61">
        <f t="shared" si="13"/>
        <v>13.833519999999998</v>
      </c>
      <c r="Y39" s="61">
        <f t="shared" si="13"/>
        <v>14.093439999999999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0.53199999999999992</v>
      </c>
      <c r="H40" s="61">
        <f t="shared" si="14"/>
        <v>1.0639999999999998</v>
      </c>
      <c r="I40" s="61">
        <f t="shared" si="14"/>
        <v>1.5959999999999999</v>
      </c>
      <c r="J40" s="61">
        <f t="shared" si="14"/>
        <v>1.5959999999999999</v>
      </c>
      <c r="K40" s="61">
        <f t="shared" si="14"/>
        <v>1.5959999999999999</v>
      </c>
      <c r="L40" s="61">
        <f t="shared" si="14"/>
        <v>1.5959999999999999</v>
      </c>
      <c r="M40" s="61">
        <f t="shared" si="14"/>
        <v>1.5959999999999999</v>
      </c>
      <c r="N40" s="61">
        <f t="shared" si="14"/>
        <v>1.5959999999999999</v>
      </c>
      <c r="O40" s="61">
        <f t="shared" si="14"/>
        <v>1.5959999999999999</v>
      </c>
      <c r="P40" s="61">
        <f t="shared" si="14"/>
        <v>1.5959999999999999</v>
      </c>
      <c r="Q40" s="61">
        <f t="shared" si="14"/>
        <v>1.5959999999999999</v>
      </c>
      <c r="R40" s="61">
        <f t="shared" si="13"/>
        <v>1.5959999999999999</v>
      </c>
      <c r="S40" s="61">
        <f t="shared" si="13"/>
        <v>1.5959999999999999</v>
      </c>
      <c r="T40" s="61">
        <f t="shared" si="13"/>
        <v>1.3299999999999998</v>
      </c>
      <c r="U40" s="61">
        <f t="shared" si="13"/>
        <v>1.3299999999999998</v>
      </c>
      <c r="V40" s="61">
        <f t="shared" si="13"/>
        <v>0.53199999999999992</v>
      </c>
      <c r="W40" s="61">
        <f t="shared" si="13"/>
        <v>0.26599999999999996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6.3839999999999995</v>
      </c>
      <c r="C41" s="61">
        <f t="shared" si="13"/>
        <v>6.3839999999999995</v>
      </c>
      <c r="D41" s="61">
        <f t="shared" si="13"/>
        <v>6.3839999999999995</v>
      </c>
      <c r="E41" s="61">
        <f t="shared" si="13"/>
        <v>6.3839999999999995</v>
      </c>
      <c r="F41" s="61">
        <f t="shared" si="13"/>
        <v>6.3839999999999995</v>
      </c>
      <c r="G41" s="61">
        <f t="shared" si="13"/>
        <v>6.3839999999999995</v>
      </c>
      <c r="H41" s="61">
        <f t="shared" si="13"/>
        <v>6.3839999999999995</v>
      </c>
      <c r="I41" s="61">
        <f t="shared" si="13"/>
        <v>6.3839999999999995</v>
      </c>
      <c r="J41" s="61">
        <f t="shared" si="13"/>
        <v>6.3839999999999995</v>
      </c>
      <c r="K41" s="61">
        <f t="shared" si="13"/>
        <v>6.3839999999999995</v>
      </c>
      <c r="L41" s="61">
        <f t="shared" si="13"/>
        <v>6.3839999999999995</v>
      </c>
      <c r="M41" s="61">
        <f t="shared" si="13"/>
        <v>6.3839999999999995</v>
      </c>
      <c r="N41" s="61">
        <f t="shared" si="13"/>
        <v>6.3839999999999995</v>
      </c>
      <c r="O41" s="61">
        <f t="shared" si="13"/>
        <v>6.3839999999999995</v>
      </c>
      <c r="P41" s="61">
        <f t="shared" si="13"/>
        <v>6.3839999999999995</v>
      </c>
      <c r="Q41" s="61">
        <f t="shared" si="13"/>
        <v>6.3839999999999995</v>
      </c>
      <c r="R41" s="61">
        <f t="shared" si="13"/>
        <v>6.3839999999999995</v>
      </c>
      <c r="S41" s="61">
        <f t="shared" si="13"/>
        <v>6.3839999999999995</v>
      </c>
      <c r="T41" s="61">
        <f t="shared" si="13"/>
        <v>6.3839999999999995</v>
      </c>
      <c r="U41" s="61">
        <f t="shared" si="13"/>
        <v>6.3839999999999995</v>
      </c>
      <c r="V41" s="61">
        <f t="shared" si="13"/>
        <v>6.3839999999999995</v>
      </c>
      <c r="W41" s="61">
        <f t="shared" si="13"/>
        <v>6.3839999999999995</v>
      </c>
      <c r="X41" s="61">
        <f t="shared" si="13"/>
        <v>6.3839999999999995</v>
      </c>
      <c r="Y41" s="61">
        <f t="shared" si="13"/>
        <v>6.3839999999999995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20.30416</v>
      </c>
      <c r="C49" s="62">
        <f t="shared" ref="C49:Y49" si="15">SUM(C39:C48)</f>
        <v>20.246399999999998</v>
      </c>
      <c r="D49" s="62">
        <f t="shared" si="15"/>
        <v>20.246399999999998</v>
      </c>
      <c r="E49" s="62">
        <f t="shared" si="15"/>
        <v>20.246399999999998</v>
      </c>
      <c r="F49" s="62">
        <f t="shared" si="15"/>
        <v>20.246399999999998</v>
      </c>
      <c r="G49" s="62">
        <f t="shared" si="15"/>
        <v>19.969760000000001</v>
      </c>
      <c r="H49" s="62">
        <f t="shared" si="15"/>
        <v>20.24184</v>
      </c>
      <c r="I49" s="62">
        <f t="shared" si="15"/>
        <v>20.513919999999999</v>
      </c>
      <c r="J49" s="62">
        <f t="shared" si="15"/>
        <v>20.253999999999998</v>
      </c>
      <c r="K49" s="62">
        <f t="shared" si="15"/>
        <v>20.253999999999998</v>
      </c>
      <c r="L49" s="62">
        <f t="shared" si="15"/>
        <v>20.253999999999998</v>
      </c>
      <c r="M49" s="62">
        <f t="shared" si="15"/>
        <v>20.253999999999998</v>
      </c>
      <c r="N49" s="62">
        <f t="shared" si="15"/>
        <v>20.253999999999998</v>
      </c>
      <c r="O49" s="62">
        <f t="shared" si="15"/>
        <v>20.253999999999998</v>
      </c>
      <c r="P49" s="62">
        <f t="shared" si="15"/>
        <v>20.253999999999998</v>
      </c>
      <c r="Q49" s="62">
        <f t="shared" si="15"/>
        <v>20.253999999999998</v>
      </c>
      <c r="R49" s="62">
        <f t="shared" si="15"/>
        <v>19.608000000000001</v>
      </c>
      <c r="S49" s="62">
        <f t="shared" si="15"/>
        <v>19.608000000000001</v>
      </c>
      <c r="T49" s="62">
        <f t="shared" si="15"/>
        <v>19.67032</v>
      </c>
      <c r="U49" s="62">
        <f t="shared" si="15"/>
        <v>19.998640000000002</v>
      </c>
      <c r="V49" s="62">
        <f t="shared" si="15"/>
        <v>20.229679999999998</v>
      </c>
      <c r="W49" s="62">
        <f t="shared" si="15"/>
        <v>20.223599999999998</v>
      </c>
      <c r="X49" s="62">
        <f t="shared" si="15"/>
        <v>20.217519999999997</v>
      </c>
      <c r="Y49" s="62">
        <f t="shared" si="15"/>
        <v>20.477439999999998</v>
      </c>
      <c r="Z49" s="23"/>
      <c r="AA49" s="46">
        <f>AVERAGE(B49:Y49)</f>
        <v>20.170019999999997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3</v>
      </c>
      <c r="C53" s="60">
        <v>3</v>
      </c>
      <c r="D53" s="60">
        <v>3</v>
      </c>
      <c r="E53" s="60">
        <v>3</v>
      </c>
      <c r="F53" s="60">
        <v>3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0.5</v>
      </c>
      <c r="X53" s="60">
        <v>3</v>
      </c>
      <c r="Y53" s="60">
        <v>3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5.3</v>
      </c>
      <c r="AZ54" s="84">
        <f t="shared" si="17"/>
        <v>2.2000000000000002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14.2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72" si="18">B39*B52*B$3</f>
        <v>215.76247999999998</v>
      </c>
      <c r="C63" s="61">
        <f t="shared" si="18"/>
        <v>214.8672</v>
      </c>
      <c r="D63" s="61">
        <f t="shared" si="18"/>
        <v>194.0736</v>
      </c>
      <c r="E63" s="61">
        <f t="shared" si="18"/>
        <v>194.0736</v>
      </c>
      <c r="F63" s="61">
        <f t="shared" si="18"/>
        <v>214.8672</v>
      </c>
      <c r="G63" s="61">
        <f t="shared" si="18"/>
        <v>202.33328</v>
      </c>
      <c r="H63" s="61">
        <f t="shared" si="18"/>
        <v>95.953800000000001</v>
      </c>
      <c r="I63" s="61">
        <f t="shared" si="18"/>
        <v>94.004400000000004</v>
      </c>
      <c r="J63" s="61">
        <f t="shared" si="18"/>
        <v>95.123499999999993</v>
      </c>
      <c r="K63" s="61">
        <f t="shared" si="18"/>
        <v>95.123499999999993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92.661479999999997</v>
      </c>
      <c r="U63" s="61">
        <f t="shared" si="18"/>
        <v>95.205960000000005</v>
      </c>
      <c r="V63" s="61">
        <f t="shared" si="18"/>
        <v>99.852599999999981</v>
      </c>
      <c r="W63" s="61">
        <f t="shared" si="18"/>
        <v>101.80199999999999</v>
      </c>
      <c r="X63" s="61">
        <f t="shared" si="18"/>
        <v>214.41955999999996</v>
      </c>
      <c r="Y63" s="61">
        <f t="shared" si="18"/>
        <v>218.44832</v>
      </c>
      <c r="Z63" s="52"/>
      <c r="AE63" s="86"/>
    </row>
    <row r="64" spans="1:83" s="5" customFormat="1" hidden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3.9899999999999993</v>
      </c>
      <c r="W64" s="61">
        <f t="shared" si="18"/>
        <v>1.9949999999999997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genisses +1an</v>
      </c>
      <c r="B65" s="61">
        <f t="shared" si="18"/>
        <v>98.951999999999998</v>
      </c>
      <c r="C65" s="61">
        <f t="shared" si="18"/>
        <v>98.951999999999998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98.951999999999998</v>
      </c>
      <c r="Y65" s="61">
        <f t="shared" si="18"/>
        <v>98.951999999999998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315</v>
      </c>
      <c r="C73" s="64">
        <f t="shared" ref="C73:Y73" si="19">ROUND(SUM(C63:C72),0)</f>
        <v>314</v>
      </c>
      <c r="D73" s="64">
        <f t="shared" si="19"/>
        <v>194</v>
      </c>
      <c r="E73" s="64">
        <f t="shared" si="19"/>
        <v>194</v>
      </c>
      <c r="F73" s="64">
        <f t="shared" si="19"/>
        <v>215</v>
      </c>
      <c r="G73" s="64">
        <f t="shared" si="19"/>
        <v>202</v>
      </c>
      <c r="H73" s="64">
        <f t="shared" si="19"/>
        <v>96</v>
      </c>
      <c r="I73" s="64">
        <f t="shared" si="19"/>
        <v>94</v>
      </c>
      <c r="J73" s="64">
        <f t="shared" si="19"/>
        <v>95</v>
      </c>
      <c r="K73" s="64">
        <f t="shared" si="19"/>
        <v>95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93</v>
      </c>
      <c r="U73" s="64">
        <f t="shared" si="19"/>
        <v>95</v>
      </c>
      <c r="V73" s="64">
        <f t="shared" si="19"/>
        <v>104</v>
      </c>
      <c r="W73" s="64">
        <f t="shared" si="19"/>
        <v>104</v>
      </c>
      <c r="X73" s="64">
        <f t="shared" si="19"/>
        <v>313</v>
      </c>
      <c r="Y73" s="64">
        <f t="shared" si="19"/>
        <v>317</v>
      </c>
      <c r="Z73" s="52"/>
      <c r="AA73" s="56">
        <f>ROUND(SUM(B73:Y73),0)</f>
        <v>2840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>
        <v>1</v>
      </c>
      <c r="I76" s="60">
        <v>1</v>
      </c>
      <c r="J76" s="60">
        <v>2</v>
      </c>
      <c r="K76" s="60">
        <v>2</v>
      </c>
      <c r="L76" s="60">
        <v>2</v>
      </c>
      <c r="M76" s="60">
        <v>2</v>
      </c>
      <c r="N76" s="60">
        <v>2</v>
      </c>
      <c r="O76" s="60">
        <v>1</v>
      </c>
      <c r="P76" s="60">
        <v>1</v>
      </c>
      <c r="Q76" s="60">
        <v>1</v>
      </c>
      <c r="R76" s="60">
        <v>2</v>
      </c>
      <c r="S76" s="60">
        <v>2</v>
      </c>
      <c r="T76" s="60">
        <v>3</v>
      </c>
      <c r="U76" s="60">
        <v>3</v>
      </c>
      <c r="V76" s="60">
        <v>2</v>
      </c>
      <c r="W76" s="60">
        <v>2</v>
      </c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/>
      <c r="E77" s="60"/>
      <c r="F77" s="60"/>
      <c r="G77" s="60">
        <v>1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/>
      <c r="Y77" s="60"/>
      <c r="AB77" t="s">
        <v>447</v>
      </c>
      <c r="AC77">
        <f>COUNTIF($B$76:$Y$85,"&gt;0")/2</f>
        <v>26.5</v>
      </c>
      <c r="AG77" s="5"/>
    </row>
    <row r="78" spans="1:33" x14ac:dyDescent="0.25">
      <c r="A78" s="128" t="str">
        <f>A$17</f>
        <v>genisses +1an</v>
      </c>
      <c r="B78" s="60"/>
      <c r="C78" s="60"/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>
        <v>2</v>
      </c>
      <c r="N78" s="60">
        <v>2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3</v>
      </c>
      <c r="U78" s="60">
        <v>1</v>
      </c>
      <c r="V78" s="60">
        <v>1</v>
      </c>
      <c r="W78" s="60">
        <v>1</v>
      </c>
      <c r="X78" s="60"/>
      <c r="Y78" s="60"/>
      <c r="AB78">
        <v>1</v>
      </c>
      <c r="AC78">
        <f>COUNTIF($B$76:$Y$85,AB78)/2</f>
        <v>12.5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12.5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1.5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13</v>
      </c>
      <c r="C99" s="61">
        <f t="shared" ref="C99:Y99" si="21">VLOOKUP(C88,$AD$6:$AF$10,3)</f>
        <v>13</v>
      </c>
      <c r="D99" s="61">
        <f t="shared" si="21"/>
        <v>13</v>
      </c>
      <c r="E99" s="61">
        <f t="shared" si="21"/>
        <v>13</v>
      </c>
      <c r="F99" s="61">
        <f t="shared" si="21"/>
        <v>13</v>
      </c>
      <c r="G99" s="61">
        <f t="shared" si="21"/>
        <v>13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13</v>
      </c>
      <c r="Y99" s="61">
        <f t="shared" si="21"/>
        <v>13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13</v>
      </c>
      <c r="C100" s="61">
        <f t="shared" si="22"/>
        <v>13</v>
      </c>
      <c r="D100" s="61">
        <f t="shared" si="22"/>
        <v>13</v>
      </c>
      <c r="E100" s="61">
        <f t="shared" si="22"/>
        <v>13</v>
      </c>
      <c r="F100" s="61">
        <f t="shared" si="22"/>
        <v>13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13</v>
      </c>
      <c r="Y100" s="61">
        <f t="shared" si="22"/>
        <v>13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13</v>
      </c>
      <c r="C101" s="61">
        <f t="shared" si="23"/>
        <v>13</v>
      </c>
      <c r="D101" s="61">
        <f t="shared" si="23"/>
        <v>13</v>
      </c>
      <c r="E101" s="61">
        <f t="shared" si="23"/>
        <v>13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13</v>
      </c>
      <c r="Y101" s="61">
        <f t="shared" si="23"/>
        <v>13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2.8049122399999997</v>
      </c>
      <c r="C110" s="61">
        <f t="shared" si="31"/>
        <v>2.7932736</v>
      </c>
      <c r="D110" s="61">
        <f t="shared" si="31"/>
        <v>2.5229567999999998</v>
      </c>
      <c r="E110" s="61">
        <f t="shared" si="31"/>
        <v>2.5229567999999998</v>
      </c>
      <c r="F110" s="61">
        <f t="shared" si="31"/>
        <v>2.7932736</v>
      </c>
      <c r="G110" s="61">
        <f t="shared" si="31"/>
        <v>2.6303326400000002</v>
      </c>
      <c r="H110" s="61">
        <f t="shared" si="31"/>
        <v>2.3508681</v>
      </c>
      <c r="I110" s="61">
        <f t="shared" si="31"/>
        <v>2.3031078000000003</v>
      </c>
      <c r="J110" s="61">
        <f t="shared" si="31"/>
        <v>2.3305257499999996</v>
      </c>
      <c r="K110" s="61">
        <f t="shared" si="31"/>
        <v>2.3305257499999996</v>
      </c>
      <c r="L110" s="61">
        <f t="shared" si="31"/>
        <v>2.2553475000000001</v>
      </c>
      <c r="M110" s="61">
        <f t="shared" si="31"/>
        <v>2.2553475000000001</v>
      </c>
      <c r="N110" s="61">
        <f t="shared" si="31"/>
        <v>2.3305257499999996</v>
      </c>
      <c r="O110" s="61">
        <f t="shared" si="31"/>
        <v>2.3305257499999996</v>
      </c>
      <c r="P110" s="61">
        <f t="shared" si="31"/>
        <v>2.3305257499999996</v>
      </c>
      <c r="Q110" s="61">
        <f t="shared" si="31"/>
        <v>2.3305257499999996</v>
      </c>
      <c r="R110" s="61">
        <f t="shared" si="31"/>
        <v>1.9186200000000002</v>
      </c>
      <c r="S110" s="61">
        <f t="shared" si="31"/>
        <v>1.9186200000000002</v>
      </c>
      <c r="T110" s="61">
        <f t="shared" si="31"/>
        <v>2.5945214399999998</v>
      </c>
      <c r="U110" s="61">
        <f t="shared" si="31"/>
        <v>2.6657668800000001</v>
      </c>
      <c r="V110" s="61">
        <f t="shared" si="31"/>
        <v>2.7958727999999997</v>
      </c>
      <c r="W110" s="61">
        <f t="shared" si="31"/>
        <v>2.8504559999999999</v>
      </c>
      <c r="X110" s="61">
        <f t="shared" si="31"/>
        <v>2.7874542799999995</v>
      </c>
      <c r="Y110" s="61">
        <f t="shared" si="31"/>
        <v>2.8398281600000002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0.10719799999999997</v>
      </c>
      <c r="H111" s="61">
        <f t="shared" si="31"/>
        <v>0.20747999999999997</v>
      </c>
      <c r="I111" s="61">
        <f t="shared" si="31"/>
        <v>0.31122</v>
      </c>
      <c r="J111" s="61">
        <f t="shared" si="31"/>
        <v>0.32159399999999999</v>
      </c>
      <c r="K111" s="61">
        <f t="shared" si="31"/>
        <v>0.32159399999999999</v>
      </c>
      <c r="L111" s="61">
        <f t="shared" si="31"/>
        <v>0.31122</v>
      </c>
      <c r="M111" s="61">
        <f t="shared" si="31"/>
        <v>0.31122</v>
      </c>
      <c r="N111" s="61">
        <f t="shared" si="31"/>
        <v>0.32159399999999999</v>
      </c>
      <c r="O111" s="61">
        <f t="shared" si="31"/>
        <v>0.32159399999999999</v>
      </c>
      <c r="P111" s="61">
        <f t="shared" si="31"/>
        <v>0.32159399999999999</v>
      </c>
      <c r="Q111" s="61">
        <f t="shared" si="31"/>
        <v>0.32159399999999999</v>
      </c>
      <c r="R111" s="61">
        <f t="shared" si="31"/>
        <v>0.31122</v>
      </c>
      <c r="S111" s="61">
        <f t="shared" si="31"/>
        <v>0.31122</v>
      </c>
      <c r="T111" s="61">
        <f t="shared" si="31"/>
        <v>0.26799499999999998</v>
      </c>
      <c r="U111" s="61">
        <f t="shared" si="31"/>
        <v>0.26799499999999998</v>
      </c>
      <c r="V111" s="61">
        <f t="shared" si="31"/>
        <v>0.10373999999999999</v>
      </c>
      <c r="W111" s="61">
        <f t="shared" si="31"/>
        <v>5.1869999999999993E-2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1.286376</v>
      </c>
      <c r="C112" s="61">
        <f t="shared" si="31"/>
        <v>1.286376</v>
      </c>
      <c r="D112" s="61">
        <f t="shared" si="31"/>
        <v>1.1618879999999998</v>
      </c>
      <c r="E112" s="61">
        <f t="shared" si="31"/>
        <v>1.1618879999999998</v>
      </c>
      <c r="F112" s="61">
        <f t="shared" si="31"/>
        <v>1.286376</v>
      </c>
      <c r="G112" s="61">
        <f t="shared" si="31"/>
        <v>1.286376</v>
      </c>
      <c r="H112" s="61">
        <f t="shared" si="31"/>
        <v>1.24488</v>
      </c>
      <c r="I112" s="61">
        <f t="shared" si="31"/>
        <v>1.24488</v>
      </c>
      <c r="J112" s="61">
        <f t="shared" si="31"/>
        <v>1.286376</v>
      </c>
      <c r="K112" s="61">
        <f t="shared" si="31"/>
        <v>1.286376</v>
      </c>
      <c r="L112" s="61">
        <f t="shared" si="31"/>
        <v>1.24488</v>
      </c>
      <c r="M112" s="61">
        <f t="shared" si="31"/>
        <v>1.24488</v>
      </c>
      <c r="N112" s="61">
        <f t="shared" si="31"/>
        <v>1.286376</v>
      </c>
      <c r="O112" s="61">
        <f t="shared" si="31"/>
        <v>1.286376</v>
      </c>
      <c r="P112" s="61">
        <f t="shared" si="31"/>
        <v>1.286376</v>
      </c>
      <c r="Q112" s="61">
        <f t="shared" si="31"/>
        <v>1.286376</v>
      </c>
      <c r="R112" s="61">
        <f t="shared" si="31"/>
        <v>1.24488</v>
      </c>
      <c r="S112" s="61">
        <f t="shared" si="31"/>
        <v>1.24488</v>
      </c>
      <c r="T112" s="61">
        <f t="shared" si="31"/>
        <v>1.286376</v>
      </c>
      <c r="U112" s="61">
        <f t="shared" si="31"/>
        <v>1.286376</v>
      </c>
      <c r="V112" s="61">
        <f t="shared" si="31"/>
        <v>1.24488</v>
      </c>
      <c r="W112" s="61">
        <f t="shared" si="31"/>
        <v>1.24488</v>
      </c>
      <c r="X112" s="61">
        <f t="shared" si="31"/>
        <v>1.286376</v>
      </c>
      <c r="Y112" s="61">
        <f t="shared" si="31"/>
        <v>1.286376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4.0999999999999996</v>
      </c>
      <c r="C120" s="61">
        <f t="shared" ref="C120:Y120" si="32">SUM(C110:C119)</f>
        <v>4.0796495999999998</v>
      </c>
      <c r="D120" s="61">
        <f t="shared" si="32"/>
        <v>3.6848447999999996</v>
      </c>
      <c r="E120" s="61">
        <f t="shared" si="32"/>
        <v>3.6848447999999996</v>
      </c>
      <c r="F120" s="61">
        <f t="shared" si="32"/>
        <v>4.0796495999999998</v>
      </c>
      <c r="G120" s="61">
        <f t="shared" si="32"/>
        <v>4.0239066399999999</v>
      </c>
      <c r="H120" s="61">
        <f t="shared" si="32"/>
        <v>3.8032281000000001</v>
      </c>
      <c r="I120" s="61">
        <f t="shared" si="32"/>
        <v>3.8592078000000001</v>
      </c>
      <c r="J120" s="61">
        <f t="shared" si="32"/>
        <v>3.9384957499999995</v>
      </c>
      <c r="K120" s="61">
        <f t="shared" si="32"/>
        <v>3.9384957499999995</v>
      </c>
      <c r="L120" s="61">
        <f t="shared" si="32"/>
        <v>3.8114474999999999</v>
      </c>
      <c r="M120" s="61">
        <f t="shared" si="32"/>
        <v>3.8114474999999999</v>
      </c>
      <c r="N120" s="61">
        <f t="shared" si="32"/>
        <v>3.9384957499999995</v>
      </c>
      <c r="O120" s="61">
        <f t="shared" si="32"/>
        <v>3.9384957499999995</v>
      </c>
      <c r="P120" s="61">
        <f t="shared" si="32"/>
        <v>3.9384957499999995</v>
      </c>
      <c r="Q120" s="61">
        <f t="shared" si="32"/>
        <v>3.9384957499999995</v>
      </c>
      <c r="R120" s="61">
        <f t="shared" si="32"/>
        <v>3.4747200000000005</v>
      </c>
      <c r="S120" s="61">
        <f t="shared" si="32"/>
        <v>3.4747200000000005</v>
      </c>
      <c r="T120" s="61">
        <f t="shared" si="32"/>
        <v>4.14889244</v>
      </c>
      <c r="U120" s="61">
        <f t="shared" si="32"/>
        <v>4.2201378800000002</v>
      </c>
      <c r="V120" s="61">
        <f t="shared" si="32"/>
        <v>4.1444928000000001</v>
      </c>
      <c r="W120" s="61">
        <f t="shared" si="32"/>
        <v>4.1472059999999997</v>
      </c>
      <c r="X120" s="61">
        <f t="shared" si="32"/>
        <v>4.0738302799999992</v>
      </c>
      <c r="Y120" s="61">
        <f t="shared" si="32"/>
        <v>4.1262041600000003</v>
      </c>
      <c r="AA120" s="57">
        <f>SUM(B120:Y120)</f>
        <v>94.379404399999999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0.5</v>
      </c>
      <c r="U123" s="60">
        <v>0.5</v>
      </c>
      <c r="V123" s="60">
        <v>0.5</v>
      </c>
      <c r="W123" s="60">
        <v>0.5</v>
      </c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>
        <v>0.5</v>
      </c>
      <c r="G124" s="60">
        <v>0.5</v>
      </c>
      <c r="H124" s="60">
        <v>0.5</v>
      </c>
      <c r="I124" s="60">
        <v>0.5</v>
      </c>
      <c r="J124" s="60">
        <v>0.5</v>
      </c>
      <c r="K124" s="60">
        <v>0.5</v>
      </c>
      <c r="L124" s="60">
        <v>0.5</v>
      </c>
      <c r="M124" s="60">
        <v>0.5</v>
      </c>
      <c r="N124" s="60">
        <v>0.5</v>
      </c>
      <c r="O124" s="60">
        <v>0.5</v>
      </c>
      <c r="P124" s="60">
        <v>0.5</v>
      </c>
      <c r="Q124" s="60">
        <v>0.5</v>
      </c>
      <c r="R124" s="60">
        <v>0.5</v>
      </c>
      <c r="S124" s="60">
        <v>0.5</v>
      </c>
      <c r="T124" s="60">
        <v>0.5</v>
      </c>
      <c r="U124" s="60">
        <v>0.5</v>
      </c>
      <c r="V124" s="60">
        <v>0.5</v>
      </c>
      <c r="W124" s="60">
        <v>0.5</v>
      </c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2.8049122399999997</v>
      </c>
      <c r="C136" s="61">
        <f t="shared" ref="C136:Y136" si="33">C110*(1-C123)</f>
        <v>2.7932736</v>
      </c>
      <c r="D136" s="61">
        <f t="shared" si="33"/>
        <v>2.5229567999999998</v>
      </c>
      <c r="E136" s="61">
        <f t="shared" si="33"/>
        <v>2.5229567999999998</v>
      </c>
      <c r="F136" s="61">
        <f t="shared" si="33"/>
        <v>2.7932736</v>
      </c>
      <c r="G136" s="61">
        <f t="shared" si="33"/>
        <v>2.6303326400000002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1.2972607199999999</v>
      </c>
      <c r="U136" s="61">
        <f t="shared" si="33"/>
        <v>1.33288344</v>
      </c>
      <c r="V136" s="61">
        <f t="shared" si="33"/>
        <v>1.3979363999999999</v>
      </c>
      <c r="W136" s="61">
        <f t="shared" si="33"/>
        <v>1.4252279999999999</v>
      </c>
      <c r="X136" s="61">
        <f t="shared" si="33"/>
        <v>2.7874542799999995</v>
      </c>
      <c r="Y136" s="61">
        <f t="shared" si="33"/>
        <v>2.8398281600000002</v>
      </c>
      <c r="AA136" s="61">
        <f>SUM(B136:Y136)</f>
        <v>27.148296679999994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5.3598999999999987E-2</v>
      </c>
      <c r="H137" s="61">
        <f t="shared" si="34"/>
        <v>0.10373999999999999</v>
      </c>
      <c r="I137" s="61">
        <f t="shared" si="34"/>
        <v>0.15561</v>
      </c>
      <c r="J137" s="61">
        <f t="shared" si="34"/>
        <v>0.160797</v>
      </c>
      <c r="K137" s="61">
        <f t="shared" si="34"/>
        <v>0.160797</v>
      </c>
      <c r="L137" s="61">
        <f t="shared" si="34"/>
        <v>0.15561</v>
      </c>
      <c r="M137" s="61">
        <f t="shared" si="34"/>
        <v>0.15561</v>
      </c>
      <c r="N137" s="61">
        <f t="shared" si="34"/>
        <v>0.160797</v>
      </c>
      <c r="O137" s="61">
        <f t="shared" si="34"/>
        <v>0.160797</v>
      </c>
      <c r="P137" s="61">
        <f t="shared" si="34"/>
        <v>0.160797</v>
      </c>
      <c r="Q137" s="61">
        <f t="shared" si="34"/>
        <v>0.160797</v>
      </c>
      <c r="R137" s="61">
        <f t="shared" si="34"/>
        <v>0.15561</v>
      </c>
      <c r="S137" s="61">
        <f t="shared" si="34"/>
        <v>0.15561</v>
      </c>
      <c r="T137" s="61">
        <f t="shared" si="34"/>
        <v>0.13399749999999999</v>
      </c>
      <c r="U137" s="61">
        <f t="shared" si="34"/>
        <v>0.13399749999999999</v>
      </c>
      <c r="V137" s="61">
        <f t="shared" si="34"/>
        <v>5.1869999999999993E-2</v>
      </c>
      <c r="W137" s="61">
        <f t="shared" si="34"/>
        <v>2.5934999999999996E-2</v>
      </c>
      <c r="X137" s="61">
        <f t="shared" si="34"/>
        <v>0</v>
      </c>
      <c r="Y137" s="61">
        <f t="shared" si="34"/>
        <v>0</v>
      </c>
      <c r="AA137" s="61">
        <f>SUM(B137:Y137)</f>
        <v>2.2459710000000004</v>
      </c>
    </row>
    <row r="138" spans="1:31" x14ac:dyDescent="0.25">
      <c r="A138" s="128" t="str">
        <f>A$17</f>
        <v>genisses +1an</v>
      </c>
      <c r="B138" s="61">
        <f t="shared" si="34"/>
        <v>1.286376</v>
      </c>
      <c r="C138" s="61">
        <f t="shared" si="34"/>
        <v>1.286376</v>
      </c>
      <c r="D138" s="61">
        <f t="shared" si="34"/>
        <v>1.1618879999999998</v>
      </c>
      <c r="E138" s="61">
        <f t="shared" si="34"/>
        <v>1.1618879999999998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1.286376</v>
      </c>
      <c r="Y138" s="61">
        <f t="shared" si="34"/>
        <v>1.286376</v>
      </c>
      <c r="AA138" s="61">
        <f t="shared" ref="AA138:AA144" si="35">SUM(B138:Y138)</f>
        <v>7.4692799999999995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36.863547679999996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38.706725063999997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2.3508681</v>
      </c>
      <c r="I149" s="61">
        <f t="shared" si="37"/>
        <v>2.3031078000000003</v>
      </c>
      <c r="J149" s="61">
        <f t="shared" si="37"/>
        <v>2.3305257499999996</v>
      </c>
      <c r="K149" s="61">
        <f t="shared" si="37"/>
        <v>2.3305257499999996</v>
      </c>
      <c r="L149" s="61">
        <f t="shared" si="37"/>
        <v>2.2553475000000001</v>
      </c>
      <c r="M149" s="61">
        <f t="shared" si="37"/>
        <v>2.2553475000000001</v>
      </c>
      <c r="N149" s="61">
        <f t="shared" si="37"/>
        <v>2.3305257499999996</v>
      </c>
      <c r="O149" s="61">
        <f t="shared" si="37"/>
        <v>2.3305257499999996</v>
      </c>
      <c r="P149" s="61">
        <f t="shared" si="37"/>
        <v>2.3305257499999996</v>
      </c>
      <c r="Q149" s="61">
        <f t="shared" si="37"/>
        <v>2.3305257499999996</v>
      </c>
      <c r="R149" s="61">
        <f t="shared" si="37"/>
        <v>1.9186200000000002</v>
      </c>
      <c r="S149" s="61">
        <f t="shared" si="37"/>
        <v>1.9186200000000002</v>
      </c>
      <c r="T149" s="61">
        <f t="shared" si="37"/>
        <v>1.2972607199999999</v>
      </c>
      <c r="U149" s="61">
        <f t="shared" si="37"/>
        <v>1.33288344</v>
      </c>
      <c r="V149" s="61">
        <f t="shared" si="37"/>
        <v>1.3979363999999999</v>
      </c>
      <c r="W149" s="61">
        <f t="shared" si="37"/>
        <v>1.4252279999999999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5.3598999999999987E-2</v>
      </c>
      <c r="H150" s="61">
        <f t="shared" si="38"/>
        <v>0.10373999999999999</v>
      </c>
      <c r="I150" s="61">
        <f t="shared" si="38"/>
        <v>0.15561</v>
      </c>
      <c r="J150" s="61">
        <f t="shared" si="38"/>
        <v>0.160797</v>
      </c>
      <c r="K150" s="61">
        <f t="shared" si="38"/>
        <v>0.160797</v>
      </c>
      <c r="L150" s="61">
        <f t="shared" si="38"/>
        <v>0.15561</v>
      </c>
      <c r="M150" s="61">
        <f t="shared" si="38"/>
        <v>0.15561</v>
      </c>
      <c r="N150" s="61">
        <f t="shared" si="38"/>
        <v>0.160797</v>
      </c>
      <c r="O150" s="61">
        <f t="shared" si="38"/>
        <v>0.160797</v>
      </c>
      <c r="P150" s="61">
        <f t="shared" si="38"/>
        <v>0.160797</v>
      </c>
      <c r="Q150" s="61">
        <f t="shared" si="38"/>
        <v>0.160797</v>
      </c>
      <c r="R150" s="61">
        <f t="shared" si="38"/>
        <v>0.15561</v>
      </c>
      <c r="S150" s="61">
        <f t="shared" si="38"/>
        <v>0.15561</v>
      </c>
      <c r="T150" s="61">
        <f t="shared" si="38"/>
        <v>0.13399749999999999</v>
      </c>
      <c r="U150" s="61">
        <f t="shared" si="38"/>
        <v>0.13399749999999999</v>
      </c>
      <c r="V150" s="61">
        <f t="shared" si="38"/>
        <v>5.1869999999999993E-2</v>
      </c>
      <c r="W150" s="61">
        <f t="shared" si="38"/>
        <v>2.5934999999999996E-2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1.286376</v>
      </c>
      <c r="G151" s="61">
        <f t="shared" si="39"/>
        <v>1.286376</v>
      </c>
      <c r="H151" s="61">
        <f t="shared" si="39"/>
        <v>1.24488</v>
      </c>
      <c r="I151" s="61">
        <f t="shared" si="39"/>
        <v>1.24488</v>
      </c>
      <c r="J151" s="61">
        <f t="shared" si="39"/>
        <v>1.286376</v>
      </c>
      <c r="K151" s="61">
        <f t="shared" si="39"/>
        <v>1.286376</v>
      </c>
      <c r="L151" s="61">
        <f t="shared" si="39"/>
        <v>1.24488</v>
      </c>
      <c r="M151" s="61">
        <f t="shared" si="39"/>
        <v>1.24488</v>
      </c>
      <c r="N151" s="61">
        <f t="shared" si="39"/>
        <v>1.286376</v>
      </c>
      <c r="O151" s="61">
        <f t="shared" si="39"/>
        <v>1.286376</v>
      </c>
      <c r="P151" s="61">
        <f t="shared" si="39"/>
        <v>1.286376</v>
      </c>
      <c r="Q151" s="61">
        <f t="shared" si="39"/>
        <v>1.286376</v>
      </c>
      <c r="R151" s="61">
        <f t="shared" si="39"/>
        <v>1.24488</v>
      </c>
      <c r="S151" s="61">
        <f t="shared" si="39"/>
        <v>1.24488</v>
      </c>
      <c r="T151" s="61">
        <f t="shared" si="39"/>
        <v>1.286376</v>
      </c>
      <c r="U151" s="61">
        <f t="shared" si="39"/>
        <v>1.286376</v>
      </c>
      <c r="V151" s="61">
        <f t="shared" si="39"/>
        <v>1.24488</v>
      </c>
      <c r="W151" s="61">
        <f t="shared" si="39"/>
        <v>1.24488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57.507144960000012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2.3508681</v>
      </c>
      <c r="I162" s="61">
        <f t="shared" si="47"/>
        <v>2.3031078000000003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2.3305257499999996</v>
      </c>
      <c r="P162" s="61">
        <f t="shared" si="47"/>
        <v>2.3305257499999996</v>
      </c>
      <c r="Q162" s="61">
        <f t="shared" si="47"/>
        <v>2.3305257499999996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5.3598999999999987E-2</v>
      </c>
      <c r="H163" s="61">
        <f t="shared" si="48"/>
        <v>0.10373999999999999</v>
      </c>
      <c r="I163" s="61">
        <f t="shared" si="48"/>
        <v>0.15561</v>
      </c>
      <c r="J163" s="61">
        <f t="shared" si="48"/>
        <v>0.160797</v>
      </c>
      <c r="K163" s="61">
        <f t="shared" si="48"/>
        <v>0.160797</v>
      </c>
      <c r="L163" s="61">
        <f t="shared" si="48"/>
        <v>0.15561</v>
      </c>
      <c r="M163" s="61">
        <f t="shared" si="48"/>
        <v>0.15561</v>
      </c>
      <c r="N163" s="61">
        <f t="shared" si="48"/>
        <v>0.160797</v>
      </c>
      <c r="O163" s="61">
        <f t="shared" si="48"/>
        <v>0.160797</v>
      </c>
      <c r="P163" s="61">
        <f t="shared" si="48"/>
        <v>0.160797</v>
      </c>
      <c r="Q163" s="61">
        <f t="shared" si="48"/>
        <v>0.160797</v>
      </c>
      <c r="R163" s="61">
        <f t="shared" si="48"/>
        <v>0.15561</v>
      </c>
      <c r="S163" s="61">
        <f t="shared" si="48"/>
        <v>0.15561</v>
      </c>
      <c r="T163" s="61">
        <f t="shared" si="48"/>
        <v>0.13399749999999999</v>
      </c>
      <c r="U163" s="61">
        <f t="shared" si="48"/>
        <v>0.13399749999999999</v>
      </c>
      <c r="V163" s="61">
        <f t="shared" si="48"/>
        <v>5.1869999999999993E-2</v>
      </c>
      <c r="W163" s="61">
        <f t="shared" si="48"/>
        <v>2.5934999999999996E-2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1.286376</v>
      </c>
      <c r="V164" s="61">
        <f t="shared" si="49"/>
        <v>1.24488</v>
      </c>
      <c r="W164" s="61">
        <f t="shared" si="49"/>
        <v>1.24488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5.3598999999999987E-2</v>
      </c>
      <c r="H172" s="61">
        <f t="shared" si="57"/>
        <v>2.4546081000000002</v>
      </c>
      <c r="I172" s="61">
        <f t="shared" si="57"/>
        <v>2.4587178000000001</v>
      </c>
      <c r="J172" s="61">
        <f t="shared" si="57"/>
        <v>0.160797</v>
      </c>
      <c r="K172" s="61">
        <f t="shared" si="57"/>
        <v>0.160797</v>
      </c>
      <c r="L172" s="61">
        <f t="shared" si="57"/>
        <v>0.15561</v>
      </c>
      <c r="M172" s="61">
        <f t="shared" si="57"/>
        <v>0.15561</v>
      </c>
      <c r="N172" s="61">
        <f t="shared" si="57"/>
        <v>0.160797</v>
      </c>
      <c r="O172" s="61">
        <f t="shared" si="57"/>
        <v>2.4913227499999997</v>
      </c>
      <c r="P172" s="61">
        <f t="shared" si="57"/>
        <v>2.4913227499999997</v>
      </c>
      <c r="Q172" s="61">
        <f t="shared" si="57"/>
        <v>2.4913227499999997</v>
      </c>
      <c r="R172" s="61">
        <f t="shared" si="57"/>
        <v>0.15561</v>
      </c>
      <c r="S172" s="61">
        <f t="shared" si="57"/>
        <v>0.15561</v>
      </c>
      <c r="T172" s="61">
        <f t="shared" si="57"/>
        <v>0.13399749999999999</v>
      </c>
      <c r="U172" s="61">
        <f t="shared" si="57"/>
        <v>1.4203735</v>
      </c>
      <c r="V172" s="61">
        <f t="shared" si="57"/>
        <v>1.2967500000000001</v>
      </c>
      <c r="W172" s="61">
        <f t="shared" si="57"/>
        <v>1.270815</v>
      </c>
      <c r="X172" s="61">
        <f t="shared" si="57"/>
        <v>0</v>
      </c>
      <c r="Y172" s="61">
        <f t="shared" si="57"/>
        <v>0</v>
      </c>
      <c r="AA172" s="64">
        <f>SUM(B172:Y172)</f>
        <v>17.667660149999996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2.3305257499999996</v>
      </c>
      <c r="K175" s="61">
        <f t="shared" si="58"/>
        <v>2.3305257499999996</v>
      </c>
      <c r="L175" s="61">
        <f t="shared" si="58"/>
        <v>2.2553475000000001</v>
      </c>
      <c r="M175" s="61">
        <f t="shared" si="58"/>
        <v>2.2553475000000001</v>
      </c>
      <c r="N175" s="61">
        <f t="shared" si="58"/>
        <v>2.3305257499999996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1.9186200000000002</v>
      </c>
      <c r="S175" s="61">
        <f t="shared" si="58"/>
        <v>1.9186200000000002</v>
      </c>
      <c r="T175" s="61">
        <f t="shared" si="58"/>
        <v>0</v>
      </c>
      <c r="U175" s="61">
        <f t="shared" si="58"/>
        <v>0</v>
      </c>
      <c r="V175" s="61">
        <f t="shared" si="58"/>
        <v>1.3979363999999999</v>
      </c>
      <c r="W175" s="61">
        <f t="shared" si="58"/>
        <v>1.4252279999999999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1.286376</v>
      </c>
      <c r="G177" s="61">
        <f t="shared" si="60"/>
        <v>1.286376</v>
      </c>
      <c r="H177" s="61">
        <f t="shared" si="60"/>
        <v>1.24488</v>
      </c>
      <c r="I177" s="61">
        <f t="shared" si="60"/>
        <v>1.24488</v>
      </c>
      <c r="J177" s="61">
        <f t="shared" si="60"/>
        <v>1.286376</v>
      </c>
      <c r="K177" s="61">
        <f t="shared" si="60"/>
        <v>1.286376</v>
      </c>
      <c r="L177" s="61">
        <f t="shared" si="60"/>
        <v>1.24488</v>
      </c>
      <c r="M177" s="61">
        <f t="shared" si="60"/>
        <v>1.24488</v>
      </c>
      <c r="N177" s="61">
        <f t="shared" si="60"/>
        <v>1.286376</v>
      </c>
      <c r="O177" s="61">
        <f t="shared" si="60"/>
        <v>1.286376</v>
      </c>
      <c r="P177" s="61">
        <f t="shared" si="60"/>
        <v>1.286376</v>
      </c>
      <c r="Q177" s="61">
        <f t="shared" si="60"/>
        <v>1.286376</v>
      </c>
      <c r="R177" s="61">
        <f t="shared" si="60"/>
        <v>1.24488</v>
      </c>
      <c r="S177" s="61">
        <f t="shared" si="60"/>
        <v>1.24488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1.286376</v>
      </c>
      <c r="G185" s="61">
        <f>SUM(CdTrp2!G175:G184)</f>
        <v>1.286376</v>
      </c>
      <c r="H185" s="61">
        <f>SUM(CdTrp2!H175:H184)</f>
        <v>1.24488</v>
      </c>
      <c r="I185" s="61">
        <f>SUM(CdTrp2!I175:I184)</f>
        <v>1.24488</v>
      </c>
      <c r="J185" s="61">
        <f>SUM(CdTrp2!J175:J184)</f>
        <v>3.6169017499999994</v>
      </c>
      <c r="K185" s="61">
        <f>SUM(CdTrp2!K175:K184)</f>
        <v>3.6169017499999994</v>
      </c>
      <c r="L185" s="61">
        <f>SUM(CdTrp2!L175:L184)</f>
        <v>3.5002275000000003</v>
      </c>
      <c r="M185" s="61">
        <f>SUM(CdTrp2!M175:M184)</f>
        <v>3.5002275000000003</v>
      </c>
      <c r="N185" s="61">
        <f>SUM(CdTrp2!N175:N184)</f>
        <v>3.6169017499999994</v>
      </c>
      <c r="O185" s="61">
        <f>SUM(CdTrp2!O175:O184)</f>
        <v>1.286376</v>
      </c>
      <c r="P185" s="61">
        <f>SUM(CdTrp2!P175:P184)</f>
        <v>1.286376</v>
      </c>
      <c r="Q185" s="61">
        <f>SUM(CdTrp2!Q175:Q184)</f>
        <v>1.286376</v>
      </c>
      <c r="R185" s="61">
        <f>SUM(CdTrp2!R175:R184)</f>
        <v>3.1635</v>
      </c>
      <c r="S185" s="61">
        <f>SUM(CdTrp2!S175:S184)</f>
        <v>3.1635</v>
      </c>
      <c r="T185" s="61">
        <f>SUM(CdTrp2!T175:T184)</f>
        <v>0</v>
      </c>
      <c r="U185" s="61">
        <f>SUM(CdTrp2!U175:U184)</f>
        <v>0</v>
      </c>
      <c r="V185" s="61">
        <f>SUM(CdTrp2!V175:V184)</f>
        <v>1.3979363999999999</v>
      </c>
      <c r="W185" s="61">
        <f>SUM(CdTrp2!W175:W184)</f>
        <v>1.4252279999999999</v>
      </c>
      <c r="X185" s="61">
        <f>SUM(CdTrp2!X175:X184)</f>
        <v>0</v>
      </c>
      <c r="Y185" s="61">
        <f>SUM(CdTrp2!Y175:Y184)</f>
        <v>0</v>
      </c>
      <c r="AA185" s="64">
        <f>SUM(B185:Y185)</f>
        <v>35.922964649999997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1.2972607199999999</v>
      </c>
      <c r="U188" s="61">
        <f t="shared" si="68"/>
        <v>1.33288344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1.286376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2.5836367199999999</v>
      </c>
      <c r="U198" s="61">
        <f t="shared" si="78"/>
        <v>1.33288344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3.9165201600000001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5.3598999999999987E-2</v>
      </c>
      <c r="H215" s="61">
        <f t="shared" si="90"/>
        <v>2.4546081000000002</v>
      </c>
      <c r="I215" s="61">
        <f t="shared" si="90"/>
        <v>2.4587178000000001</v>
      </c>
      <c r="J215" s="61">
        <f t="shared" si="90"/>
        <v>0.160797</v>
      </c>
      <c r="K215" s="61">
        <f t="shared" si="90"/>
        <v>0.160797</v>
      </c>
      <c r="L215" s="61">
        <f t="shared" si="90"/>
        <v>0.15561</v>
      </c>
      <c r="M215" s="61">
        <f t="shared" si="90"/>
        <v>0.15561</v>
      </c>
      <c r="N215" s="61">
        <f t="shared" si="90"/>
        <v>0.160797</v>
      </c>
      <c r="O215" s="61">
        <f t="shared" si="90"/>
        <v>2.4913227499999997</v>
      </c>
      <c r="P215" s="61">
        <f t="shared" si="90"/>
        <v>2.4913227499999997</v>
      </c>
      <c r="Q215" s="61">
        <f t="shared" si="90"/>
        <v>2.4913227499999997</v>
      </c>
      <c r="R215" s="61">
        <f t="shared" si="90"/>
        <v>0.15561</v>
      </c>
      <c r="S215" s="61">
        <f t="shared" si="90"/>
        <v>0.15561</v>
      </c>
      <c r="T215" s="61">
        <f t="shared" si="90"/>
        <v>0.13399749999999999</v>
      </c>
      <c r="U215" s="61">
        <f t="shared" si="90"/>
        <v>1.4203735</v>
      </c>
      <c r="V215" s="61">
        <f t="shared" si="90"/>
        <v>1.2967500000000001</v>
      </c>
      <c r="W215" s="61">
        <f t="shared" si="90"/>
        <v>1.270815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1.286376</v>
      </c>
      <c r="G216" s="61">
        <f t="shared" si="91"/>
        <v>1.286376</v>
      </c>
      <c r="H216" s="61">
        <f t="shared" si="91"/>
        <v>1.24488</v>
      </c>
      <c r="I216" s="61">
        <f t="shared" si="91"/>
        <v>1.24488</v>
      </c>
      <c r="J216" s="61">
        <f t="shared" si="91"/>
        <v>3.6169017499999994</v>
      </c>
      <c r="K216" s="61">
        <f t="shared" si="91"/>
        <v>3.6169017499999994</v>
      </c>
      <c r="L216" s="61">
        <f t="shared" si="91"/>
        <v>3.5002275000000003</v>
      </c>
      <c r="M216" s="61">
        <f t="shared" si="91"/>
        <v>3.5002275000000003</v>
      </c>
      <c r="N216" s="61">
        <f t="shared" si="91"/>
        <v>3.6169017499999994</v>
      </c>
      <c r="O216" s="61">
        <f t="shared" si="91"/>
        <v>1.286376</v>
      </c>
      <c r="P216" s="61">
        <f t="shared" si="91"/>
        <v>1.286376</v>
      </c>
      <c r="Q216" s="61">
        <f t="shared" si="91"/>
        <v>1.286376</v>
      </c>
      <c r="R216" s="61">
        <f t="shared" si="91"/>
        <v>3.1635</v>
      </c>
      <c r="S216" s="61">
        <f t="shared" si="91"/>
        <v>3.1635</v>
      </c>
      <c r="T216" s="61">
        <f t="shared" si="91"/>
        <v>0</v>
      </c>
      <c r="U216" s="61">
        <f t="shared" si="91"/>
        <v>0</v>
      </c>
      <c r="V216" s="61">
        <f t="shared" si="91"/>
        <v>1.3979363999999999</v>
      </c>
      <c r="W216" s="61">
        <f t="shared" si="91"/>
        <v>1.4252279999999999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2.5836367199999999</v>
      </c>
      <c r="U217" s="61">
        <f t="shared" si="92"/>
        <v>1.33288344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57.507144959999984</v>
      </c>
      <c r="AB219" t="s">
        <v>222</v>
      </c>
    </row>
    <row r="220" spans="1:28" x14ac:dyDescent="0.25">
      <c r="AA220" s="30">
        <f>SUM(B215:Y217)</f>
        <v>57.507144959999984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Feuil1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2023-01-12T16:25:55Z</dcterms:modified>
</cp:coreProperties>
</file>