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160" windowHeight="7650" firstSheet="6" activeTab="8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49" r:id="rId18"/>
  </pivotCaches>
</workbook>
</file>

<file path=xl/calcChain.xml><?xml version="1.0" encoding="utf-8"?>
<calcChain xmlns="http://schemas.openxmlformats.org/spreadsheetml/2006/main">
  <c r="B202" i="24" l="1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L201" i="24"/>
  <c r="M201" i="24"/>
  <c r="N201" i="24"/>
  <c r="O201" i="24"/>
  <c r="P201" i="24"/>
  <c r="Q201" i="24"/>
  <c r="R201" i="24"/>
  <c r="S201" i="24"/>
  <c r="T201" i="24"/>
  <c r="U201" i="24"/>
  <c r="V201" i="24"/>
  <c r="W201" i="24"/>
  <c r="X201" i="24"/>
  <c r="Y201" i="24"/>
  <c r="B201" i="24"/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AV23" i="29"/>
  <c r="AW23" i="29"/>
  <c r="BD23" i="29" s="1"/>
  <c r="BE23" i="29" s="1"/>
  <c r="BF23" i="29" s="1"/>
  <c r="AX23" i="29"/>
  <c r="AY23" i="29"/>
  <c r="AZ23" i="29"/>
  <c r="AV24" i="29"/>
  <c r="AW24" i="29"/>
  <c r="AX24" i="29"/>
  <c r="AY24" i="29"/>
  <c r="AZ24" i="29"/>
  <c r="AV25" i="29"/>
  <c r="AW25" i="29"/>
  <c r="AX25" i="29"/>
  <c r="AY25" i="29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D25" i="29" l="1"/>
  <c r="BE25" i="29" s="1"/>
  <c r="BF25" i="29" s="1"/>
  <c r="BI25" i="29" s="1"/>
  <c r="BK22" i="29"/>
  <c r="BG22" i="29"/>
  <c r="BJ22" i="29"/>
  <c r="BG18" i="29"/>
  <c r="BI18" i="29"/>
  <c r="BJ18" i="29"/>
  <c r="BK18" i="29"/>
  <c r="BL18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I15" i="29"/>
  <c r="BL13" i="29"/>
  <c r="BK13" i="29"/>
  <c r="BG13" i="29"/>
  <c r="BI13" i="29"/>
  <c r="BJ13" i="29"/>
  <c r="BG12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D16" i="29"/>
  <c r="BE16" i="29" s="1"/>
  <c r="BF16" i="29" s="1"/>
  <c r="BJ16" i="29" s="1"/>
  <c r="BD8" i="29"/>
  <c r="BE8" i="29" s="1"/>
  <c r="BF8" i="29" s="1"/>
  <c r="BJ8" i="29" s="1"/>
  <c r="BH27" i="29"/>
  <c r="BL30" i="29"/>
  <c r="BL22" i="29"/>
  <c r="BL14" i="29"/>
  <c r="BL6" i="29"/>
  <c r="BH25" i="29" l="1"/>
  <c r="BG25" i="29"/>
  <c r="BK25" i="29"/>
  <c r="BJ25" i="29"/>
  <c r="BL25" i="29"/>
  <c r="BK8" i="29"/>
  <c r="BJ24" i="29"/>
  <c r="BK16" i="29"/>
  <c r="BK11" i="29"/>
  <c r="BL24" i="29"/>
  <c r="BL8" i="29"/>
  <c r="BI11" i="29"/>
  <c r="BG16" i="29"/>
  <c r="BG11" i="29"/>
  <c r="BL19" i="29"/>
  <c r="BI16" i="29"/>
  <c r="BJ11" i="29"/>
  <c r="BG8" i="29"/>
  <c r="BG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I142" i="31"/>
  <c r="AH142" i="31"/>
  <c r="AI139" i="31"/>
  <c r="AH139" i="31"/>
  <c r="AI136" i="31"/>
  <c r="AH136" i="31"/>
  <c r="AI133" i="31"/>
  <c r="AH133" i="31"/>
  <c r="AI130" i="31"/>
  <c r="AH130" i="31"/>
  <c r="AI127" i="31"/>
  <c r="AH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CX87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B87" i="30" l="1"/>
  <c r="CJ87" i="30"/>
  <c r="CB86" i="30"/>
  <c r="CH87" i="30"/>
  <c r="CH86" i="30"/>
  <c r="CJ86" i="30"/>
  <c r="CX86" i="30"/>
  <c r="CI86" i="30"/>
  <c r="CY86" i="30"/>
  <c r="CI87" i="30"/>
  <c r="CY87" i="30"/>
  <c r="CC86" i="30"/>
  <c r="CK86" i="30"/>
  <c r="CC87" i="30"/>
  <c r="CK87" i="30"/>
  <c r="CD86" i="30"/>
  <c r="CT86" i="30"/>
  <c r="CD87" i="30"/>
  <c r="CT87" i="30"/>
  <c r="CE86" i="30"/>
  <c r="CU86" i="30"/>
  <c r="CE87" i="30"/>
  <c r="CU87" i="30"/>
  <c r="CF86" i="30"/>
  <c r="CV86" i="30"/>
  <c r="CF87" i="30"/>
  <c r="CV87" i="30"/>
  <c r="CG86" i="30"/>
  <c r="CW86" i="30"/>
  <c r="CG87" i="30"/>
  <c r="CW87" i="30"/>
  <c r="AZ106" i="30"/>
  <c r="BA106" i="30"/>
  <c r="BB106" i="30"/>
  <c r="BC106" i="30"/>
  <c r="BD106" i="30"/>
  <c r="BE106" i="30"/>
  <c r="BF106" i="30"/>
  <c r="AY106" i="30"/>
  <c r="R8" i="7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D17" i="30" s="1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X109" i="30" s="1"/>
  <c r="CW7" i="30"/>
  <c r="CV7" i="30"/>
  <c r="CV18" i="30" s="1"/>
  <c r="CV63" i="30" s="1"/>
  <c r="CV109" i="30" s="1"/>
  <c r="CU7" i="30"/>
  <c r="CT7" i="30"/>
  <c r="CS7" i="30"/>
  <c r="CR7" i="30"/>
  <c r="CQ7" i="30"/>
  <c r="CP7" i="30"/>
  <c r="CP18" i="30" s="1"/>
  <c r="CP63" i="30" s="1"/>
  <c r="CP109" i="30" s="1"/>
  <c r="CO7" i="30"/>
  <c r="CN7" i="30"/>
  <c r="CN18" i="30" s="1"/>
  <c r="CN63" i="30" s="1"/>
  <c r="CN109" i="30" s="1"/>
  <c r="CM7" i="30"/>
  <c r="CL7" i="30"/>
  <c r="CK7" i="30"/>
  <c r="CJ7" i="30"/>
  <c r="CI7" i="30"/>
  <c r="CH7" i="30"/>
  <c r="CH18" i="30" s="1"/>
  <c r="CH63" i="30" s="1"/>
  <c r="CH109" i="30" s="1"/>
  <c r="CG7" i="30"/>
  <c r="CF7" i="30"/>
  <c r="CF18" i="30" s="1"/>
  <c r="CF63" i="30" s="1"/>
  <c r="CF109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J92" i="30" s="1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Q91" i="30" s="1"/>
  <c r="BP38" i="30"/>
  <c r="BP91" i="30" s="1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B91" i="30" s="1"/>
  <c r="BA38" i="30"/>
  <c r="AZ38" i="30"/>
  <c r="AZ91" i="30" s="1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O91" i="30"/>
  <c r="BM91" i="30"/>
  <c r="BI91" i="30"/>
  <c r="BH91" i="30"/>
  <c r="BG91" i="30"/>
  <c r="BA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T109" i="30" s="1"/>
  <c r="CL18" i="30"/>
  <c r="CL63" i="30" s="1"/>
  <c r="CL109" i="30" s="1"/>
  <c r="CD18" i="30"/>
  <c r="CD63" i="30" s="1"/>
  <c r="CD109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Y109" i="30" s="1"/>
  <c r="CW18" i="30"/>
  <c r="CW63" i="30" s="1"/>
  <c r="CW109" i="30" s="1"/>
  <c r="CU18" i="30"/>
  <c r="CU63" i="30" s="1"/>
  <c r="CU109" i="30" s="1"/>
  <c r="CS18" i="30"/>
  <c r="CS63" i="30" s="1"/>
  <c r="CS109" i="30" s="1"/>
  <c r="CR18" i="30"/>
  <c r="CR63" i="30" s="1"/>
  <c r="CR109" i="30" s="1"/>
  <c r="CQ18" i="30"/>
  <c r="CQ63" i="30" s="1"/>
  <c r="CQ109" i="30" s="1"/>
  <c r="CO18" i="30"/>
  <c r="CO63" i="30" s="1"/>
  <c r="CO109" i="30" s="1"/>
  <c r="CM18" i="30"/>
  <c r="CM63" i="30" s="1"/>
  <c r="CM109" i="30" s="1"/>
  <c r="CK18" i="30"/>
  <c r="CK63" i="30" s="1"/>
  <c r="CK109" i="30" s="1"/>
  <c r="CJ18" i="30"/>
  <c r="CJ63" i="30" s="1"/>
  <c r="CJ109" i="30" s="1"/>
  <c r="CI18" i="30"/>
  <c r="CI63" i="30" s="1"/>
  <c r="CI109" i="30" s="1"/>
  <c r="CG18" i="30"/>
  <c r="CG63" i="30" s="1"/>
  <c r="CG109" i="30" s="1"/>
  <c r="CE18" i="30"/>
  <c r="CE63" i="30" s="1"/>
  <c r="CE109" i="30" s="1"/>
  <c r="CC18" i="30"/>
  <c r="CC63" i="30" s="1"/>
  <c r="CC109" i="30" s="1"/>
  <c r="CB18" i="30"/>
  <c r="CB63" i="30" s="1"/>
  <c r="CB109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E108" i="30" s="1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C31" i="29" s="1"/>
  <c r="K25" i="29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F17" i="30" l="1"/>
  <c r="C252" i="33" s="1"/>
  <c r="D252" i="33" s="1"/>
  <c r="W136" i="31"/>
  <c r="AG127" i="31"/>
  <c r="AG130" i="31"/>
  <c r="AG142" i="31"/>
  <c r="AG133" i="31"/>
  <c r="AG139" i="31"/>
  <c r="AG145" i="31"/>
  <c r="AG136" i="31"/>
  <c r="U133" i="31"/>
  <c r="U135" i="31"/>
  <c r="U137" i="31"/>
  <c r="U132" i="31"/>
  <c r="K110" i="31" s="1"/>
  <c r="U136" i="31"/>
  <c r="U134" i="31"/>
  <c r="AF142" i="31"/>
  <c r="AF136" i="31"/>
  <c r="AF130" i="31"/>
  <c r="AF145" i="31"/>
  <c r="AF139" i="31"/>
  <c r="AF133" i="31"/>
  <c r="AF127" i="31"/>
  <c r="S3" i="29"/>
  <c r="T112" i="29"/>
  <c r="G73" i="30"/>
  <c r="C29" i="29"/>
  <c r="O73" i="30"/>
  <c r="K29" i="29"/>
  <c r="C20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S21" i="29" s="1"/>
  <c r="S7" i="29" s="1"/>
  <c r="S12" i="29" s="1"/>
  <c r="AB171" i="28"/>
  <c r="AA171" i="28"/>
  <c r="AB171" i="31"/>
  <c r="AA171" i="31"/>
  <c r="AC171" i="31"/>
  <c r="K113" i="31"/>
  <c r="K111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L99" i="30" s="1"/>
  <c r="BL100" i="30" s="1"/>
  <c r="BL101" i="30" s="1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O26" i="29"/>
  <c r="O30" i="29" s="1"/>
  <c r="O25" i="29"/>
  <c r="W26" i="29"/>
  <c r="W30" i="29" s="1"/>
  <c r="W25" i="29"/>
  <c r="P5" i="29"/>
  <c r="P9" i="29" s="1"/>
  <c r="P20" i="29"/>
  <c r="P21" i="29" s="1"/>
  <c r="P7" i="29" s="1"/>
  <c r="P12" i="29" s="1"/>
  <c r="P4" i="29"/>
  <c r="P3" i="29"/>
  <c r="X26" i="29"/>
  <c r="X30" i="29" s="1"/>
  <c r="X25" i="29"/>
  <c r="H5" i="29"/>
  <c r="H9" i="29" s="1"/>
  <c r="H20" i="29"/>
  <c r="H4" i="29"/>
  <c r="H3" i="29"/>
  <c r="L72" i="30" s="1"/>
  <c r="H26" i="29"/>
  <c r="H30" i="29" s="1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Q26" i="29"/>
  <c r="Q30" i="29" s="1"/>
  <c r="Q25" i="29"/>
  <c r="Y26" i="29"/>
  <c r="Y30" i="29" s="1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30" i="29" s="1"/>
  <c r="D25" i="29"/>
  <c r="L26" i="29"/>
  <c r="L30" i="29" s="1"/>
  <c r="L25" i="29"/>
  <c r="T26" i="29"/>
  <c r="T30" i="29" s="1"/>
  <c r="T25" i="29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M26" i="29"/>
  <c r="M30" i="29" s="1"/>
  <c r="M25" i="29"/>
  <c r="U26" i="29"/>
  <c r="U30" i="29" s="1"/>
  <c r="U25" i="29"/>
  <c r="C3" i="29"/>
  <c r="S25" i="29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112" i="29"/>
  <c r="N112" i="29"/>
  <c r="N26" i="29"/>
  <c r="N30" i="29" s="1"/>
  <c r="N25" i="29"/>
  <c r="V112" i="29"/>
  <c r="V26" i="29"/>
  <c r="V30" i="29" s="1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H106" i="30" s="1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Z72" i="30" l="1"/>
  <c r="W72" i="30"/>
  <c r="H73" i="30"/>
  <c r="D29" i="29"/>
  <c r="AC73" i="30"/>
  <c r="Y29" i="29"/>
  <c r="F29" i="29"/>
  <c r="J73" i="30"/>
  <c r="U29" i="29"/>
  <c r="Y73" i="30"/>
  <c r="H29" i="29"/>
  <c r="L73" i="30"/>
  <c r="G29" i="29"/>
  <c r="K73" i="30"/>
  <c r="V29" i="29"/>
  <c r="Z73" i="30"/>
  <c r="P29" i="29"/>
  <c r="T73" i="30"/>
  <c r="Q29" i="29"/>
  <c r="U73" i="30"/>
  <c r="AD73" i="30"/>
  <c r="Z29" i="29"/>
  <c r="M29" i="29"/>
  <c r="Q73" i="30"/>
  <c r="R29" i="29"/>
  <c r="V73" i="30"/>
  <c r="T29" i="29"/>
  <c r="X73" i="30"/>
  <c r="M73" i="30"/>
  <c r="I29" i="29"/>
  <c r="J29" i="29"/>
  <c r="N73" i="30"/>
  <c r="N29" i="29"/>
  <c r="R73" i="30"/>
  <c r="E29" i="29"/>
  <c r="I73" i="30"/>
  <c r="W29" i="29"/>
  <c r="AA73" i="30"/>
  <c r="P73" i="30"/>
  <c r="L29" i="29"/>
  <c r="C30" i="29"/>
  <c r="C32" i="29" s="1"/>
  <c r="C34" i="29" s="1"/>
  <c r="S29" i="29"/>
  <c r="W73" i="30"/>
  <c r="X29" i="29"/>
  <c r="AB73" i="30"/>
  <c r="O29" i="29"/>
  <c r="S73" i="30"/>
  <c r="Q72" i="30"/>
  <c r="M8" i="29"/>
  <c r="X8" i="29"/>
  <c r="AB72" i="30"/>
  <c r="U72" i="30"/>
  <c r="Q8" i="29"/>
  <c r="Z8" i="29"/>
  <c r="Z201" i="29" s="1"/>
  <c r="AD72" i="30"/>
  <c r="V72" i="30"/>
  <c r="R8" i="29"/>
  <c r="P72" i="30"/>
  <c r="L8" i="29"/>
  <c r="N72" i="30"/>
  <c r="J8" i="29"/>
  <c r="J201" i="29" s="1"/>
  <c r="N8" i="29"/>
  <c r="N201" i="29" s="1"/>
  <c r="R72" i="30"/>
  <c r="O8" i="29"/>
  <c r="O201" i="29" s="1"/>
  <c r="S72" i="30"/>
  <c r="O72" i="30"/>
  <c r="K8" i="29"/>
  <c r="G72" i="30"/>
  <c r="C8" i="29"/>
  <c r="C201" i="29" s="1"/>
  <c r="C212" i="29" s="1"/>
  <c r="AC72" i="30"/>
  <c r="M72" i="30"/>
  <c r="I8" i="29"/>
  <c r="I201" i="29" s="1"/>
  <c r="P8" i="29"/>
  <c r="T72" i="30"/>
  <c r="U8" i="29"/>
  <c r="Y72" i="30"/>
  <c r="I72" i="30"/>
  <c r="E8" i="29"/>
  <c r="E201" i="29" s="1"/>
  <c r="E212" i="29" s="1"/>
  <c r="X72" i="30"/>
  <c r="T8" i="29"/>
  <c r="T201" i="29" s="1"/>
  <c r="H72" i="30"/>
  <c r="D8" i="29"/>
  <c r="S8" i="29"/>
  <c r="F8" i="29"/>
  <c r="J72" i="30"/>
  <c r="AA72" i="30"/>
  <c r="G8" i="29"/>
  <c r="G201" i="29" s="1"/>
  <c r="K72" i="30"/>
  <c r="AF187" i="31"/>
  <c r="H8" i="29"/>
  <c r="H201" i="29" s="1"/>
  <c r="W8" i="29"/>
  <c r="W201" i="29" s="1"/>
  <c r="V8" i="29"/>
  <c r="V201" i="29" s="1"/>
  <c r="Y8" i="29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P201" i="29"/>
  <c r="Q201" i="29"/>
  <c r="M201" i="29"/>
  <c r="K201" i="29"/>
  <c r="U167" i="28"/>
  <c r="V167" i="28"/>
  <c r="W167" i="28"/>
  <c r="AF188" i="28"/>
  <c r="V188" i="28"/>
  <c r="W188" i="28"/>
  <c r="L201" i="29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T240" i="3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11" i="29" l="1"/>
  <c r="C13" i="29" s="1"/>
  <c r="AI170" i="31"/>
  <c r="B110" i="30"/>
  <c r="F72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V76" i="33" l="1"/>
  <c r="AV152" i="33"/>
  <c r="BA76" i="33"/>
  <c r="BA152" i="33"/>
  <c r="AZ76" i="33"/>
  <c r="AZ152" i="33"/>
  <c r="BC76" i="33"/>
  <c r="BC122" i="33" s="1"/>
  <c r="BC168" i="33" s="1"/>
  <c r="BC152" i="33"/>
  <c r="AX76" i="33"/>
  <c r="AX152" i="33"/>
  <c r="AW76" i="33"/>
  <c r="AW152" i="33"/>
  <c r="BD76" i="33"/>
  <c r="BD122" i="33" s="1"/>
  <c r="BD168" i="33" s="1"/>
  <c r="BD152" i="33"/>
  <c r="BR76" i="33"/>
  <c r="BR122" i="33" s="1"/>
  <c r="BR168" i="33" s="1"/>
  <c r="BR152" i="33"/>
  <c r="BS76" i="33"/>
  <c r="BS152" i="33"/>
  <c r="AY76" i="33"/>
  <c r="AY152" i="33"/>
  <c r="BB76" i="33"/>
  <c r="BB152" i="33"/>
  <c r="BQ76" i="33"/>
  <c r="BQ152" i="33"/>
  <c r="AW78" i="33"/>
  <c r="AW154" i="33"/>
  <c r="BP78" i="33"/>
  <c r="BP154" i="33"/>
  <c r="BS78" i="33"/>
  <c r="BS124" i="33" s="1"/>
  <c r="BS170" i="33" s="1"/>
  <c r="BS154" i="33"/>
  <c r="AY78" i="33"/>
  <c r="AY124" i="33" s="1"/>
  <c r="AY170" i="33" s="1"/>
  <c r="AY154" i="33"/>
  <c r="BD78" i="33"/>
  <c r="BD154" i="33"/>
  <c r="BC78" i="33"/>
  <c r="BC154" i="33"/>
  <c r="AZ78" i="33"/>
  <c r="AZ124" i="33" s="1"/>
  <c r="AZ170" i="33" s="1"/>
  <c r="AZ154" i="33"/>
  <c r="BB78" i="33"/>
  <c r="BB135" i="33" s="1"/>
  <c r="BB154" i="33"/>
  <c r="BA78" i="33"/>
  <c r="BA154" i="33"/>
  <c r="BO78" i="33"/>
  <c r="BO154" i="33"/>
  <c r="BQ78" i="33"/>
  <c r="BQ124" i="33" s="1"/>
  <c r="BQ170" i="33" s="1"/>
  <c r="BQ154" i="33"/>
  <c r="AX78" i="33"/>
  <c r="AX124" i="33" s="1"/>
  <c r="AX170" i="33" s="1"/>
  <c r="AX154" i="33"/>
  <c r="AV78" i="33"/>
  <c r="AV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B128" i="33"/>
  <c r="BB174" i="33" s="1"/>
  <c r="BB139" i="33"/>
  <c r="CO123" i="33"/>
  <c r="CO169" i="33" s="1"/>
  <c r="CO134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D133" i="33" l="1"/>
  <c r="BR133" i="33"/>
  <c r="BC133" i="33"/>
  <c r="BQ135" i="33"/>
  <c r="AZ135" i="33"/>
  <c r="BS135" i="33"/>
  <c r="BB124" i="33"/>
  <c r="BB170" i="33" s="1"/>
  <c r="AX135" i="33"/>
  <c r="BC160" i="33"/>
  <c r="BC161" i="33" s="1"/>
  <c r="BC162" i="33" s="1"/>
  <c r="AY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O76" i="33" l="1"/>
  <c r="BO152" i="33"/>
  <c r="BP76" i="33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E147" i="33" l="1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S190" i="24"/>
  <c r="R190" i="24"/>
  <c r="Q190" i="24"/>
  <c r="P190" i="24"/>
  <c r="O190" i="24"/>
  <c r="M190" i="24"/>
  <c r="L190" i="24"/>
  <c r="K190" i="24"/>
  <c r="I190" i="24"/>
  <c r="H190" i="24"/>
  <c r="G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11" i="24" l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V188" i="24" s="1"/>
  <c r="V198" i="24" s="1"/>
  <c r="V217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E137" i="24"/>
  <c r="E150" i="24" s="1"/>
  <c r="F138" i="24"/>
  <c r="F151" i="24" s="1"/>
  <c r="F190" i="24" s="1"/>
  <c r="F198" i="24" s="1"/>
  <c r="F217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U190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L185" i="24" l="1"/>
  <c r="L216" i="24" s="1"/>
  <c r="N177" i="24"/>
  <c r="N190" i="24"/>
  <c r="N198" i="24" s="1"/>
  <c r="N217" i="24" s="1"/>
  <c r="J177" i="24"/>
  <c r="J185" i="24" s="1"/>
  <c r="J216" i="24" s="1"/>
  <c r="J190" i="24"/>
  <c r="J198" i="24" s="1"/>
  <c r="J217" i="24" s="1"/>
  <c r="O211" i="24"/>
  <c r="O218" i="24" s="1"/>
  <c r="O162" i="24"/>
  <c r="O172" i="24" s="1"/>
  <c r="O215" i="24" s="1"/>
  <c r="Q211" i="24"/>
  <c r="Q218" i="24" s="1"/>
  <c r="Q162" i="24"/>
  <c r="Q172" i="24" s="1"/>
  <c r="Q215" i="24" s="1"/>
  <c r="T177" i="24"/>
  <c r="T190" i="24"/>
  <c r="T198" i="24" s="1"/>
  <c r="T217" i="24" s="1"/>
  <c r="M211" i="24"/>
  <c r="M218" i="24" s="1"/>
  <c r="M175" i="24"/>
  <c r="M185" i="24" s="1"/>
  <c r="M216" i="24" s="1"/>
  <c r="N211" i="24"/>
  <c r="N218" i="24" s="1"/>
  <c r="N175" i="24"/>
  <c r="N185" i="24" s="1"/>
  <c r="N216" i="24" s="1"/>
  <c r="R211" i="24"/>
  <c r="R218" i="24" s="1"/>
  <c r="R175" i="24"/>
  <c r="R185" i="24" s="1"/>
  <c r="R216" i="24" s="1"/>
  <c r="P211" i="24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BB17" i="29" s="1"/>
  <c r="BH17" i="29" s="1"/>
  <c r="T10" i="7"/>
  <c r="BB12" i="29" s="1"/>
  <c r="BH12" i="29" s="1"/>
  <c r="V22" i="7"/>
  <c r="T22" i="7"/>
  <c r="BB24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S22" i="7"/>
  <c r="BA24" i="29" s="1"/>
  <c r="R22" i="7"/>
  <c r="R12" i="7"/>
  <c r="S12" i="7"/>
  <c r="BA14" i="29" s="1"/>
  <c r="R11" i="7"/>
  <c r="S11" i="7"/>
  <c r="BA13" i="29" s="1"/>
  <c r="R15" i="7"/>
  <c r="S15" i="7"/>
  <c r="BA17" i="29" s="1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U15" i="7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21" i="7"/>
  <c r="T21" i="7"/>
  <c r="BB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L198" i="18" l="1"/>
  <c r="L217" i="18" s="1"/>
  <c r="Q7" i="22" s="1"/>
  <c r="BC17" i="23" s="1"/>
  <c r="BC35" i="23" s="1"/>
  <c r="X198" i="18"/>
  <c r="X217" i="18" s="1"/>
  <c r="AC7" i="22" s="1"/>
  <c r="BO17" i="23" s="1"/>
  <c r="BO38" i="23" s="1"/>
  <c r="F84" i="30"/>
  <c r="C192" i="33" s="1"/>
  <c r="X234" i="31"/>
  <c r="C307" i="33" s="1"/>
  <c r="B167" i="31"/>
  <c r="J167" i="31" s="1"/>
  <c r="C235" i="33" s="1"/>
  <c r="C236" i="33" s="1"/>
  <c r="D184" i="33"/>
  <c r="D183" i="33" s="1"/>
  <c r="AJ216" i="33" s="1"/>
  <c r="AN216" i="33" s="1"/>
  <c r="D220" i="33" s="1"/>
  <c r="C276" i="33"/>
  <c r="C293" i="33" s="1"/>
  <c r="B115" i="30"/>
  <c r="B126" i="30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X237" i="31" l="1"/>
  <c r="C243" i="33" s="1"/>
  <c r="D243" i="33" s="1"/>
  <c r="Q201" i="18"/>
  <c r="Q162" i="18"/>
  <c r="Q172" i="18" s="1"/>
  <c r="Q215" i="18" s="1"/>
  <c r="V5" i="22" s="1"/>
  <c r="N201" i="18"/>
  <c r="N162" i="18"/>
  <c r="O201" i="18"/>
  <c r="O211" i="18" s="1"/>
  <c r="O218" i="18" s="1"/>
  <c r="T9" i="22" s="1"/>
  <c r="O162" i="18"/>
  <c r="O172" i="18" s="1"/>
  <c r="O215" i="18" s="1"/>
  <c r="T5" i="22" s="1"/>
  <c r="R201" i="18"/>
  <c r="R211" i="18" s="1"/>
  <c r="R218" i="18" s="1"/>
  <c r="W9" i="22" s="1"/>
  <c r="R162" i="18"/>
  <c r="R172" i="18" s="1"/>
  <c r="R215" i="18" s="1"/>
  <c r="W5" i="22" s="1"/>
  <c r="S201" i="18"/>
  <c r="S162" i="18"/>
  <c r="S172" i="18" s="1"/>
  <c r="S215" i="18" s="1"/>
  <c r="X5" i="22" s="1"/>
  <c r="BJ15" i="23" s="1"/>
  <c r="BJ21" i="23" s="1"/>
  <c r="P201" i="18"/>
  <c r="P211" i="18" s="1"/>
  <c r="P218" i="18" s="1"/>
  <c r="U9" i="22" s="1"/>
  <c r="P162" i="18"/>
  <c r="M201" i="18"/>
  <c r="M211" i="18" s="1"/>
  <c r="M218" i="18" s="1"/>
  <c r="R9" i="22" s="1"/>
  <c r="M162" i="18"/>
  <c r="M172" i="18" s="1"/>
  <c r="M215" i="18" s="1"/>
  <c r="R5" i="22" s="1"/>
  <c r="BR39" i="23"/>
  <c r="H93" i="23" s="1"/>
  <c r="H95" i="23" s="1"/>
  <c r="J170" i="3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N211" i="18"/>
  <c r="N218" i="18" s="1"/>
  <c r="S9" i="22" s="1"/>
  <c r="I172" i="18"/>
  <c r="I215" i="18" s="1"/>
  <c r="N5" i="22" s="1"/>
  <c r="AZ15" i="23" s="1"/>
  <c r="AZ19" i="23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Z237" i="31" l="1"/>
  <c r="AA237" i="31" s="1"/>
  <c r="C244" i="33" s="1"/>
  <c r="D244" i="33" s="1"/>
  <c r="AQ228" i="33"/>
  <c r="AR228" i="33" s="1"/>
  <c r="AS228" i="33" s="1"/>
  <c r="AT228" i="33" s="1"/>
  <c r="AW228" i="33" s="1"/>
  <c r="D240" i="33" s="1"/>
  <c r="D276" i="33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AB237" i="31" l="1"/>
  <c r="AC237" i="31" s="1"/>
  <c r="AF237" i="31" s="1"/>
  <c r="B178" i="31" s="1"/>
  <c r="C240" i="33" s="1"/>
  <c r="D290" i="33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<sst xmlns="http://schemas.openxmlformats.org/spreadsheetml/2006/main" count="3099" uniqueCount="1465">
  <si>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</si>
  <si>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</si>
  <si>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</si>
  <si>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</si>
  <si>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</si>
  <si>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</si>
  <si>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</si>
  <si>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</si>
  <si>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</si>
  <si>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</si>
  <si>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</si>
  <si>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</si>
  <si>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</si>
  <si>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</si>
  <si>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</si>
  <si>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</si>
  <si>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</si>
  <si>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</si>
  <si>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</si>
  <si>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</si>
  <si>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</si>
  <si>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</si>
  <si>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</si>
  <si>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</si>
  <si>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</si>
  <si>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</si>
  <si>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</si>
  <si>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</si>
  <si>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</si>
  <si>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</si>
  <si>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</si>
  <si>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</si>
  <si>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</si>
  <si>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</si>
  <si>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</si>
  <si>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</si>
  <si>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</si>
  <si>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</si>
  <si>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</si>
  <si>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</si>
  <si>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</si>
  <si>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</si>
  <si>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</si>
  <si>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</si>
  <si>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</si>
  <si>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</si>
  <si>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</si>
  <si>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</si>
  <si>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</si>
  <si>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</si>
  <si>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</si>
  <si>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</si>
  <si>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</si>
  <si>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</si>
  <si>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</si>
  <si>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</si>
  <si>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</si>
  <si>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</si>
  <si>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</si>
  <si>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</si>
  <si>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</si>
  <si>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</si>
  <si>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</si>
  <si>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</si>
  <si>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</si>
  <si>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</si>
  <si>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</si>
  <si>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</si>
  <si>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</si>
  <si>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</si>
  <si>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</si>
  <si>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</si>
  <si>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</si>
  <si>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</si>
  <si>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</si>
  <si>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</si>
  <si>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</si>
  <si>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</si>
  <si>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</si>
  <si>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</si>
  <si>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</si>
  <si>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</si>
  <si>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</si>
  <si>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</si>
  <si>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</si>
  <si>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</si>
  <si>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</si>
  <si>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</si>
  <si>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</si>
  <si>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</si>
  <si>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</si>
  <si>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</si>
  <si>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</si>
  <si>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</si>
  <si>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</si>
  <si>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</si>
  <si>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</si>
  <si>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</si>
  <si>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</si>
  <si>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</si>
  <si>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</si>
  <si>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</si>
  <si>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</si>
  <si>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</si>
  <si>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</si>
  <si>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</si>
  <si>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</si>
  <si>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</si>
  <si>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</si>
  <si>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</si>
  <si>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</si>
  <si>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</si>
  <si>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</si>
  <si>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</si>
  <si>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</si>
  <si>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</si>
  <si>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</si>
  <si>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</si>
  <si>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</si>
  <si>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</si>
  <si>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</si>
  <si>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</si>
  <si>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</si>
  <si>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</si>
  <si>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</si>
  <si>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</si>
  <si>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</si>
  <si>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</si>
  <si>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</si>
  <si>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</si>
  <si>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</si>
  <si>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</si>
  <si>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</si>
  <si>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</si>
  <si>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</si>
  <si>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</si>
  <si>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</si>
  <si>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</si>
  <si>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</si>
  <si>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</si>
  <si>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</si>
  <si>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</si>
  <si>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</si>
  <si>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</si>
  <si>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</si>
  <si>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</si>
  <si>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</si>
  <si>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</si>
  <si>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</si>
  <si>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</si>
  <si>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</si>
  <si>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</si>
  <si>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</si>
  <si>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</si>
  <si>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</si>
  <si>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</si>
  <si>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</si>
  <si>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</si>
  <si>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</si>
  <si>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</si>
  <si>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</si>
  <si>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</si>
  <si>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</si>
  <si>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</si>
  <si>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</si>
  <si>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</si>
  <si>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</si>
  <si>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</si>
  <si>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</si>
  <si>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</si>
  <si>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</si>
  <si>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</si>
  <si>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</si>
  <si>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</si>
  <si>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</si>
  <si>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</si>
  <si>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</si>
  <si>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</si>
  <si>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</si>
  <si>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</si>
  <si>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</si>
  <si>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</si>
  <si>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</si>
  <si>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</si>
  <si>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</si>
  <si>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</si>
  <si>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</si>
  <si>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</si>
  <si>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</si>
  <si>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</si>
  <si>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</si>
  <si>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</si>
  <si>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</si>
  <si>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</si>
  <si>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</si>
  <si>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</si>
  <si>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</si>
  <si>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</si>
  <si>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</si>
  <si>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</si>
  <si>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</si>
  <si>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</si>
  <si>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</si>
  <si>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</si>
  <si>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</si>
  <si>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</si>
  <si>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</si>
  <si>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</si>
  <si>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</si>
  <si>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</si>
  <si>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</si>
  <si>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</si>
  <si>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</si>
  <si>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</si>
  <si>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</si>
  <si>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</si>
  <si>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</si>
  <si>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</si>
  <si>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</si>
  <si>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</si>
  <si>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</si>
  <si>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</si>
  <si>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</si>
  <si>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</si>
  <si>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</si>
  <si>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</si>
  <si>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</si>
  <si>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</si>
  <si>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</si>
  <si>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</si>
  <si>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</si>
  <si>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</si>
  <si>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</si>
  <si>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</si>
  <si>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</si>
  <si>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</si>
  <si>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</si>
  <si>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</si>
  <si>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</si>
  <si>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</si>
  <si>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</si>
  <si>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</si>
  <si>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</si>
  <si>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</si>
  <si>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</si>
  <si>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</si>
  <si>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</si>
  <si>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</si>
  <si>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</si>
  <si>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</si>
  <si>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</si>
  <si>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</si>
  <si>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</si>
  <si>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</si>
  <si>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</si>
  <si>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</si>
  <si>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</si>
  <si>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</si>
  <si>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</si>
  <si>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</si>
  <si>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</si>
  <si>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</si>
  <si>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</si>
  <si>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</si>
  <si>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</si>
  <si>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</si>
  <si>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</si>
  <si>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</si>
  <si>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</si>
  <si>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</si>
  <si>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</si>
  <si>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</si>
  <si>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</si>
  <si>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</si>
  <si>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</si>
  <si>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</si>
  <si>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</si>
  <si>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</si>
  <si>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</si>
  <si>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</si>
  <si>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</si>
  <si>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</si>
  <si>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</si>
  <si>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</si>
  <si>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</si>
  <si>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</si>
  <si>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</si>
  <si>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</si>
  <si>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</si>
  <si>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</si>
  <si>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</si>
  <si>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</si>
  <si>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</si>
  <si>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</si>
  <si>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</si>
  <si>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</si>
  <si>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</si>
  <si>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</si>
  <si>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</si>
  <si>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</si>
  <si>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</si>
  <si>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</si>
  <si>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</si>
  <si>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</si>
  <si>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</si>
  <si>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</si>
  <si>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</si>
  <si>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</si>
  <si>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</si>
  <si>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</si>
  <si>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</si>
  <si>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</si>
  <si>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</si>
  <si>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</si>
  <si>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</si>
  <si>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</si>
  <si>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</si>
  <si>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</si>
  <si>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</si>
  <si>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</si>
  <si>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</si>
  <si>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</si>
  <si>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</si>
  <si>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</si>
  <si>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</si>
  <si>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</si>
  <si>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</si>
  <si>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</si>
  <si>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</si>
  <si>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</si>
  <si>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</si>
  <si>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</si>
  <si>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</si>
  <si>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</si>
  <si>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</si>
  <si>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</si>
  <si>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</si>
  <si>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</si>
  <si>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</si>
  <si>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</si>
  <si>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</si>
  <si>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</si>
  <si>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</si>
  <si>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</si>
  <si>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</si>
  <si>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</si>
  <si>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</si>
  <si>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</si>
  <si>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</si>
  <si>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</si>
  <si>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</si>
  <si>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</si>
  <si>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</si>
  <si>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</si>
  <si>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</si>
  <si>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</si>
  <si>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</si>
  <si>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</si>
  <si>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</si>
  <si>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</si>
  <si>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</si>
  <si>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</si>
  <si>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</si>
  <si>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</si>
  <si>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</si>
  <si>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</si>
  <si>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</si>
  <si>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</si>
  <si>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</si>
  <si>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</si>
  <si>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</si>
  <si>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</si>
  <si>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</si>
  <si>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</si>
  <si>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</si>
  <si>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</si>
  <si>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</si>
  <si>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</si>
  <si>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</si>
  <si>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</si>
  <si>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</si>
  <si>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</si>
  <si>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</si>
  <si>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</si>
  <si>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</si>
  <si>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</si>
  <si>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</si>
  <si>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</si>
  <si>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</si>
  <si>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</si>
  <si>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</si>
  <si>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</si>
  <si>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</si>
  <si>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</si>
  <si>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</si>
  <si>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</si>
  <si>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</si>
  <si>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</si>
  <si>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</si>
  <si>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</si>
  <si>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</si>
  <si>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</si>
  <si>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</si>
  <si>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</si>
  <si>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</si>
  <si>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</si>
  <si>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</si>
  <si>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</si>
  <si>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</si>
  <si>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</si>
  <si>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</si>
  <si>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</si>
  <si>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</si>
  <si>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</si>
  <si>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</si>
  <si>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</si>
  <si>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</si>
  <si>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</si>
  <si>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</si>
  <si>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</si>
  <si>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</si>
  <si>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</si>
  <si>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</si>
  <si>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</si>
  <si>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</si>
  <si>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</si>
  <si>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</si>
  <si>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</si>
  <si>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</si>
  <si>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</si>
  <si>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</si>
  <si>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</si>
  <si>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</si>
  <si>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</si>
  <si>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</si>
  <si>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</si>
  <si>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</si>
  <si>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</si>
  <si>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</si>
  <si>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</si>
  <si>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</si>
  <si>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</si>
  <si>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</si>
  <si>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</si>
  <si>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</si>
  <si>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</si>
  <si>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</si>
  <si>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</si>
  <si>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</si>
  <si>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</si>
  <si>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</si>
  <si>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</si>
  <si>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</si>
  <si>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</si>
  <si>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</si>
  <si>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</si>
  <si>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</si>
  <si>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</si>
  <si>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</si>
  <si>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</si>
  <si>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</si>
  <si>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</si>
  <si>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</si>
  <si>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</si>
  <si>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</si>
  <si>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</si>
  <si>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</si>
  <si>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</si>
  <si>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</si>
  <si>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</si>
  <si>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</si>
  <si>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</si>
  <si>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</si>
  <si>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</si>
  <si>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</si>
  <si>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</si>
  <si>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</si>
  <si>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</si>
  <si>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</si>
  <si>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</si>
  <si>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</si>
  <si>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</si>
  <si>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</si>
  <si>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</si>
  <si>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</si>
  <si>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</si>
  <si>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</si>
  <si>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</si>
  <si>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</si>
  <si>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</si>
  <si>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</si>
  <si>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</si>
  <si>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</si>
  <si>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</si>
  <si>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</si>
  <si>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</si>
  <si>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</si>
  <si>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</si>
  <si>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</si>
  <si>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</si>
  <si>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</si>
  <si>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</si>
  <si>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</si>
  <si>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</si>
  <si>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</si>
  <si>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</si>
  <si>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</si>
  <si>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</si>
  <si>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</si>
  <si>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</si>
  <si>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</si>
  <si>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</si>
  <si>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</si>
  <si>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</si>
  <si>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</si>
  <si>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</si>
  <si>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</si>
  <si>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</si>
  <si>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</si>
  <si>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</si>
  <si>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</si>
  <si>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</si>
  <si>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</si>
  <si>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</si>
  <si>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</si>
  <si>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</si>
  <si>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</si>
  <si>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</si>
  <si>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</si>
  <si>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</si>
  <si>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</si>
  <si>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</si>
  <si>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</si>
  <si>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</si>
  <si>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</si>
  <si>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</si>
  <si>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</si>
  <si>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</si>
  <si>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</si>
  <si>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</si>
  <si>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</si>
  <si>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</si>
  <si>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</si>
  <si>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</si>
  <si>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</si>
  <si>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</si>
  <si>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</si>
  <si>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</si>
  <si>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</si>
  <si>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</si>
  <si>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</si>
  <si>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</si>
  <si>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</si>
  <si>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</si>
  <si>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</si>
  <si>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</si>
  <si>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</si>
  <si>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</si>
  <si>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</si>
  <si>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</si>
  <si>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</si>
  <si>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</si>
  <si>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</si>
  <si>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</si>
  <si>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</si>
  <si>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</si>
  <si>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</si>
  <si>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</si>
  <si>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</si>
  <si>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</si>
  <si>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</si>
  <si>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</si>
  <si>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</si>
  <si>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</si>
  <si>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</si>
  <si>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</si>
  <si>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</si>
  <si>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</si>
  <si>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</si>
  <si>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</si>
  <si>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</si>
  <si>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</si>
  <si>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</si>
  <si>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</si>
  <si>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</si>
  <si>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</si>
  <si>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</si>
  <si>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</si>
  <si>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</si>
  <si>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</si>
  <si>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</si>
  <si>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</si>
  <si>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</si>
  <si>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</si>
  <si>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</si>
  <si>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</si>
  <si>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</si>
  <si>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</si>
  <si>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</si>
  <si>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</si>
  <si>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</si>
  <si>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</si>
  <si>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</si>
  <si>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</si>
  <si>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</si>
  <si>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</si>
  <si>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</si>
  <si>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</si>
  <si>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</si>
  <si>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</si>
  <si>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</si>
  <si>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</si>
  <si>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</si>
  <si>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</si>
  <si>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</si>
  <si>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</si>
  <si>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</si>
  <si>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</si>
  <si>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</si>
  <si>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</si>
  <si>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</si>
  <si>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</si>
  <si>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</si>
  <si>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</si>
  <si>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</si>
  <si>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</si>
  <si>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</si>
  <si>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</si>
  <si>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</si>
  <si>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</si>
  <si>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</si>
  <si>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</si>
  <si>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</si>
  <si>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</si>
  <si>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</si>
  <si>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</si>
  <si>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</si>
  <si>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</si>
  <si>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</si>
  <si>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</si>
  <si>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</si>
  <si>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</si>
  <si>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</si>
  <si>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</si>
  <si>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</si>
  <si>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</si>
  <si>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</si>
  <si>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</si>
  <si>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</si>
  <si>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</si>
  <si>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</si>
  <si>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</si>
  <si>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</si>
  <si>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</si>
  <si>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</si>
  <si>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</si>
  <si>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</si>
  <si>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</si>
  <si>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</si>
  <si>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</si>
  <si>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</si>
  <si>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</si>
  <si>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</si>
  <si>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</si>
  <si>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</si>
  <si>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</si>
  <si>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</si>
  <si>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</si>
  <si>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</si>
  <si>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</si>
  <si>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</si>
  <si>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</si>
  <si>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</si>
  <si>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</si>
  <si>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</si>
  <si>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</si>
  <si>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</si>
  <si>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</si>
  <si>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</si>
  <si>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</si>
  <si>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</si>
  <si>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</si>
  <si>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</si>
  <si>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</si>
  <si>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</si>
  <si>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</si>
  <si>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</si>
  <si>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</si>
  <si>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</si>
  <si>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</si>
  <si>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</si>
  <si>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</si>
  <si>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</si>
  <si>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</si>
  <si>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</si>
  <si>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</si>
  <si>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</si>
  <si>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</si>
  <si>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</si>
  <si>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</si>
  <si>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</si>
  <si>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</si>
  <si>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</si>
  <si>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</si>
  <si>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</si>
  <si>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</si>
  <si>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</si>
  <si>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</si>
  <si>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</si>
  <si>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</si>
  <si>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</si>
  <si>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</si>
  <si>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</si>
  <si>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</si>
  <si>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</si>
  <si>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</si>
  <si>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</si>
  <si>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</si>
  <si>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</si>
  <si>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</si>
  <si>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</si>
  <si>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</si>
  <si>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</si>
  <si>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</si>
  <si>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</si>
  <si>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</si>
  <si>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</si>
  <si>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</si>
  <si>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</si>
  <si>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</si>
  <si>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</si>
  <si>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</si>
  <si>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</si>
  <si>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</si>
  <si>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</si>
  <si>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</si>
  <si>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</si>
  <si>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</si>
  <si>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</si>
  <si>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</si>
  <si>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</si>
  <si>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</si>
  <si>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</si>
  <si>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</si>
  <si>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</si>
  <si>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</si>
  <si>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</si>
  <si>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</si>
  <si>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</si>
  <si>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</si>
  <si>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</si>
  <si>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</si>
  <si>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</si>
  <si>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</si>
  <si>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</si>
  <si>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</si>
  <si>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</si>
  <si>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</si>
  <si>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</si>
  <si>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</si>
  <si>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</si>
  <si>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</si>
  <si>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</si>
  <si>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</si>
  <si>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</si>
  <si>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</si>
  <si>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</si>
  <si>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</si>
  <si>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</si>
  <si>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</si>
  <si>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</si>
  <si>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</si>
  <si>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</si>
  <si>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</si>
  <si>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</si>
  <si>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</si>
  <si>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</si>
  <si>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</si>
  <si>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</si>
  <si>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</si>
  <si>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</si>
  <si>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</si>
  <si>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</si>
  <si>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</si>
  <si>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</si>
  <si>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</si>
  <si>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</si>
  <si>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</si>
  <si>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</si>
  <si>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</si>
  <si>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</si>
  <si>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</si>
  <si>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</si>
  <si>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</si>
  <si>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</si>
  <si>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</si>
  <si>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</si>
  <si>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</si>
  <si>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</si>
  <si>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</si>
  <si>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</si>
  <si>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</si>
  <si>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</si>
  <si>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</si>
  <si>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</si>
  <si>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</si>
  <si>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</si>
  <si>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</si>
  <si>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</si>
  <si>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</si>
  <si>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</si>
  <si>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</si>
  <si>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</si>
  <si>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</si>
  <si>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</si>
  <si>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</si>
  <si>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</si>
  <si>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</si>
  <si>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</si>
  <si>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</si>
  <si>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</si>
  <si>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</si>
  <si>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</si>
  <si>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</si>
  <si>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</si>
  <si>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</si>
  <si>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</si>
  <si>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</si>
  <si>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</si>
  <si>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</si>
  <si>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</si>
  <si>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</si>
  <si>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</si>
  <si>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</si>
  <si>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</si>
  <si>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</si>
  <si>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</si>
  <si>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</si>
  <si>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</si>
  <si>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</si>
  <si>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</si>
  <si>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</si>
  <si>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</si>
  <si>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</si>
  <si>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</si>
  <si>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</si>
  <si>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</si>
  <si>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</si>
  <si>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</si>
  <si>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</si>
  <si>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</si>
  <si>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</si>
  <si>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</si>
  <si>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</si>
  <si>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</si>
  <si>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</si>
  <si>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</si>
  <si>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</si>
  <si>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</si>
  <si>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</si>
  <si>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</si>
  <si>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</si>
  <si>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</si>
  <si>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</si>
  <si>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</si>
  <si>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</si>
  <si>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</si>
  <si>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</si>
  <si>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</si>
  <si>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</si>
  <si>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</si>
  <si>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</si>
  <si>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</si>
  <si>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</si>
  <si>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</si>
  <si>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</si>
  <si>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</si>
  <si>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</si>
  <si>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</si>
  <si>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</si>
  <si>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</si>
  <si>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</si>
  <si>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</si>
  <si>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</si>
  <si>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</si>
  <si>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</si>
  <si>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</si>
  <si>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</si>
  <si>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</si>
  <si>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</si>
  <si>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</si>
  <si>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</si>
  <si>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</si>
  <si>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</si>
  <si>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</si>
  <si>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</si>
  <si>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</si>
  <si>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</si>
  <si>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</si>
  <si>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</si>
  <si>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</si>
  <si>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</si>
  <si>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</si>
  <si>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</si>
  <si>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</si>
  <si>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</si>
  <si>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</si>
  <si>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</si>
  <si>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</si>
  <si>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</si>
  <si>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</si>
  <si>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</si>
  <si>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</si>
  <si>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</si>
  <si>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</si>
  <si>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</si>
  <si>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</si>
  <si>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</si>
  <si>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</si>
  <si>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</si>
  <si>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</si>
  <si>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</si>
  <si>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</si>
  <si>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</si>
  <si>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</si>
  <si>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</si>
  <si>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</si>
  <si>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</si>
  <si>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</si>
  <si>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</si>
  <si>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</si>
  <si>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</si>
  <si>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</si>
  <si>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</si>
  <si>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</si>
  <si>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</si>
  <si>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</si>
  <si>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</si>
  <si>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</si>
  <si>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</si>
  <si>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</si>
  <si>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</si>
  <si>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</si>
  <si>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</si>
  <si>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</si>
  <si>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</si>
  <si>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</si>
  <si>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</si>
  <si>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</si>
  <si>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</si>
  <si>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</si>
  <si>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</si>
  <si>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</si>
  <si>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</si>
  <si>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</si>
  <si>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</si>
  <si>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</si>
  <si>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</si>
  <si>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</si>
  <si>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</si>
  <si>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</si>
  <si>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</si>
  <si>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</si>
  <si>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</si>
  <si>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</si>
  <si>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</si>
  <si>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</si>
  <si>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</si>
  <si>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</si>
  <si>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</si>
  <si>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</si>
  <si>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</si>
  <si>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</si>
  <si>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</si>
  <si>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</si>
  <si>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</si>
  <si>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</si>
  <si>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</si>
  <si>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</si>
  <si>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</si>
  <si>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</si>
  <si>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</si>
  <si>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</si>
  <si>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</si>
  <si>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</si>
  <si>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</si>
  <si>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</si>
  <si>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</si>
  <si>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</si>
  <si>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</si>
  <si>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</si>
  <si>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</si>
  <si>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</si>
  <si>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</si>
  <si>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</si>
  <si>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</si>
  <si>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</si>
  <si>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</si>
  <si>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</si>
  <si>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</si>
  <si>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</si>
  <si>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</si>
  <si>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</si>
  <si>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</si>
  <si>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</si>
  <si>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</si>
  <si>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</si>
  <si>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</si>
  <si>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</si>
  <si>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</si>
  <si>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</si>
  <si>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</si>
  <si>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</si>
  <si>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</si>
  <si>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</si>
  <si>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</si>
  <si>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</si>
  <si>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</si>
  <si>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</si>
  <si>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</si>
  <si>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</si>
  <si>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</si>
  <si>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</si>
  <si>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</si>
  <si>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</si>
  <si>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</si>
  <si>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</si>
  <si>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</si>
  <si>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</si>
  <si>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</si>
  <si>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</si>
  <si>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</si>
  <si>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</si>
  <si>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</si>
  <si>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</si>
  <si>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</si>
  <si>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</si>
  <si>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</si>
  <si>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</si>
  <si>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</si>
  <si>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</si>
  <si>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</si>
  <si>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</si>
  <si>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</si>
  <si>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</si>
  <si>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</si>
  <si>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</si>
  <si>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</si>
  <si>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</si>
  <si>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</si>
  <si>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</si>
  <si>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</si>
  <si>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</si>
  <si>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</si>
  <si>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</si>
  <si>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</si>
  <si>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</si>
  <si>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</si>
  <si>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</si>
  <si>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</si>
  <si>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</si>
  <si>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</si>
  <si>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</si>
  <si>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</si>
  <si>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</si>
  <si>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</si>
  <si>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</si>
  <si>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</si>
  <si>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</si>
  <si>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</si>
  <si>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</si>
  <si>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</si>
  <si>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</si>
  <si>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</si>
  <si>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</si>
  <si>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</si>
  <si>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</si>
  <si>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</si>
  <si>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</si>
  <si>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</si>
  <si>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</si>
  <si>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</si>
  <si>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</si>
  <si>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</si>
  <si>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</si>
  <si>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</si>
  <si>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</si>
  <si>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</si>
  <si>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</si>
  <si>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</si>
  <si>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</si>
  <si>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</si>
  <si>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</si>
  <si>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</si>
  <si>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</si>
  <si>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</si>
  <si>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</si>
  <si>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</si>
  <si>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</si>
  <si>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</si>
  <si>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</si>
  <si>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</si>
  <si>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</si>
  <si>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</si>
  <si>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</si>
  <si>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</si>
  <si>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</si>
  <si>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</si>
  <si>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</si>
  <si>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</si>
  <si>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</si>
  <si>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</si>
  <si>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</si>
  <si>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</si>
  <si>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</si>
  <si>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</si>
  <si>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</si>
  <si>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</si>
  <si>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</si>
  <si>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</si>
  <si>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</si>
  <si>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</si>
  <si>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</si>
  <si>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</si>
  <si>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</si>
  <si>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</si>
  <si>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</si>
  <si>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</si>
  <si>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</si>
  <si>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</si>
  <si>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</si>
  <si>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</si>
  <si>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</si>
  <si>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</si>
  <si>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</si>
  <si>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</si>
  <si>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</si>
  <si>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</si>
  <si>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</si>
  <si>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</si>
  <si>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</si>
  <si>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</si>
  <si>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</si>
  <si>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</si>
  <si>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</si>
  <si>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</si>
  <si>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</si>
  <si>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</si>
  <si>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</si>
  <si>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</si>
  <si>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</si>
  <si>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</si>
  <si>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</si>
  <si>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</si>
  <si>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</si>
  <si>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</si>
  <si>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</si>
  <si>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</si>
  <si>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</si>
  <si>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</si>
  <si>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</si>
  <si>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</si>
  <si>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</si>
  <si>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</si>
  <si>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</si>
  <si>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</si>
  <si>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</si>
  <si>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</si>
  <si>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</si>
  <si>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</si>
  <si>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</si>
  <si>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</si>
  <si>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</si>
  <si>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</si>
  <si>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</si>
  <si>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</si>
  <si>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</si>
  <si>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</si>
  <si>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</si>
  <si>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</si>
  <si>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</si>
  <si>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</si>
  <si>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</si>
  <si>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</si>
  <si>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</si>
  <si>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</si>
  <si>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</si>
  <si>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</si>
  <si>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</si>
  <si>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</si>
  <si>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</si>
  <si>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</si>
  <si>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</si>
  <si>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</si>
  <si>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</si>
  <si>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</si>
  <si>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</si>
  <si>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</si>
  <si>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</si>
  <si>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</si>
  <si>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</si>
  <si>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</si>
  <si>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</si>
  <si>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</si>
  <si>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</si>
  <si>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</si>
  <si>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</si>
  <si>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</si>
  <si>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</si>
  <si>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</si>
  <si>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</si>
  <si>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</si>
  <si>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</si>
  <si>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</si>
  <si>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</si>
  <si>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</si>
  <si>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</si>
  <si>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</si>
  <si>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</si>
  <si>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</si>
  <si>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</si>
  <si>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</si>
  <si>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</si>
  <si>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</si>
  <si>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</si>
  <si>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</si>
  <si>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</si>
  <si>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</si>
  <si>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</si>
  <si>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</si>
  <si>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</si>
  <si>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</si>
  <si>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</si>
  <si>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</si>
  <si>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</si>
  <si>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</si>
  <si>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</si>
  <si>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</si>
  <si>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</si>
  <si>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</si>
  <si>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</si>
  <si>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</si>
  <si>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</si>
  <si>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</si>
  <si>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</si>
  <si>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</si>
  <si>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</si>
  <si>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</si>
  <si>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</si>
  <si>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</si>
  <si>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</si>
  <si>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</si>
  <si>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</si>
  <si>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</si>
  <si>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</si>
  <si>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</si>
  <si>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</si>
  <si>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</si>
  <si>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</si>
  <si>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</si>
  <si>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</si>
  <si>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</si>
  <si>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</si>
  <si>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</si>
  <si>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</si>
  <si>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</si>
  <si>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</si>
  <si>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</si>
  <si>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</si>
  <si>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</si>
  <si>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</si>
  <si>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</si>
  <si>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</si>
  <si>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</si>
  <si>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</si>
  <si>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</si>
  <si>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</si>
  <si>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</si>
  <si>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</si>
  <si>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</si>
  <si>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</si>
  <si>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</si>
  <si>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</si>
  <si>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</si>
  <si>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</si>
  <si>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</si>
  <si>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</si>
  <si>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</si>
  <si>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</si>
  <si>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</si>
  <si>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</si>
  <si>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</si>
  <si>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</si>
  <si>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</si>
  <si>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</si>
  <si>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</si>
  <si>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</si>
  <si>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</si>
  <si>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</si>
  <si>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</si>
  <si>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</si>
  <si>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</si>
  <si>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</si>
  <si>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</si>
  <si>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</si>
  <si>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</si>
  <si>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</si>
  <si>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</si>
  <si>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</si>
  <si>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</si>
  <si>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</si>
  <si>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</si>
  <si>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</si>
  <si>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</si>
  <si>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</si>
  <si>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</si>
  <si>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</si>
  <si>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</si>
  <si>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</si>
  <si>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</si>
  <si>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</si>
  <si>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</si>
  <si>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</si>
  <si>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</si>
  <si>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</si>
  <si>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</si>
  <si>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</si>
  <si>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</si>
  <si>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</si>
  <si>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</si>
  <si>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</si>
  <si>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</si>
  <si>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</si>
  <si>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</si>
  <si>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</si>
  <si>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</si>
  <si>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</si>
  <si>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</si>
  <si>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</si>
  <si>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</si>
  <si>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</si>
  <si>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</si>
  <si>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</si>
  <si>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</si>
  <si>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</si>
  <si>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</si>
  <si>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</si>
  <si>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</si>
  <si>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</si>
  <si>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</si>
  <si>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</si>
  <si>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</si>
  <si>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</si>
  <si>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</si>
  <si>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</si>
  <si>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</si>
  <si>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</si>
  <si>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</si>
  <si>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</si>
  <si>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</si>
  <si>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</si>
  <si>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</si>
  <si>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</si>
  <si>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</si>
  <si>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</si>
  <si>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</si>
  <si>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</si>
  <si>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</si>
  <si>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</si>
  <si>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</si>
  <si>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</si>
  <si>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</si>
  <si>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</si>
  <si>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</si>
  <si>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</si>
  <si>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</si>
  <si>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</si>
  <si>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</si>
  <si>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</si>
  <si>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</si>
  <si>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</si>
  <si>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</si>
  <si>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</si>
  <si>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</si>
  <si>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</si>
  <si>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</si>
  <si>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</si>
  <si>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</si>
  <si>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</si>
  <si>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</si>
  <si>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</si>
  <si>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</si>
  <si>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</si>
  <si>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</si>
  <si>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</si>
  <si>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</si>
  <si>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</si>
  <si>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</si>
  <si>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</si>
  <si>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</si>
  <si>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</si>
  <si>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</si>
  <si>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</si>
  <si>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</si>
  <si>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</si>
  <si>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</si>
  <si>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</si>
  <si>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</si>
  <si>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</si>
  <si>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</si>
  <si>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</si>
  <si>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</si>
  <si>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</si>
  <si>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</si>
  <si>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</si>
  <si>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</si>
  <si>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</si>
  <si>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</si>
  <si>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</si>
  <si>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</si>
  <si>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</si>
  <si>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</si>
  <si>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</si>
  <si>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</si>
  <si>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</si>
  <si>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</si>
  <si>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</si>
  <si>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</si>
  <si>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</si>
  <si>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</si>
  <si>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</si>
  <si>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</si>
  <si>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</si>
  <si>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</si>
  <si>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</si>
  <si>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</si>
  <si>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</si>
  <si>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</si>
  <si>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</si>
  <si>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</si>
  <si>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</si>
  <si>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</si>
  <si>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</si>
  <si>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</si>
  <si>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</si>
  <si>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</si>
  <si>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</si>
  <si>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</si>
  <si>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</si>
  <si>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</si>
  <si>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</si>
  <si>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</si>
  <si>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</si>
  <si>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</si>
  <si>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</si>
  <si>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</si>
  <si>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</si>
  <si>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</si>
  <si>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</si>
  <si>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</si>
  <si>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</si>
  <si>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</si>
  <si>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</si>
  <si>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Z1_OLBV_T3F_Ms3</t>
  </si>
  <si>
    <t>suppression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</si>
</sst>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23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420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420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84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84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650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A171" t="str">
            <v>CO troupeaux (par femelles présentes MB)</v>
          </cell>
          <cell r="C171">
            <v>2</v>
          </cell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A174" t="str">
            <v>frais transfo et commercialisation (€/LITRES)</v>
          </cell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A178" t="str">
            <v>CO surfaces fourragères</v>
          </cell>
          <cell r="C178">
            <v>9</v>
          </cell>
        </row>
        <row r="179">
          <cell r="A179" t="str">
            <v>PP pâturées</v>
          </cell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A180" t="str">
            <v>PP 1 coupe</v>
          </cell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A182" t="str">
            <v>PT pâture</v>
          </cell>
          <cell r="C182">
            <v>13</v>
          </cell>
        </row>
        <row r="183">
          <cell r="A183" t="str">
            <v>PT 1 coupe</v>
          </cell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A184" t="str">
            <v>PT 2 coupes et plus</v>
          </cell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A185" t="str">
            <v>Dérobées (1ère année)</v>
          </cell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A187" t="str">
            <v>Charges de structure</v>
          </cell>
          <cell r="C187">
            <v>18</v>
          </cell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A198" t="str">
            <v>Engraissement des vaches de réformes</v>
          </cell>
          <cell r="C198">
            <v>29</v>
          </cell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</row>
        <row r="204">
          <cell r="C204">
            <v>35</v>
          </cell>
        </row>
        <row r="205">
          <cell r="A205" t="str">
            <v>type concentrés 1 vaches réformes engraissés</v>
          </cell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A206" t="str">
            <v>type concentrés 1 vaches réformes engraissés</v>
          </cell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A207" t="str">
            <v>type concentrés 1 vaches réformes engraissés</v>
          </cell>
          <cell r="C207">
            <v>38</v>
          </cell>
        </row>
        <row r="208">
          <cell r="A208" t="str">
            <v>type  concentrés 1 vaches réformes engraissés</v>
          </cell>
          <cell r="C208">
            <v>39</v>
          </cell>
        </row>
        <row r="209">
          <cell r="A209" t="str">
            <v>type concentrés 1 vaches réformes engraissés</v>
          </cell>
          <cell r="C209">
            <v>40</v>
          </cell>
        </row>
        <row r="211">
          <cell r="A211" t="str">
            <v>CO cultures (y.c. maïs-ensilage)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A220" t="str">
            <v>engraissement des vaches de réforme (%)</v>
          </cell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K20">
            <v>0</v>
          </cell>
          <cell r="L20">
            <v>1.5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4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7" t="s">
        <v>2</v>
      </c>
      <c r="C1" s="297"/>
      <c r="D1" s="297" t="s">
        <v>0</v>
      </c>
      <c r="E1" s="297"/>
      <c r="F1" s="297" t="s">
        <v>1</v>
      </c>
      <c r="G1" s="297"/>
      <c r="H1" s="297" t="s">
        <v>3</v>
      </c>
      <c r="I1" s="297"/>
      <c r="J1" s="297" t="s">
        <v>4</v>
      </c>
      <c r="K1" s="297"/>
      <c r="L1" s="297" t="s">
        <v>5</v>
      </c>
      <c r="M1" s="297"/>
      <c r="N1" s="297" t="s">
        <v>6</v>
      </c>
      <c r="O1" s="297"/>
      <c r="P1" s="297" t="s">
        <v>7</v>
      </c>
      <c r="Q1" s="297"/>
      <c r="R1" s="297" t="s">
        <v>8</v>
      </c>
      <c r="S1" s="297"/>
      <c r="T1" s="297" t="s">
        <v>9</v>
      </c>
      <c r="U1" s="297"/>
      <c r="V1" s="297" t="s">
        <v>10</v>
      </c>
      <c r="W1" s="297"/>
      <c r="X1" s="297" t="s">
        <v>11</v>
      </c>
      <c r="Y1" s="297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7" t="s">
        <v>2</v>
      </c>
      <c r="C1" s="297"/>
      <c r="D1" s="297" t="s">
        <v>0</v>
      </c>
      <c r="E1" s="297"/>
      <c r="F1" s="297" t="s">
        <v>1</v>
      </c>
      <c r="G1" s="297"/>
      <c r="H1" s="297" t="s">
        <v>3</v>
      </c>
      <c r="I1" s="297"/>
      <c r="J1" s="297" t="s">
        <v>4</v>
      </c>
      <c r="K1" s="297"/>
      <c r="L1" s="297" t="s">
        <v>5</v>
      </c>
      <c r="M1" s="297"/>
      <c r="N1" s="297" t="s">
        <v>6</v>
      </c>
      <c r="O1" s="297"/>
      <c r="P1" s="297" t="s">
        <v>7</v>
      </c>
      <c r="Q1" s="297"/>
      <c r="R1" s="297" t="s">
        <v>8</v>
      </c>
      <c r="S1" s="297"/>
      <c r="T1" s="297" t="s">
        <v>9</v>
      </c>
      <c r="U1" s="297"/>
      <c r="V1" s="297" t="s">
        <v>10</v>
      </c>
      <c r="W1" s="297"/>
      <c r="X1" s="297" t="s">
        <v>11</v>
      </c>
      <c r="Y1" s="297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7" t="s">
        <v>2</v>
      </c>
      <c r="H1" s="297"/>
      <c r="I1" s="297" t="s">
        <v>0</v>
      </c>
      <c r="J1" s="297"/>
      <c r="K1" s="297" t="s">
        <v>1</v>
      </c>
      <c r="L1" s="297"/>
      <c r="M1" s="297" t="s">
        <v>3</v>
      </c>
      <c r="N1" s="297"/>
      <c r="O1" s="297" t="s">
        <v>4</v>
      </c>
      <c r="P1" s="297"/>
      <c r="Q1" s="297" t="s">
        <v>5</v>
      </c>
      <c r="R1" s="297"/>
      <c r="S1" s="297" t="s">
        <v>6</v>
      </c>
      <c r="T1" s="297"/>
      <c r="U1" s="297" t="s">
        <v>7</v>
      </c>
      <c r="V1" s="297"/>
      <c r="W1" s="297" t="s">
        <v>8</v>
      </c>
      <c r="X1" s="297"/>
      <c r="Y1" s="297" t="s">
        <v>9</v>
      </c>
      <c r="Z1" s="297"/>
      <c r="AA1" s="297" t="s">
        <v>10</v>
      </c>
      <c r="AB1" s="297"/>
      <c r="AC1" s="297" t="s">
        <v>11</v>
      </c>
      <c r="AD1" s="297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51.183999999999997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171.3778656935861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0.70843895652173916</v>
      </c>
      <c r="H5" s="143">
        <f>CdTrp1!C215+CdTrp2!C215+CdTrp3!C215+CdTrp4!C215</f>
        <v>0.70843895652173916</v>
      </c>
      <c r="I5" s="143">
        <f>CdTrp1!D215+CdTrp2!D215+CdTrp3!D215+CdTrp4!D215</f>
        <v>0.63988034782608705</v>
      </c>
      <c r="J5" s="143">
        <f>CdTrp1!E215+CdTrp2!E215+CdTrp3!E215+CdTrp4!E215</f>
        <v>0.63988034782608705</v>
      </c>
      <c r="K5" s="143">
        <f>CdTrp1!F215+CdTrp2!F215+CdTrp3!F215+CdTrp4!F215</f>
        <v>0.70843895652173916</v>
      </c>
      <c r="L5" s="143">
        <f>CdTrp1!G215+CdTrp2!G215+CdTrp3!G215+CdTrp4!G215</f>
        <v>6.1392961450434793</v>
      </c>
      <c r="M5" s="143">
        <f>CdTrp1!H215+CdTrp2!H215+CdTrp3!H215+CdTrp4!H215</f>
        <v>8.3170297486956546</v>
      </c>
      <c r="N5" s="143">
        <f>CdTrp1!I215+CdTrp2!I215+CdTrp3!I215+CdTrp4!I215</f>
        <v>5.9910689634782619</v>
      </c>
      <c r="O5" s="143">
        <f>CdTrp1!J215+CdTrp2!J215+CdTrp3!J215+CdTrp4!J215</f>
        <v>6.1350483794782615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5.409386640000001</v>
      </c>
      <c r="S5" s="143">
        <f>CdTrp1!N215+CdTrp2!N215+CdTrp3!N215+CdTrp4!N215</f>
        <v>5.5896995280000006</v>
      </c>
      <c r="T5" s="143">
        <f>CdTrp1!O215+CdTrp2!O215+CdTrp3!O215+CdTrp4!O215</f>
        <v>5.5896995280000006</v>
      </c>
      <c r="U5" s="143">
        <f>CdTrp1!P215+CdTrp2!P215+CdTrp3!P215+CdTrp4!P215</f>
        <v>5.5896995280000006</v>
      </c>
      <c r="V5" s="143">
        <f>CdTrp1!Q215+CdTrp2!Q215+CdTrp3!Q215+CdTrp4!Q215</f>
        <v>5.5896995280000006</v>
      </c>
      <c r="W5" s="143">
        <f>CdTrp1!R215+CdTrp2!R215+CdTrp3!R215+CdTrp4!R215</f>
        <v>5.409386640000001</v>
      </c>
      <c r="X5" s="143">
        <f>CdTrp1!S215+CdTrp2!S215+CdTrp3!S215+CdTrp4!S215</f>
        <v>5.409386640000001</v>
      </c>
      <c r="Y5" s="143">
        <f>CdTrp1!T215+CdTrp2!T215+CdTrp3!T215+CdTrp4!T215</f>
        <v>2.5483915950956533</v>
      </c>
      <c r="Z5" s="143">
        <f>CdTrp1!U215+CdTrp2!U215+CdTrp3!U215+CdTrp4!U215</f>
        <v>3.6983030353043485</v>
      </c>
      <c r="AA5" s="143">
        <f>CdTrp1!V215+CdTrp2!V215+CdTrp3!V215+CdTrp4!V215</f>
        <v>0.73745608695652187</v>
      </c>
      <c r="AB5" s="143">
        <f>CdTrp1!W215+CdTrp2!W215+CdTrp3!W215+CdTrp4!W215</f>
        <v>0.71152108695652194</v>
      </c>
      <c r="AC5" s="143">
        <f>CdTrp1!X215+CdTrp2!X215+CdTrp3!X215+CdTrp4!X215</f>
        <v>0.70843895652173916</v>
      </c>
      <c r="AD5" s="143">
        <f>CdTrp1!Y215+CdTrp2!Y215+CdTrp3!Y215+CdTrp4!Y215</f>
        <v>0.70843895652173916</v>
      </c>
      <c r="AE5" s="153"/>
      <c r="AF5" s="144">
        <f>AF8+AF9</f>
        <v>141.59642057926956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1.286376</v>
      </c>
      <c r="M6" s="143">
        <f>CdTrp1!H216+CdTrp2!H216+CdTrp3!H216+CdTrp4!H216</f>
        <v>1.24488</v>
      </c>
      <c r="N6" s="143">
        <f>CdTrp1!I216+CdTrp2!I216+CdTrp3!I216+CdTrp4!I216</f>
        <v>3.5479878000000005</v>
      </c>
      <c r="O6" s="143">
        <f>CdTrp1!J216+CdTrp2!J216+CdTrp3!J216+CdTrp4!J216</f>
        <v>2.3305257499999996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0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</v>
      </c>
      <c r="AA6" s="143">
        <f>CdTrp1!V216+CdTrp2!V216+CdTrp3!V216+CdTrp4!V216</f>
        <v>1.24488</v>
      </c>
      <c r="AB6" s="143">
        <f>CdTrp1!W216+CdTrp2!W216+CdTrp3!W216+CdTrp4!W216</f>
        <v>2.6701079999999999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159.5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1.286376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1.286376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1.286376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2.61925944</v>
      </c>
      <c r="AA7" s="143">
        <f>CdTrp1!V217+CdTrp2!V217+CdTrp3!V217+CdTrp4!V217</f>
        <v>1.3979363999999999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0.70843895652173916</v>
      </c>
      <c r="H8" s="143">
        <f t="shared" ref="H8:AD8" si="0">SUM(H5:H7)</f>
        <v>0.70843895652173916</v>
      </c>
      <c r="I8" s="143">
        <f t="shared" si="0"/>
        <v>0.63988034782608705</v>
      </c>
      <c r="J8" s="143">
        <f t="shared" si="0"/>
        <v>0.63988034782608705</v>
      </c>
      <c r="K8" s="143">
        <f t="shared" si="0"/>
        <v>1.994814956521739</v>
      </c>
      <c r="L8" s="143">
        <f t="shared" si="0"/>
        <v>7.4256721450434791</v>
      </c>
      <c r="M8" s="143">
        <f t="shared" si="0"/>
        <v>9.5619097486956548</v>
      </c>
      <c r="N8" s="143">
        <f t="shared" si="0"/>
        <v>9.5390567634782624</v>
      </c>
      <c r="O8" s="143">
        <f t="shared" si="0"/>
        <v>9.7519501294782618</v>
      </c>
      <c r="P8" s="143">
        <f t="shared" si="0"/>
        <v>9.2066012780000008</v>
      </c>
      <c r="Q8" s="143">
        <f t="shared" si="0"/>
        <v>6.6542666400000012</v>
      </c>
      <c r="R8" s="143">
        <f t="shared" si="0"/>
        <v>6.6542666400000012</v>
      </c>
      <c r="S8" s="143">
        <f t="shared" si="0"/>
        <v>6.8760755280000003</v>
      </c>
      <c r="T8" s="143">
        <f t="shared" si="0"/>
        <v>6.8760755280000003</v>
      </c>
      <c r="U8" s="143">
        <f t="shared" si="0"/>
        <v>6.8760755280000003</v>
      </c>
      <c r="V8" s="143">
        <f t="shared" si="0"/>
        <v>6.8760755280000003</v>
      </c>
      <c r="W8" s="143">
        <f t="shared" si="0"/>
        <v>6.6542666400000012</v>
      </c>
      <c r="X8" s="143">
        <f t="shared" si="0"/>
        <v>6.6542666400000012</v>
      </c>
      <c r="Y8" s="143">
        <f t="shared" si="0"/>
        <v>5.1320283150956527</v>
      </c>
      <c r="Z8" s="143">
        <f t="shared" si="0"/>
        <v>6.3175624753043484</v>
      </c>
      <c r="AA8" s="143">
        <f t="shared" si="0"/>
        <v>3.3802724869565219</v>
      </c>
      <c r="AB8" s="143">
        <f t="shared" si="0"/>
        <v>3.3816290869565218</v>
      </c>
      <c r="AC8" s="143">
        <f t="shared" si="0"/>
        <v>0.70843895652173916</v>
      </c>
      <c r="AD8" s="143">
        <f t="shared" si="0"/>
        <v>0.70843895652173916</v>
      </c>
      <c r="AE8" s="153"/>
      <c r="AF8" s="144">
        <f>SUM(G8:AD8)</f>
        <v>123.92638257926957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2.2553475000000001</v>
      </c>
      <c r="R9" s="143">
        <f>CdTrp1!M218+CdTrp2!M218+CdTrp3!M218+CdTrp4!M218</f>
        <v>2.2553475000000001</v>
      </c>
      <c r="S9" s="143">
        <f>CdTrp1!N218+CdTrp2!N218+CdTrp3!N218+CdTrp4!N218</f>
        <v>2.3305257499999996</v>
      </c>
      <c r="T9" s="143">
        <f>CdTrp1!O218+CdTrp2!O218+CdTrp3!O218+CdTrp4!O218</f>
        <v>2.3305257499999996</v>
      </c>
      <c r="U9" s="143">
        <f>CdTrp1!P218+CdTrp2!P218+CdTrp3!P218+CdTrp4!P218</f>
        <v>2.3305257499999996</v>
      </c>
      <c r="V9" s="143">
        <f>CdTrp1!Q218+CdTrp2!Q218+CdTrp3!Q218+CdTrp4!Q218</f>
        <v>2.3305257499999996</v>
      </c>
      <c r="W9" s="143">
        <f>CdTrp1!R218+CdTrp2!R218+CdTrp3!R218+CdTrp4!R218</f>
        <v>1.9186200000000002</v>
      </c>
      <c r="X9" s="143">
        <f>CdTrp1!S218+CdTrp2!S218+CdTrp3!S218+CdTrp4!S218</f>
        <v>1.9186200000000002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17.670037999999998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48.5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31</v>
      </c>
      <c r="H18" s="158">
        <f>G18/G17</f>
        <v>0.63917525773195871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10</v>
      </c>
      <c r="H19" s="158">
        <f>G19/G17</f>
        <v>0.20618556701030927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3.5</v>
      </c>
      <c r="H20" s="158">
        <f>G20/G17</f>
        <v>7.2164948453608241E-2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R8" sqref="R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8" t="s">
        <v>250</v>
      </c>
      <c r="AT2" s="298"/>
      <c r="AU2" s="297" t="s">
        <v>251</v>
      </c>
      <c r="AV2" s="297"/>
      <c r="AW2" s="297" t="s">
        <v>252</v>
      </c>
      <c r="AX2" s="297"/>
      <c r="AY2" s="297" t="s">
        <v>253</v>
      </c>
      <c r="AZ2" s="297"/>
      <c r="BA2" s="297" t="s">
        <v>254</v>
      </c>
      <c r="BB2" s="297"/>
      <c r="BC2" s="297" t="s">
        <v>255</v>
      </c>
      <c r="BD2" s="297"/>
      <c r="BE2" s="297" t="s">
        <v>256</v>
      </c>
      <c r="BF2" s="297"/>
      <c r="BG2" s="297" t="s">
        <v>257</v>
      </c>
      <c r="BH2" s="297"/>
      <c r="BI2" s="297" t="s">
        <v>258</v>
      </c>
      <c r="BJ2" s="297"/>
      <c r="BK2" s="297" t="s">
        <v>259</v>
      </c>
      <c r="BL2" s="297"/>
      <c r="BM2" s="297" t="s">
        <v>260</v>
      </c>
      <c r="BN2" s="297"/>
      <c r="BO2" s="297" t="s">
        <v>261</v>
      </c>
      <c r="BP2" s="297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1.994814956521739</v>
      </c>
      <c r="AX5" s="13">
        <f>'Conduite Trp'!L8</f>
        <v>7.4256721450434791</v>
      </c>
      <c r="AY5" s="13">
        <f>'Conduite Trp'!M8</f>
        <v>9.5619097486956548</v>
      </c>
      <c r="AZ5" s="13">
        <f>'Conduite Trp'!N8</f>
        <v>9.5390567634782624</v>
      </c>
      <c r="BA5" s="13">
        <f>'Conduite Trp'!O8</f>
        <v>9.7519501294782618</v>
      </c>
      <c r="BB5" s="13">
        <f>'Conduite Trp'!P8</f>
        <v>9.2066012780000008</v>
      </c>
      <c r="BC5" s="13">
        <f>'Conduite Trp'!Q8</f>
        <v>6.6542666400000012</v>
      </c>
      <c r="BD5" s="13">
        <f>'Conduite Trp'!R8</f>
        <v>6.6542666400000012</v>
      </c>
      <c r="BE5" s="13">
        <f>'Conduite Trp'!S8</f>
        <v>6.8760755280000003</v>
      </c>
      <c r="BF5" s="13">
        <f>'Conduite Trp'!T8</f>
        <v>6.8760755280000003</v>
      </c>
      <c r="BG5" s="13">
        <f>'Conduite Trp'!U8</f>
        <v>6.8760755280000003</v>
      </c>
      <c r="BH5" s="13">
        <f>'Conduite Trp'!V8</f>
        <v>6.8760755280000003</v>
      </c>
      <c r="BI5" s="13">
        <f>'Conduite Trp'!W8</f>
        <v>6.6542666400000012</v>
      </c>
      <c r="BJ5" s="13">
        <f>'Conduite Trp'!X8</f>
        <v>6.6542666400000012</v>
      </c>
      <c r="BK5" s="13">
        <f>'Conduite Trp'!Y8</f>
        <v>5.1320283150956527</v>
      </c>
      <c r="BL5" s="13">
        <f>'Conduite Trp'!Z8</f>
        <v>6.3175624753043484</v>
      </c>
      <c r="BM5" s="13">
        <f>'Conduite Trp'!AA8</f>
        <v>3.3802724869565219</v>
      </c>
      <c r="BN5" s="13">
        <f>'Conduite Trp'!AB8</f>
        <v>3.3816290869565218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2.6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8.58</v>
      </c>
      <c r="AF7" s="61">
        <f t="shared" ref="AF7:AF26" si="1">$R7*W7</f>
        <v>7.8000000000000007</v>
      </c>
      <c r="AG7" s="61">
        <f t="shared" ref="AG7:AG26" si="2">$R7*X7</f>
        <v>5.9799999999999995</v>
      </c>
      <c r="AH7" s="61">
        <f t="shared" ref="AH7:AH26" si="3">$R7*Y7</f>
        <v>1.3</v>
      </c>
      <c r="AI7" s="61">
        <f t="shared" ref="AI7:AI26" si="4">$R7*Z7</f>
        <v>1.8199999999999998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9.5619097486956548</v>
      </c>
      <c r="AZ7" s="61">
        <f t="shared" si="7"/>
        <v>9.5390567634782624</v>
      </c>
      <c r="BA7" s="61">
        <f t="shared" si="7"/>
        <v>9.7519501294782618</v>
      </c>
      <c r="BB7" s="61">
        <f t="shared" si="7"/>
        <v>9.2066012780000008</v>
      </c>
      <c r="BC7" s="61">
        <f t="shared" si="7"/>
        <v>6.6542666400000012</v>
      </c>
      <c r="BD7" s="61">
        <f t="shared" si="7"/>
        <v>6.6542666400000012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51.368051199652186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51.183999999999997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0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6.8760755280000003</v>
      </c>
      <c r="BF8" s="61">
        <f t="shared" si="8"/>
        <v>6.8760755280000003</v>
      </c>
      <c r="BG8" s="61">
        <f t="shared" si="8"/>
        <v>6.8760755280000003</v>
      </c>
      <c r="BH8" s="61">
        <f t="shared" si="8"/>
        <v>6.8760755280000003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27.504302112000001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51.183999999999997</v>
      </c>
      <c r="G9" s="81"/>
      <c r="H9" s="61">
        <f>SUM(L34:L43)</f>
        <v>0</v>
      </c>
      <c r="I9" s="81"/>
      <c r="J9" s="81"/>
      <c r="K9" s="93">
        <f>H9-F9</f>
        <v>-51.183999999999997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6.6542666400000012</v>
      </c>
      <c r="BJ9" s="61">
        <f t="shared" si="10"/>
        <v>6.6542666400000012</v>
      </c>
      <c r="BK9" s="61">
        <f t="shared" si="10"/>
        <v>5.1320283150956527</v>
      </c>
      <c r="BL9" s="61">
        <f t="shared" si="10"/>
        <v>6.3175624753043484</v>
      </c>
      <c r="BM9" s="61">
        <f t="shared" si="10"/>
        <v>3.3802724869565219</v>
      </c>
      <c r="BN9" s="61">
        <f t="shared" si="10"/>
        <v>3.3816290869565218</v>
      </c>
      <c r="BO9" s="61">
        <f t="shared" si="10"/>
        <v>0</v>
      </c>
      <c r="BP9" s="61">
        <f t="shared" si="10"/>
        <v>0</v>
      </c>
      <c r="BR9" s="61">
        <f t="shared" si="9"/>
        <v>31.520025644313048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0.70843895652173916</v>
      </c>
      <c r="AT10" s="61">
        <f t="shared" ref="AT10:BP10" si="11">IF(AT$4=4,AT$5,0)</f>
        <v>0.70843895652173916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0.70843895652173916</v>
      </c>
      <c r="BP10" s="61">
        <f t="shared" si="11"/>
        <v>0.70843895652173916</v>
      </c>
      <c r="BR10" s="61">
        <f t="shared" si="9"/>
        <v>2.8337558260869566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264</v>
      </c>
      <c r="R11" s="39">
        <v>0</v>
      </c>
      <c r="S11" s="291" t="str">
        <f>VLOOKUP($Q11,[1]MEP!$A$5:$D$300,3)</f>
        <v>PP EXCELLENTE 1  COUPE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1.8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3.8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0.63988034782608705</v>
      </c>
      <c r="AV11" s="61">
        <f t="shared" si="12"/>
        <v>0.63988034782608705</v>
      </c>
      <c r="AW11" s="61">
        <f t="shared" si="12"/>
        <v>1.994814956521739</v>
      </c>
      <c r="AX11" s="61">
        <f t="shared" si="12"/>
        <v>7.4256721450434791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10.700247797217392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>
        <v>296</v>
      </c>
      <c r="R12" s="39">
        <v>4</v>
      </c>
      <c r="S12" s="291" t="str">
        <f>VLOOKUP($Q12,[1]MEP!$A$5:$D$300,3)</f>
        <v>PP excellente P étalé</v>
      </c>
      <c r="T12" s="76" t="str">
        <f>VLOOKUP($Q12,[1]MEP!$A$5:$D$300,4)</f>
        <v>zone 1</v>
      </c>
      <c r="U12" s="76" t="str">
        <f>VLOOKUP($Q12,[1]MEP!$A$4:$K$300,2)</f>
        <v>P</v>
      </c>
      <c r="V12" s="76">
        <f>VLOOKUP($Q12,[1]MEP!$A$4:$K$300,5)</f>
        <v>3.5</v>
      </c>
      <c r="W12" s="76">
        <f>VLOOKUP($Q12,[1]MEP!$A$4:$K$300,6)</f>
        <v>2</v>
      </c>
      <c r="X12" s="76">
        <f>VLOOKUP($Q12,[1]MEP!$A$4:$K$300,7)</f>
        <v>1.5</v>
      </c>
      <c r="Y12" s="76">
        <f>VLOOKUP($Q12,[1]MEP!$A$4:$K$300,8)</f>
        <v>1</v>
      </c>
      <c r="Z12" s="76">
        <f>VLOOKUP($Q12,[1]MEP!$A$4:$K$300,9)</f>
        <v>1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14</v>
      </c>
      <c r="AF12" s="61">
        <f t="shared" si="1"/>
        <v>8</v>
      </c>
      <c r="AG12" s="61">
        <f t="shared" si="2"/>
        <v>6</v>
      </c>
      <c r="AH12" s="61">
        <f t="shared" si="3"/>
        <v>4</v>
      </c>
      <c r="AI12" s="61">
        <f t="shared" si="4"/>
        <v>4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>
        <v>253</v>
      </c>
      <c r="R13" s="39">
        <v>7.1</v>
      </c>
      <c r="S13" s="291" t="str">
        <f>VLOOKUP($Q13,[1]MEP!$A$5:$D$300,3)</f>
        <v>PP excellente 2 coupes précoces</v>
      </c>
      <c r="T13" s="76" t="str">
        <f>VLOOKUP($Q13,[1]MEP!$A$5:$D$300,4)</f>
        <v>zone 1</v>
      </c>
      <c r="U13" s="76" t="str">
        <f>VLOOKUP($Q13,[1]MEP!$A$4:$K$300,2)</f>
        <v>F/P</v>
      </c>
      <c r="V13" s="76">
        <f>VLOOKUP($Q13,[1]MEP!$A$4:$K$300,5)</f>
        <v>1.1000000000000001</v>
      </c>
      <c r="W13" s="76">
        <f>VLOOKUP($Q13,[1]MEP!$A$4:$K$300,6)</f>
        <v>1</v>
      </c>
      <c r="X13" s="76">
        <f>VLOOKUP($Q13,[1]MEP!$A$4:$K$300,7)</f>
        <v>0.77</v>
      </c>
      <c r="Y13" s="76">
        <f>VLOOKUP($Q13,[1]MEP!$A$4:$K$300,8)</f>
        <v>0.19</v>
      </c>
      <c r="Z13" s="76">
        <f>VLOOKUP($Q13,[1]MEP!$A$4:$K$300,9)</f>
        <v>0.96</v>
      </c>
      <c r="AA13" s="76">
        <f>VLOOKUP($Q13,[1]MEP!$A$4:$K$300,10)</f>
        <v>0</v>
      </c>
      <c r="AC13" s="76">
        <f>VLOOKUP($Q13,[1]MEP!$A$4:$K$300,11)</f>
        <v>5</v>
      </c>
      <c r="AE13" s="61">
        <f t="shared" si="0"/>
        <v>7.8100000000000005</v>
      </c>
      <c r="AF13" s="61">
        <f t="shared" si="1"/>
        <v>7.1</v>
      </c>
      <c r="AG13" s="61">
        <f t="shared" si="2"/>
        <v>5.4669999999999996</v>
      </c>
      <c r="AH13" s="61">
        <f t="shared" si="3"/>
        <v>1.349</v>
      </c>
      <c r="AI13" s="61">
        <f t="shared" si="4"/>
        <v>6.8159999999999998</v>
      </c>
      <c r="AJ13" s="61">
        <f t="shared" si="5"/>
        <v>0</v>
      </c>
      <c r="AK13" s="141"/>
      <c r="AL13" s="61">
        <f t="shared" si="6"/>
        <v>35.5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0.70843895652173916</v>
      </c>
      <c r="AX15" s="13">
        <f>'Conduite Trp'!L5</f>
        <v>6.1392961450434793</v>
      </c>
      <c r="AY15" s="13">
        <f>'Conduite Trp'!M5</f>
        <v>8.3170297486956546</v>
      </c>
      <c r="AZ15" s="13">
        <f>'Conduite Trp'!N5</f>
        <v>5.9910689634782619</v>
      </c>
      <c r="BA15" s="13">
        <f>'Conduite Trp'!O5</f>
        <v>6.1350483794782615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5.409386640000001</v>
      </c>
      <c r="BE15" s="13">
        <f>'Conduite Trp'!S5</f>
        <v>5.5896995280000006</v>
      </c>
      <c r="BF15" s="13">
        <f>'Conduite Trp'!T5</f>
        <v>5.5896995280000006</v>
      </c>
      <c r="BG15" s="13">
        <f>'Conduite Trp'!U5</f>
        <v>5.5896995280000006</v>
      </c>
      <c r="BH15" s="13">
        <f>'Conduite Trp'!V5</f>
        <v>5.5896995280000006</v>
      </c>
      <c r="BI15" s="13">
        <f>'Conduite Trp'!W5</f>
        <v>5.409386640000001</v>
      </c>
      <c r="BJ15" s="13">
        <f>'Conduite Trp'!X5</f>
        <v>5.409386640000001</v>
      </c>
      <c r="BK15" s="13">
        <f>'Conduite Trp'!Y5</f>
        <v>2.5483915950956533</v>
      </c>
      <c r="BL15" s="13">
        <f>'Conduite Trp'!Z5</f>
        <v>3.6983030353043485</v>
      </c>
      <c r="BM15" s="13">
        <f>'Conduite Trp'!AA5</f>
        <v>0.73745608695652187</v>
      </c>
      <c r="BN15" s="13">
        <f>'Conduite Trp'!AB5</f>
        <v>0.71152108695652194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1.286376</v>
      </c>
      <c r="AY16" s="13">
        <f>'Conduite Trp'!M6</f>
        <v>1.24488</v>
      </c>
      <c r="AZ16" s="13">
        <f>'Conduite Trp'!N6</f>
        <v>3.5479878000000005</v>
      </c>
      <c r="BA16" s="13">
        <f>'Conduite Trp'!O6</f>
        <v>2.3305257499999996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0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</v>
      </c>
      <c r="BM16" s="13">
        <f>'Conduite Trp'!AA6</f>
        <v>1.24488</v>
      </c>
      <c r="BN16" s="13">
        <f>'Conduite Trp'!AB6</f>
        <v>2.6701079999999999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1.286376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1.286376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1.286376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2.61925944</v>
      </c>
      <c r="BM17" s="13">
        <f>'Conduite Trp'!AA7</f>
        <v>1.3979363999999999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8.3170297486956546</v>
      </c>
      <c r="AZ19" s="61">
        <f t="shared" si="15"/>
        <v>5.9910689634782619</v>
      </c>
      <c r="BA19" s="61">
        <f t="shared" si="15"/>
        <v>6.1350483794782615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5.409386640000001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36.851619899652178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5.5896995280000006</v>
      </c>
      <c r="BF20" s="61">
        <f t="shared" si="16"/>
        <v>5.5896995280000006</v>
      </c>
      <c r="BG20" s="61">
        <f t="shared" si="16"/>
        <v>5.5896995280000006</v>
      </c>
      <c r="BH20" s="61">
        <f t="shared" si="16"/>
        <v>5.5896995280000006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22.358798112000002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5.409386640000001</v>
      </c>
      <c r="BJ21" s="61">
        <f t="shared" si="18"/>
        <v>5.409386640000001</v>
      </c>
      <c r="BK21" s="61">
        <f t="shared" si="18"/>
        <v>2.5483915950956533</v>
      </c>
      <c r="BL21" s="61">
        <f t="shared" si="18"/>
        <v>3.6983030353043485</v>
      </c>
      <c r="BM21" s="61">
        <f t="shared" si="18"/>
        <v>0.73745608695652187</v>
      </c>
      <c r="BN21" s="61">
        <f t="shared" si="18"/>
        <v>0.71152108695652194</v>
      </c>
      <c r="BO21" s="61">
        <f t="shared" si="18"/>
        <v>0</v>
      </c>
      <c r="BP21" s="61">
        <f t="shared" si="18"/>
        <v>0</v>
      </c>
      <c r="BR21" s="61">
        <f t="shared" si="17"/>
        <v>18.514445084313046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0.70843895652173916</v>
      </c>
      <c r="AT22" s="61">
        <f t="shared" ref="AT22:BP22" si="19">IF(AT$4=4,AT$15,0)</f>
        <v>0.70843895652173916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0.70843895652173916</v>
      </c>
      <c r="BP22" s="61">
        <f t="shared" si="19"/>
        <v>0.70843895652173916</v>
      </c>
      <c r="BR22" s="61">
        <f t="shared" si="17"/>
        <v>2.8337558260869566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0.63988034782608705</v>
      </c>
      <c r="AV23" s="61">
        <f t="shared" si="20"/>
        <v>0.63988034782608705</v>
      </c>
      <c r="AW23" s="61">
        <f t="shared" si="20"/>
        <v>0.70843895652173916</v>
      </c>
      <c r="AX23" s="61">
        <f t="shared" si="20"/>
        <v>6.1392961450434793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8.1274957972173922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53.89</v>
      </c>
      <c r="E24" s="61">
        <f t="shared" si="21"/>
        <v>27.974999999999998</v>
      </c>
      <c r="F24" s="61">
        <f t="shared" si="21"/>
        <v>36.451999999999998</v>
      </c>
      <c r="G24" s="61">
        <f t="shared" si="21"/>
        <v>15.105</v>
      </c>
      <c r="H24" s="61">
        <f t="shared" si="21"/>
        <v>27.495000000000001</v>
      </c>
      <c r="I24" s="61">
        <f t="shared" si="21"/>
        <v>0</v>
      </c>
      <c r="J24" s="63"/>
      <c r="K24" s="61">
        <f>AL27+AL49+AL71</f>
        <v>93.121000000000009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51.368051199652186</v>
      </c>
      <c r="E25" s="61">
        <f>BR8</f>
        <v>27.504302112000001</v>
      </c>
      <c r="F25" s="61">
        <f>BR9</f>
        <v>31.520025644313048</v>
      </c>
      <c r="G25" s="61">
        <f>BR10</f>
        <v>2.8337558260869566</v>
      </c>
      <c r="H25" s="61">
        <f>BR11</f>
        <v>10.700247797217392</v>
      </c>
      <c r="I25" s="61">
        <f>BR12</f>
        <v>0</v>
      </c>
      <c r="J25" s="63"/>
      <c r="K25" s="76">
        <f>'Conduite Trp'!C7</f>
        <v>159.5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2.5219488003478148</v>
      </c>
      <c r="E27" s="93">
        <f t="shared" si="23"/>
        <v>0.47069788799999657</v>
      </c>
      <c r="F27" s="93">
        <f t="shared" si="23"/>
        <v>4.9319743556869504</v>
      </c>
      <c r="G27" s="93">
        <f t="shared" si="23"/>
        <v>12.271244173913043</v>
      </c>
      <c r="H27" s="93">
        <f t="shared" si="23"/>
        <v>16.794752202782611</v>
      </c>
      <c r="I27" s="93">
        <f t="shared" si="23"/>
        <v>0</v>
      </c>
      <c r="J27" s="63"/>
      <c r="K27" s="93">
        <f>K24-K25</f>
        <v>-66.378999999999991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37.89</v>
      </c>
      <c r="AF27" s="75">
        <f t="shared" ref="AF27:AJ27" si="24">SUM(AF7:AF26)</f>
        <v>22.9</v>
      </c>
      <c r="AG27" s="75">
        <f t="shared" si="24"/>
        <v>21.196999999999999</v>
      </c>
      <c r="AH27" s="75">
        <f t="shared" si="24"/>
        <v>10.399000000000001</v>
      </c>
      <c r="AI27" s="75">
        <f t="shared" si="24"/>
        <v>17.936</v>
      </c>
      <c r="AJ27" s="75">
        <f t="shared" si="24"/>
        <v>0</v>
      </c>
      <c r="AK27"/>
      <c r="AL27" s="75">
        <f>SUM(AL7:AL26)</f>
        <v>51.85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1.24488</v>
      </c>
      <c r="AZ27" s="61">
        <f t="shared" si="25"/>
        <v>3.5479878000000005</v>
      </c>
      <c r="BA27" s="61">
        <f t="shared" si="25"/>
        <v>2.3305257499999996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13.2300553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3.8591280000000001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6</v>
      </c>
      <c r="AF29" s="61">
        <f t="shared" ref="AF29:AF48" si="29">$R29*W29</f>
        <v>4</v>
      </c>
      <c r="AG29" s="61">
        <f t="shared" ref="AG29:AG48" si="30">$R29*X29</f>
        <v>3</v>
      </c>
      <c r="AH29" s="61">
        <f t="shared" ref="AH29:AH48" si="31">$R29*Y29</f>
        <v>1</v>
      </c>
      <c r="AI29" s="61">
        <f t="shared" ref="AI29:AI48" si="32">$R29*Z29</f>
        <v>1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</v>
      </c>
      <c r="BM29" s="61">
        <f t="shared" si="35"/>
        <v>1.24488</v>
      </c>
      <c r="BN29" s="61">
        <f t="shared" si="35"/>
        <v>2.6701079999999999</v>
      </c>
      <c r="BO29" s="61">
        <f t="shared" si="35"/>
        <v>0</v>
      </c>
      <c r="BP29" s="61">
        <f t="shared" si="35"/>
        <v>0</v>
      </c>
      <c r="BR29" s="61">
        <f t="shared" si="27"/>
        <v>7.6911240000000003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2.2999999999999998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3.4499999999999997</v>
      </c>
      <c r="AF30" s="61">
        <f t="shared" si="29"/>
        <v>0</v>
      </c>
      <c r="AG30" s="61">
        <f t="shared" si="30"/>
        <v>1.7249999999999999</v>
      </c>
      <c r="AH30" s="61">
        <f t="shared" si="31"/>
        <v>1.7249999999999999</v>
      </c>
      <c r="AI30" s="61">
        <f t="shared" si="32"/>
        <v>2.4379999999999997</v>
      </c>
      <c r="AJ30" s="61">
        <f t="shared" si="33"/>
        <v>0</v>
      </c>
      <c r="AK30"/>
      <c r="AL30" s="61">
        <f t="shared" si="34"/>
        <v>7.520999999999999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1.286376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1.286376</v>
      </c>
    </row>
    <row r="32" spans="2:72" x14ac:dyDescent="0.25">
      <c r="D32" s="68" t="s">
        <v>267</v>
      </c>
      <c r="E32" s="68" t="s">
        <v>18</v>
      </c>
      <c r="F32" s="297" t="s">
        <v>276</v>
      </c>
      <c r="G32" s="297"/>
      <c r="H32" s="82"/>
      <c r="I32" s="68" t="s">
        <v>280</v>
      </c>
      <c r="J32" s="82" t="s">
        <v>280</v>
      </c>
      <c r="K32" s="297" t="s">
        <v>278</v>
      </c>
      <c r="L32" s="297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1.286376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1.286376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1.286376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1.286376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2.61925944</v>
      </c>
      <c r="BM37" s="61">
        <f t="shared" si="46"/>
        <v>1.3979363999999999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5.31445656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1.286376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1.286376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13.85</v>
      </c>
      <c r="AF49" s="75">
        <f t="shared" ref="AF49" si="50">SUM(AF29:AF48)</f>
        <v>4</v>
      </c>
      <c r="AG49" s="75">
        <f t="shared" ref="AG49" si="51">SUM(AG29:AG48)</f>
        <v>8.8649999999999984</v>
      </c>
      <c r="AH49" s="75">
        <f t="shared" ref="AH49" si="52">SUM(AH29:AH48)</f>
        <v>3.76</v>
      </c>
      <c r="AI49" s="75">
        <f t="shared" ref="AI49" si="53">SUM(AI29:AI48)</f>
        <v>8.6129999999999995</v>
      </c>
      <c r="AJ49" s="75">
        <f t="shared" ref="AJ49" si="54">SUM(AJ29:AJ48)</f>
        <v>0</v>
      </c>
      <c r="AK49"/>
      <c r="AL49" s="75">
        <f>SUM(AL29:AL48)</f>
        <v>41.271000000000001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37.89</v>
      </c>
      <c r="E72" s="61">
        <f t="shared" ref="E72:H72" si="69">AF27</f>
        <v>22.9</v>
      </c>
      <c r="F72" s="61">
        <f t="shared" si="69"/>
        <v>21.196999999999999</v>
      </c>
      <c r="G72" s="61">
        <f t="shared" si="69"/>
        <v>10.399000000000001</v>
      </c>
      <c r="H72" s="61">
        <f t="shared" si="69"/>
        <v>17.936</v>
      </c>
      <c r="I72" s="61">
        <f t="shared" ref="I72" si="70">AJ75+AJ97+AJ119</f>
        <v>0</v>
      </c>
      <c r="J72" s="63"/>
      <c r="K72" s="61">
        <f>+K24</f>
        <v>93.121000000000009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36.851619899652178</v>
      </c>
      <c r="E73" s="61">
        <f>BR20</f>
        <v>22.358798112000002</v>
      </c>
      <c r="F73" s="61">
        <f>BR21</f>
        <v>18.514445084313046</v>
      </c>
      <c r="G73" s="61">
        <f>BR22</f>
        <v>2.8337558260869566</v>
      </c>
      <c r="H73" s="61">
        <f>BR23</f>
        <v>8.1274957972173922</v>
      </c>
      <c r="I73" s="61">
        <f>BR60</f>
        <v>0</v>
      </c>
      <c r="J73" s="63"/>
      <c r="K73" s="76">
        <f>+K25</f>
        <v>159.5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1.0383801003478226</v>
      </c>
      <c r="E75" s="93">
        <f t="shared" ref="E75:I75" si="71">E72-E73</f>
        <v>0.54120188799999625</v>
      </c>
      <c r="F75" s="93">
        <f t="shared" si="71"/>
        <v>2.6825549156869535</v>
      </c>
      <c r="G75" s="93">
        <f t="shared" si="71"/>
        <v>7.5652441739130438</v>
      </c>
      <c r="H75" s="93">
        <f t="shared" si="71"/>
        <v>9.8085042027826077</v>
      </c>
      <c r="I75" s="93">
        <f t="shared" si="71"/>
        <v>0</v>
      </c>
      <c r="J75" s="63"/>
      <c r="K75" s="93">
        <f>+K27</f>
        <v>-66.378999999999991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13.85</v>
      </c>
      <c r="E82" s="61">
        <f t="shared" ref="E82:H82" si="72">AF49</f>
        <v>4</v>
      </c>
      <c r="F82" s="61">
        <f t="shared" si="72"/>
        <v>8.8649999999999984</v>
      </c>
      <c r="G82" s="61">
        <f t="shared" si="72"/>
        <v>3.76</v>
      </c>
      <c r="H82" s="61">
        <f t="shared" si="72"/>
        <v>8.6129999999999995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13.2300553</v>
      </c>
      <c r="E83" s="61">
        <f>BR28</f>
        <v>3.8591280000000001</v>
      </c>
      <c r="F83" s="61">
        <f>BR29</f>
        <v>7.6911240000000003</v>
      </c>
      <c r="G83" s="61">
        <f>BR30</f>
        <v>0</v>
      </c>
      <c r="H83" s="61">
        <f>BR31</f>
        <v>1.286376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0.61994469999999957</v>
      </c>
      <c r="E85" s="93">
        <f t="shared" ref="E85:H85" si="73">E82-E83</f>
        <v>0.14087199999999989</v>
      </c>
      <c r="F85" s="93">
        <f t="shared" si="73"/>
        <v>1.1738759999999981</v>
      </c>
      <c r="G85" s="93">
        <f t="shared" si="73"/>
        <v>3.76</v>
      </c>
      <c r="H85" s="93">
        <f t="shared" si="73"/>
        <v>7.3266239999999998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1.286376</v>
      </c>
      <c r="E93" s="61">
        <f>BR36</f>
        <v>1.286376</v>
      </c>
      <c r="F93" s="61">
        <f>BR37</f>
        <v>5.31445656</v>
      </c>
      <c r="G93" s="61">
        <f>BR38</f>
        <v>0</v>
      </c>
      <c r="H93" s="61">
        <f>BR39</f>
        <v>1.286376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0.86362399999999995</v>
      </c>
      <c r="E95" s="93">
        <f t="shared" ref="E95:H95" si="75">E92-E93</f>
        <v>-0.21137600000000001</v>
      </c>
      <c r="F95" s="93">
        <f t="shared" si="75"/>
        <v>1.0755434399999997</v>
      </c>
      <c r="G95" s="93">
        <f t="shared" si="75"/>
        <v>0.94599999999999995</v>
      </c>
      <c r="H95" s="93">
        <f t="shared" si="75"/>
        <v>-0.34037600000000001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7" sqref="A7:XFD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4316.8910700990891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4316.8910700990891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ref="Q24:Q65" si="15">O24-P24</f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18.7</v>
      </c>
      <c r="H66" s="170"/>
      <c r="I66" s="170">
        <f>SUMIF(Parcellaire!$B$2:$B$65,1,Parcellaire!I2:I65)</f>
        <v>28</v>
      </c>
      <c r="J66" s="170">
        <f>SUMIF(Parcellaire!$B$2:$B$65,1,Parcellaire!J2:J65)</f>
        <v>6</v>
      </c>
      <c r="K66" s="170">
        <f>SUMIF(Parcellaire!$B$2:$B$65,1,Parcellaire!K2:K65)</f>
        <v>19.8</v>
      </c>
      <c r="L66" s="170">
        <f>SUMIF(Parcellaire!$B$2:$B$65,1,Parcellaire!L2:L65)</f>
        <v>21.480000000000004</v>
      </c>
      <c r="M66" s="170">
        <f>SUMIF(Parcellaire!$B$2:$B$65,1,Parcellaire!M2:M65)</f>
        <v>959.30912668868621</v>
      </c>
      <c r="N66" s="170">
        <f>SUMIF(Parcellaire!$B$2:$B$65,1,Parcellaire!N2:N65)</f>
        <v>66</v>
      </c>
      <c r="O66" s="170">
        <f>SUMIF(Parcellaire!$B$2:$B$65,1,Parcellaire!O2:O65)</f>
        <v>60</v>
      </c>
      <c r="P66" s="170">
        <f>SUMIF(Parcellaire!$B$2:$B$65,1,Parcellaire!P2:P65)</f>
        <v>0</v>
      </c>
      <c r="Q66" s="170">
        <f>SUMIF(Parcellaire!$B$2:$B$65,1,Parcellaire!Q2:Q65)</f>
        <v>30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4316.8910700990891</v>
      </c>
      <c r="U66" s="170">
        <f>SUMIF(Parcellaire!$B$2:$B$65,1,Parcellaire!U2:U65)</f>
        <v>2877.927380066059</v>
      </c>
      <c r="V66" s="170">
        <f>SUMIF(Parcellaire!$B$2:$B$65,1,Parcellaire!V2:V65)</f>
        <v>5755.8547601321179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7" t="s">
        <v>2</v>
      </c>
      <c r="C64" s="297"/>
      <c r="D64" s="297" t="s">
        <v>0</v>
      </c>
      <c r="E64" s="297"/>
      <c r="F64" s="297" t="s">
        <v>1</v>
      </c>
      <c r="G64" s="297"/>
      <c r="H64" s="297" t="s">
        <v>3</v>
      </c>
      <c r="I64" s="297"/>
      <c r="J64" s="297" t="s">
        <v>4</v>
      </c>
      <c r="K64" s="297"/>
      <c r="L64" s="297" t="s">
        <v>5</v>
      </c>
      <c r="M64" s="297"/>
      <c r="N64" s="297" t="s">
        <v>6</v>
      </c>
      <c r="O64" s="297"/>
      <c r="P64" s="297" t="s">
        <v>7</v>
      </c>
      <c r="Q64" s="297"/>
      <c r="R64" s="297" t="s">
        <v>8</v>
      </c>
      <c r="S64" s="297"/>
      <c r="T64" s="297" t="s">
        <v>9</v>
      </c>
      <c r="U64" s="297"/>
      <c r="V64" s="297" t="s">
        <v>10</v>
      </c>
      <c r="W64" s="297"/>
      <c r="X64" s="297" t="s">
        <v>11</v>
      </c>
      <c r="Y64" s="297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7" t="s">
        <v>2</v>
      </c>
      <c r="C90" s="297"/>
      <c r="D90" s="297" t="s">
        <v>0</v>
      </c>
      <c r="E90" s="297"/>
      <c r="F90" s="297" t="s">
        <v>1</v>
      </c>
      <c r="G90" s="297"/>
      <c r="H90" s="297" t="s">
        <v>3</v>
      </c>
      <c r="I90" s="297"/>
      <c r="J90" s="297" t="s">
        <v>4</v>
      </c>
      <c r="K90" s="297"/>
      <c r="L90" s="297" t="s">
        <v>5</v>
      </c>
      <c r="M90" s="297"/>
      <c r="N90" s="297" t="s">
        <v>6</v>
      </c>
      <c r="O90" s="297"/>
      <c r="P90" s="297" t="s">
        <v>7</v>
      </c>
      <c r="Q90" s="297"/>
      <c r="R90" s="297" t="s">
        <v>8</v>
      </c>
      <c r="S90" s="297"/>
      <c r="T90" s="297" t="s">
        <v>9</v>
      </c>
      <c r="U90" s="297"/>
      <c r="V90" s="297" t="s">
        <v>10</v>
      </c>
      <c r="W90" s="297"/>
      <c r="X90" s="297" t="s">
        <v>11</v>
      </c>
      <c r="Y90" s="297"/>
      <c r="AC90" t="s">
        <v>429</v>
      </c>
      <c r="AD90" s="297" t="s">
        <v>2</v>
      </c>
      <c r="AE90" s="297"/>
      <c r="AF90" s="297" t="s">
        <v>0</v>
      </c>
      <c r="AG90" s="297"/>
      <c r="AH90" s="297" t="s">
        <v>1</v>
      </c>
      <c r="AI90" s="297"/>
      <c r="AJ90" s="297" t="s">
        <v>3</v>
      </c>
      <c r="AK90" s="297"/>
      <c r="AL90" s="297" t="s">
        <v>4</v>
      </c>
      <c r="AM90" s="297"/>
      <c r="AN90" s="297" t="s">
        <v>5</v>
      </c>
      <c r="AO90" s="297"/>
      <c r="AP90" s="297" t="s">
        <v>6</v>
      </c>
      <c r="AQ90" s="297"/>
      <c r="AR90" s="297" t="s">
        <v>7</v>
      </c>
      <c r="AS90" s="297"/>
      <c r="AT90" s="297" t="s">
        <v>8</v>
      </c>
      <c r="AU90" s="297"/>
      <c r="AV90" s="297" t="s">
        <v>9</v>
      </c>
      <c r="AW90" s="297"/>
      <c r="AX90" s="297" t="s">
        <v>10</v>
      </c>
      <c r="AY90" s="297"/>
      <c r="AZ90" s="297" t="s">
        <v>11</v>
      </c>
      <c r="BA90" s="297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7" t="s">
        <v>2</v>
      </c>
      <c r="C117" s="297"/>
      <c r="D117" s="297" t="s">
        <v>0</v>
      </c>
      <c r="E117" s="297"/>
      <c r="F117" s="297" t="s">
        <v>1</v>
      </c>
      <c r="G117" s="297"/>
      <c r="H117" s="297" t="s">
        <v>3</v>
      </c>
      <c r="I117" s="297"/>
      <c r="J117" s="297" t="s">
        <v>4</v>
      </c>
      <c r="K117" s="297"/>
      <c r="L117" s="297" t="s">
        <v>5</v>
      </c>
      <c r="M117" s="297"/>
      <c r="N117" s="297" t="s">
        <v>6</v>
      </c>
      <c r="O117" s="297"/>
      <c r="P117" s="297" t="s">
        <v>7</v>
      </c>
      <c r="Q117" s="297"/>
      <c r="R117" s="297" t="s">
        <v>8</v>
      </c>
      <c r="S117" s="297"/>
      <c r="T117" s="297" t="s">
        <v>9</v>
      </c>
      <c r="U117" s="297"/>
      <c r="V117" s="297" t="s">
        <v>10</v>
      </c>
      <c r="W117" s="297"/>
      <c r="X117" s="297" t="s">
        <v>11</v>
      </c>
      <c r="Y117" s="297"/>
      <c r="AD117" s="297" t="s">
        <v>2</v>
      </c>
      <c r="AE117" s="297"/>
      <c r="AF117" s="297" t="s">
        <v>0</v>
      </c>
      <c r="AG117" s="297"/>
      <c r="AH117" s="297" t="s">
        <v>1</v>
      </c>
      <c r="AI117" s="297"/>
      <c r="AJ117" s="297" t="s">
        <v>3</v>
      </c>
      <c r="AK117" s="297"/>
      <c r="AL117" s="297" t="s">
        <v>4</v>
      </c>
      <c r="AM117" s="297"/>
      <c r="AN117" s="297" t="s">
        <v>5</v>
      </c>
      <c r="AO117" s="297"/>
      <c r="AP117" s="297" t="s">
        <v>6</v>
      </c>
      <c r="AQ117" s="297"/>
      <c r="AR117" s="297" t="s">
        <v>7</v>
      </c>
      <c r="AS117" s="297"/>
      <c r="AT117" s="297" t="s">
        <v>8</v>
      </c>
      <c r="AU117" s="297"/>
      <c r="AV117" s="297" t="s">
        <v>9</v>
      </c>
      <c r="AW117" s="297"/>
      <c r="AX117" s="297" t="s">
        <v>10</v>
      </c>
      <c r="AY117" s="297"/>
      <c r="AZ117" s="297" t="s">
        <v>11</v>
      </c>
      <c r="BA117" s="297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2" zoomScale="80" zoomScaleNormal="80" workbookViewId="0">
      <selection activeCell="K64" sqref="K64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19.399999999999999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12.1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1.94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/>
    </row>
    <row r="55" spans="10:16" x14ac:dyDescent="0.25">
      <c r="J55" s="14" t="s">
        <v>570</v>
      </c>
      <c r="K55" s="80"/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2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 s="80">
        <v>1</v>
      </c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1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3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2.6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2.6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2.6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0</v>
      </c>
      <c r="T165" s="173">
        <f>VLOOKUP(R165,[1]MEP!$A$4:$M$300,13)</f>
        <v>2</v>
      </c>
      <c r="U165" s="173">
        <f t="shared" ref="U165:U207" si="10">IF($T165&gt;0,$S165,0)</f>
        <v>0</v>
      </c>
      <c r="V165" s="173">
        <f t="shared" ref="V165:V207" si="11">IF($T165&gt;1,$S165,0)</f>
        <v>0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0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0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264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296</v>
      </c>
      <c r="S169" s="173">
        <f>Alim_Surf!R12</f>
        <v>4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4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4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253</v>
      </c>
      <c r="S170" s="173">
        <f>Alim_Surf!R13</f>
        <v>7.1</v>
      </c>
      <c r="T170" s="173">
        <f>VLOOKUP(R170,[1]MEP!$A$4:$M$300,13)</f>
        <v>2</v>
      </c>
      <c r="U170" s="173">
        <f t="shared" si="10"/>
        <v>7.1</v>
      </c>
      <c r="V170" s="173">
        <f t="shared" si="11"/>
        <v>7.1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7.1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7.1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2.2999999999999998</v>
      </c>
      <c r="T187" s="173">
        <f>VLOOKUP(R187,[1]MEP!$A$4:$M$300,13)</f>
        <v>1</v>
      </c>
      <c r="U187" s="173">
        <f t="shared" si="10"/>
        <v>2.2999999999999998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2.2999999999999998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2.2999999999999998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19.399999999999999</v>
      </c>
      <c r="V228" s="62">
        <f t="shared" ref="V228:W228" si="22">SUM(V164:V227)</f>
        <v>12.1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8.6</v>
      </c>
      <c r="AI228" s="62">
        <f t="shared" si="24"/>
        <v>7.3</v>
      </c>
      <c r="AJ228" s="62">
        <f t="shared" si="24"/>
        <v>7.1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K23" zoomScale="90" zoomScaleNormal="90" workbookViewId="0">
      <selection activeCell="AF33" sqref="AF3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2</v>
      </c>
      <c r="L3" s="177">
        <f t="shared" si="0"/>
        <v>2</v>
      </c>
      <c r="M3" s="177">
        <f t="shared" si="0"/>
        <v>2</v>
      </c>
      <c r="N3" s="177">
        <f t="shared" si="0"/>
        <v>2</v>
      </c>
      <c r="O3" s="177">
        <f t="shared" si="0"/>
        <v>2</v>
      </c>
      <c r="P3" s="177">
        <f t="shared" si="0"/>
        <v>2</v>
      </c>
      <c r="Q3" s="177">
        <f t="shared" si="0"/>
        <v>2</v>
      </c>
      <c r="R3" s="177">
        <f t="shared" si="0"/>
        <v>2</v>
      </c>
      <c r="S3" s="177">
        <f t="shared" si="0"/>
        <v>2</v>
      </c>
      <c r="T3" s="177">
        <f t="shared" si="0"/>
        <v>2</v>
      </c>
      <c r="U3" s="177">
        <f t="shared" si="0"/>
        <v>2</v>
      </c>
      <c r="V3" s="177">
        <f t="shared" si="0"/>
        <v>2</v>
      </c>
      <c r="W3" s="177">
        <f t="shared" si="0"/>
        <v>1</v>
      </c>
      <c r="X3" s="177">
        <f t="shared" si="0"/>
        <v>1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4317</v>
      </c>
      <c r="AQ4">
        <f>SUM(BJ31:BL31)</f>
        <v>18.7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4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0</v>
      </c>
      <c r="O7" s="177">
        <f t="shared" si="13"/>
        <v>0</v>
      </c>
      <c r="P7" s="177">
        <f t="shared" si="13"/>
        <v>0</v>
      </c>
      <c r="Q7" s="177">
        <f t="shared" si="13"/>
        <v>0</v>
      </c>
      <c r="R7" s="177">
        <f t="shared" si="13"/>
        <v>0</v>
      </c>
      <c r="S7" s="177">
        <f t="shared" si="13"/>
        <v>0</v>
      </c>
      <c r="T7" s="177">
        <f t="shared" si="13"/>
        <v>0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4</v>
      </c>
      <c r="N8" s="177">
        <f>(N3+N4)*[1]Protect!$B$12</f>
        <v>4</v>
      </c>
      <c r="O8" s="177">
        <f>(O3+O4)*[1]Protect!$B$12</f>
        <v>4</v>
      </c>
      <c r="P8" s="177">
        <f>(P3+P4)*[1]Protect!$B$12</f>
        <v>4</v>
      </c>
      <c r="Q8" s="177">
        <f>(Q3+Q4)*[1]Protect!$B$12</f>
        <v>4</v>
      </c>
      <c r="R8" s="177">
        <f>(R3+R4)*[1]Protect!$B$12</f>
        <v>4</v>
      </c>
      <c r="S8" s="177">
        <f>(S3+S4)*[1]Protect!$B$12</f>
        <v>4</v>
      </c>
      <c r="T8" s="177">
        <f>(T3+T4)*[1]Protect!$B$12</f>
        <v>4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4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4</v>
      </c>
      <c r="H11" s="177">
        <f t="shared" si="14"/>
        <v>4</v>
      </c>
      <c r="I11" s="177">
        <f t="shared" si="14"/>
        <v>4</v>
      </c>
      <c r="J11" s="177">
        <f t="shared" si="14"/>
        <v>4</v>
      </c>
      <c r="K11" s="177">
        <f t="shared" si="14"/>
        <v>4</v>
      </c>
      <c r="L11" s="177">
        <f t="shared" si="14"/>
        <v>4</v>
      </c>
      <c r="M11" s="177">
        <f t="shared" si="14"/>
        <v>4</v>
      </c>
      <c r="N11" s="177">
        <f t="shared" si="14"/>
        <v>4</v>
      </c>
      <c r="O11" s="177">
        <f t="shared" si="14"/>
        <v>4</v>
      </c>
      <c r="P11" s="177">
        <f t="shared" si="14"/>
        <v>4</v>
      </c>
      <c r="Q11" s="177">
        <f t="shared" si="14"/>
        <v>4</v>
      </c>
      <c r="R11" s="177">
        <f t="shared" si="14"/>
        <v>4</v>
      </c>
      <c r="S11" s="177">
        <f t="shared" si="14"/>
        <v>4</v>
      </c>
      <c r="T11" s="177">
        <f t="shared" si="14"/>
        <v>4</v>
      </c>
      <c r="U11" s="177">
        <f t="shared" si="14"/>
        <v>4</v>
      </c>
      <c r="V11" s="177">
        <f t="shared" si="14"/>
        <v>4</v>
      </c>
      <c r="W11" s="177">
        <f t="shared" si="14"/>
        <v>2</v>
      </c>
      <c r="X11" s="177">
        <f t="shared" si="14"/>
        <v>2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4</v>
      </c>
      <c r="H13" s="177">
        <f t="shared" si="15"/>
        <v>4</v>
      </c>
      <c r="I13" s="177">
        <f t="shared" si="15"/>
        <v>4</v>
      </c>
      <c r="J13" s="177">
        <f t="shared" si="15"/>
        <v>4</v>
      </c>
      <c r="K13" s="177">
        <f t="shared" si="15"/>
        <v>4</v>
      </c>
      <c r="L13" s="177">
        <f t="shared" si="15"/>
        <v>4</v>
      </c>
      <c r="M13" s="177">
        <f t="shared" si="15"/>
        <v>4</v>
      </c>
      <c r="N13" s="177">
        <f t="shared" si="15"/>
        <v>4</v>
      </c>
      <c r="O13" s="177">
        <f t="shared" si="15"/>
        <v>4</v>
      </c>
      <c r="P13" s="177">
        <f t="shared" si="15"/>
        <v>4</v>
      </c>
      <c r="Q13" s="177">
        <f t="shared" si="15"/>
        <v>4</v>
      </c>
      <c r="R13" s="177">
        <f t="shared" si="15"/>
        <v>4</v>
      </c>
      <c r="S13" s="177">
        <f t="shared" si="15"/>
        <v>4</v>
      </c>
      <c r="T13" s="177">
        <f t="shared" si="15"/>
        <v>4</v>
      </c>
      <c r="U13" s="177">
        <f t="shared" si="15"/>
        <v>4</v>
      </c>
      <c r="V13" s="177">
        <f t="shared" si="15"/>
        <v>4</v>
      </c>
      <c r="W13" s="177">
        <f t="shared" si="15"/>
        <v>2</v>
      </c>
      <c r="X13" s="177">
        <f t="shared" si="15"/>
        <v>2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1</v>
      </c>
      <c r="O15" s="173">
        <f t="shared" si="16"/>
        <v>1</v>
      </c>
      <c r="P15" s="173">
        <f t="shared" si="16"/>
        <v>1</v>
      </c>
      <c r="Q15" s="173">
        <f t="shared" si="16"/>
        <v>1</v>
      </c>
      <c r="R15" s="173">
        <f t="shared" si="16"/>
        <v>1</v>
      </c>
      <c r="S15" s="173">
        <f t="shared" si="16"/>
        <v>1</v>
      </c>
      <c r="T15" s="173">
        <f t="shared" si="16"/>
        <v>1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2</v>
      </c>
      <c r="O18" s="62">
        <f t="shared" si="19"/>
        <v>2</v>
      </c>
      <c r="P18" s="62">
        <f t="shared" si="19"/>
        <v>2</v>
      </c>
      <c r="Q18" s="62">
        <f t="shared" si="19"/>
        <v>2</v>
      </c>
      <c r="R18" s="62">
        <f t="shared" si="19"/>
        <v>2</v>
      </c>
      <c r="S18" s="62">
        <f t="shared" si="19"/>
        <v>2</v>
      </c>
      <c r="T18" s="62">
        <f t="shared" si="19"/>
        <v>2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0</v>
      </c>
      <c r="O20" s="173">
        <f t="shared" si="21"/>
        <v>0</v>
      </c>
      <c r="P20" s="173">
        <f t="shared" si="21"/>
        <v>0</v>
      </c>
      <c r="Q20" s="173">
        <f t="shared" si="21"/>
        <v>0</v>
      </c>
      <c r="R20" s="173">
        <f t="shared" si="21"/>
        <v>0</v>
      </c>
      <c r="S20" s="173">
        <f t="shared" si="21"/>
        <v>0</v>
      </c>
      <c r="T20" s="173">
        <f t="shared" si="21"/>
        <v>0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4317</v>
      </c>
      <c r="AE20" s="64">
        <v>0</v>
      </c>
      <c r="AF20" s="64">
        <f>SUM(AD20:AE20)</f>
        <v>4317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4317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2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1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1</v>
      </c>
      <c r="W25" s="177">
        <f t="shared" si="23"/>
        <v>2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4317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1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1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1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2</v>
      </c>
      <c r="W26" s="177">
        <f t="shared" si="24"/>
        <v>1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18.7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2</v>
      </c>
      <c r="N28" s="177">
        <f t="shared" si="26"/>
        <v>2</v>
      </c>
      <c r="O28" s="177">
        <f t="shared" si="26"/>
        <v>2</v>
      </c>
      <c r="P28" s="177">
        <f t="shared" si="26"/>
        <v>2</v>
      </c>
      <c r="Q28" s="177">
        <f t="shared" si="26"/>
        <v>2</v>
      </c>
      <c r="R28" s="177">
        <f t="shared" si="26"/>
        <v>2</v>
      </c>
      <c r="S28" s="177">
        <f t="shared" si="26"/>
        <v>2</v>
      </c>
      <c r="T28" s="177">
        <f t="shared" si="26"/>
        <v>2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0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4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2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2</v>
      </c>
      <c r="W29" s="177">
        <f>W25*[1]Protect!$B$12</f>
        <v>4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3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3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3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6</v>
      </c>
      <c r="W30" s="177">
        <f>W26*[1]Protect!$B$13</f>
        <v>3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0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5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7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5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8</v>
      </c>
      <c r="W32" s="177">
        <f t="shared" si="28"/>
        <v>7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8</v>
      </c>
      <c r="N33" s="177">
        <f>N28*[1]Protect!$B$15</f>
        <v>8</v>
      </c>
      <c r="O33" s="177">
        <f>O28*[1]Protect!$B$15</f>
        <v>8</v>
      </c>
      <c r="P33" s="177">
        <f>P28*[1]Protect!$B$15</f>
        <v>8</v>
      </c>
      <c r="Q33" s="177">
        <f>Q28*[1]Protect!$B$15</f>
        <v>8</v>
      </c>
      <c r="R33" s="177">
        <f>R28*[1]Protect!$B$15</f>
        <v>8</v>
      </c>
      <c r="S33" s="177">
        <f>S28*[1]Protect!$B$15</f>
        <v>8</v>
      </c>
      <c r="T33" s="177">
        <f>T28*[1]Protect!$B$15</f>
        <v>8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/>
      <c r="AF33" s="296" t="s">
        <v>1464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10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14</v>
      </c>
      <c r="L34" s="177">
        <f t="shared" si="29"/>
        <v>12</v>
      </c>
      <c r="M34" s="177">
        <f t="shared" si="29"/>
        <v>16</v>
      </c>
      <c r="N34" s="177">
        <f t="shared" si="29"/>
        <v>16</v>
      </c>
      <c r="O34" s="177">
        <f t="shared" si="29"/>
        <v>18</v>
      </c>
      <c r="P34" s="177">
        <f t="shared" si="29"/>
        <v>16</v>
      </c>
      <c r="Q34" s="177">
        <f t="shared" si="29"/>
        <v>16</v>
      </c>
      <c r="R34" s="177">
        <f t="shared" si="29"/>
        <v>16</v>
      </c>
      <c r="S34" s="177">
        <f t="shared" si="29"/>
        <v>16</v>
      </c>
      <c r="T34" s="177">
        <f t="shared" si="29"/>
        <v>16</v>
      </c>
      <c r="U34" s="177">
        <f t="shared" si="29"/>
        <v>14</v>
      </c>
      <c r="V34" s="177">
        <f t="shared" si="29"/>
        <v>16</v>
      </c>
      <c r="W34" s="177">
        <f t="shared" si="29"/>
        <v>14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2</v>
      </c>
      <c r="F36" s="173">
        <f t="shared" si="30"/>
        <v>2</v>
      </c>
      <c r="G36" s="173">
        <f t="shared" si="30"/>
        <v>2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3</v>
      </c>
      <c r="D37" s="173">
        <f t="shared" si="31"/>
        <v>3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3</v>
      </c>
      <c r="Z37" s="173">
        <f t="shared" si="31"/>
        <v>3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3</v>
      </c>
      <c r="F39" s="62">
        <f t="shared" si="33"/>
        <v>3</v>
      </c>
      <c r="G39" s="62">
        <f t="shared" si="33"/>
        <v>3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2</v>
      </c>
      <c r="N42" s="62">
        <f>IF(Protection!N41&gt;0,Scénario!$K$58,0)</f>
        <v>2</v>
      </c>
      <c r="O42" s="62">
        <f>IF(Protection!O41&gt;0,Scénario!$K$58,0)</f>
        <v>2</v>
      </c>
      <c r="P42" s="62">
        <f>IF(Protection!P41&gt;0,Scénario!$K$58,0)</f>
        <v>2</v>
      </c>
      <c r="Q42" s="62">
        <f>IF(Protection!Q41&gt;0,Scénario!$K$58,0)</f>
        <v>2</v>
      </c>
      <c r="R42" s="62">
        <f>IF(Protection!R41&gt;0,Scénario!$K$58,0)</f>
        <v>2</v>
      </c>
      <c r="S42" s="62">
        <f>IF(Protection!S41&gt;0,Scénario!$K$58,0)</f>
        <v>2</v>
      </c>
      <c r="T42" s="62">
        <f>IF(Protection!T41&gt;0,Scénario!$K$58,0)</f>
        <v>2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3</v>
      </c>
      <c r="F43" s="62">
        <f t="shared" si="36"/>
        <v>3</v>
      </c>
      <c r="G43" s="62">
        <f t="shared" si="36"/>
        <v>3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4</v>
      </c>
      <c r="N43" s="62">
        <f t="shared" si="36"/>
        <v>4</v>
      </c>
      <c r="O43" s="62">
        <f t="shared" si="36"/>
        <v>4</v>
      </c>
      <c r="P43" s="62">
        <f t="shared" si="36"/>
        <v>4</v>
      </c>
      <c r="Q43" s="62">
        <f t="shared" si="36"/>
        <v>4</v>
      </c>
      <c r="R43" s="62">
        <f t="shared" si="36"/>
        <v>4</v>
      </c>
      <c r="S43" s="62">
        <f t="shared" si="36"/>
        <v>4</v>
      </c>
      <c r="T43" s="62">
        <f t="shared" si="36"/>
        <v>4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0</v>
      </c>
      <c r="O68" s="173">
        <f>IF($AA68=0,99,IF(O81&gt;3,CdTrp1!N76,CdTrp1!N52))</f>
        <v>0</v>
      </c>
      <c r="P68" s="173">
        <f>IF($AA68=0,99,IF(P81&gt;3,CdTrp1!O76,CdTrp1!O52))</f>
        <v>0</v>
      </c>
      <c r="Q68" s="173">
        <f>IF($AA68=0,99,IF(Q81&gt;3,CdTrp1!P76,CdTrp1!P52))</f>
        <v>0</v>
      </c>
      <c r="R68" s="173">
        <f>IF($AA68=0,99,IF(R81&gt;3,CdTrp1!Q76,CdTrp1!Q52))</f>
        <v>0</v>
      </c>
      <c r="S68" s="173">
        <f>IF($AA68=0,99,IF(S81&gt;3,CdTrp1!R76,CdTrp1!R52))</f>
        <v>0</v>
      </c>
      <c r="T68" s="173">
        <f>IF($AA68=0,99,IF(T81&gt;3,CdTrp1!S76,CdTrp1!S52))</f>
        <v>0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1</v>
      </c>
      <c r="O81" s="173">
        <f>CdTrp1!N76</f>
        <v>1</v>
      </c>
      <c r="P81" s="173">
        <f>CdTrp1!O76</f>
        <v>1</v>
      </c>
      <c r="Q81" s="173">
        <f>CdTrp1!P76</f>
        <v>1</v>
      </c>
      <c r="R81" s="173">
        <f>CdTrp1!Q76</f>
        <v>1</v>
      </c>
      <c r="S81" s="173">
        <f>CdTrp1!R76</f>
        <v>1</v>
      </c>
      <c r="T81" s="173">
        <f>CdTrp1!S76</f>
        <v>1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1</v>
      </c>
      <c r="H82" s="173">
        <f>CdTrp1!G77</f>
        <v>1</v>
      </c>
      <c r="I82" s="173">
        <f>CdTrp1!H77</f>
        <v>1</v>
      </c>
      <c r="J82" s="173">
        <f>CdTrp1!I77</f>
        <v>1</v>
      </c>
      <c r="K82" s="173">
        <f>CdTrp1!J77</f>
        <v>1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1</v>
      </c>
      <c r="W82" s="173">
        <f>CdTrp1!V77</f>
        <v>1</v>
      </c>
      <c r="X82" s="173">
        <f>CdTrp1!W77</f>
        <v>1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1</v>
      </c>
      <c r="D111" s="173">
        <f>IF($AA111=0,99,IF(D124&gt;3,CdTrp2!C77,CdTrp2!C53))</f>
        <v>1</v>
      </c>
      <c r="E111" s="173">
        <f>IF($AA111=0,99,IF(E124&gt;3,CdTrp2!D77,CdTrp2!D53))</f>
        <v>0</v>
      </c>
      <c r="F111" s="173">
        <f>IF($AA111=0,99,IF(F124&gt;3,CdTrp2!E77,CdTrp2!E53))</f>
        <v>0</v>
      </c>
      <c r="G111" s="173">
        <f>IF($AA111=0,99,IF(G124&gt;3,CdTrp2!F77,CdTrp2!F53))</f>
        <v>0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1</v>
      </c>
      <c r="Z111" s="173">
        <f>IF($AA111=0,99,IF(Z124&gt;3,CdTrp2!Y77,CdTrp2!Y53))</f>
        <v>1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3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1</v>
      </c>
      <c r="F124" s="30">
        <f>CdTrp2!E77</f>
        <v>1</v>
      </c>
      <c r="G124" s="30">
        <f>CdTrp2!F77</f>
        <v>1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3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3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2</v>
      </c>
      <c r="O180" s="173">
        <f>IF(Troupeau!$B$3="OL",Protection!O18,0)</f>
        <v>2</v>
      </c>
      <c r="P180" s="173">
        <f>IF(Troupeau!$B$3="OL",Protection!P18,0)</f>
        <v>2</v>
      </c>
      <c r="Q180" s="173">
        <f>IF(Troupeau!$B$3="OL",Protection!Q18,0)</f>
        <v>2</v>
      </c>
      <c r="R180" s="173">
        <f>IF(Troupeau!$B$3="OL",Protection!R18,0)</f>
        <v>2</v>
      </c>
      <c r="S180" s="173">
        <f>IF(Troupeau!$B$3="OL",Protection!S18,0)</f>
        <v>2</v>
      </c>
      <c r="T180" s="173">
        <f>IF(Troupeau!$B$3="OL",Protection!T18,0)</f>
        <v>2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0</v>
      </c>
      <c r="O181" s="173">
        <f>IF(Troupeau!$B$3="OL",Protection!O19+O21,0)</f>
        <v>0</v>
      </c>
      <c r="P181" s="173">
        <f>IF(Troupeau!$B$3="OL",Protection!P19+P21,0)</f>
        <v>0</v>
      </c>
      <c r="Q181" s="173">
        <f>IF(Troupeau!$B$3="OL",Protection!Q19+Q21,0)</f>
        <v>0</v>
      </c>
      <c r="R181" s="173">
        <f>IF(Troupeau!$B$3="OL",Protection!R19+R21,0)</f>
        <v>0</v>
      </c>
      <c r="S181" s="173">
        <f>IF(Troupeau!$B$3="OL",Protection!S19+S21,0)</f>
        <v>0</v>
      </c>
      <c r="T181" s="173">
        <f>IF(Troupeau!$B$3="OL",Protection!T19+T21,0)</f>
        <v>0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2</v>
      </c>
      <c r="O195" s="173">
        <f t="shared" si="50"/>
        <v>2</v>
      </c>
      <c r="P195" s="173">
        <f t="shared" si="50"/>
        <v>2</v>
      </c>
      <c r="Q195" s="173">
        <f t="shared" si="50"/>
        <v>2</v>
      </c>
      <c r="R195" s="173">
        <f t="shared" si="50"/>
        <v>2</v>
      </c>
      <c r="S195" s="173">
        <f t="shared" si="50"/>
        <v>2</v>
      </c>
      <c r="T195" s="173">
        <f t="shared" si="50"/>
        <v>2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0</v>
      </c>
      <c r="O196" s="173">
        <f t="shared" si="50"/>
        <v>0</v>
      </c>
      <c r="P196" s="173">
        <f t="shared" si="50"/>
        <v>0</v>
      </c>
      <c r="Q196" s="173">
        <f t="shared" si="50"/>
        <v>0</v>
      </c>
      <c r="R196" s="173">
        <f t="shared" si="50"/>
        <v>0</v>
      </c>
      <c r="S196" s="173">
        <f t="shared" si="50"/>
        <v>0</v>
      </c>
      <c r="T196" s="173">
        <f t="shared" si="50"/>
        <v>0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4</v>
      </c>
      <c r="O201" s="173">
        <f>IF(Troupeau!$B$3="OL",O8+O9,0)</f>
        <v>4</v>
      </c>
      <c r="P201" s="173">
        <f>IF(Troupeau!$B$3="OL",P8+P9,0)</f>
        <v>4</v>
      </c>
      <c r="Q201" s="173">
        <f>IF(Troupeau!$B$3="OL",Q8+Q9,0)</f>
        <v>4</v>
      </c>
      <c r="R201" s="173">
        <f>IF(Troupeau!$B$3="OL",R8+R9,0)</f>
        <v>4</v>
      </c>
      <c r="S201" s="173">
        <f>IF(Troupeau!$B$3="OL",S8+S9,0)</f>
        <v>4</v>
      </c>
      <c r="T201" s="173">
        <f>IF(Troupeau!$B$3="OL",T8+T9,0)</f>
        <v>4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2</v>
      </c>
      <c r="X201" s="173">
        <f>IF(Troupeau!$B$3="OL",X8+X9,0)</f>
        <v>2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0</v>
      </c>
      <c r="O202" s="173">
        <f>IF(Troupeau!$B$3="OL",O10+O12,0)</f>
        <v>0</v>
      </c>
      <c r="P202" s="173">
        <f>IF(Troupeau!$B$3="OL",P10+P12,0)</f>
        <v>0</v>
      </c>
      <c r="Q202" s="173">
        <f>IF(Troupeau!$B$3="OL",Q10+Q12,0)</f>
        <v>0</v>
      </c>
      <c r="R202" s="173">
        <f>IF(Troupeau!$B$3="OL",R10+R12,0)</f>
        <v>0</v>
      </c>
      <c r="S202" s="173">
        <f>IF(Troupeau!$B$3="OL",S10+S12,0)</f>
        <v>0</v>
      </c>
      <c r="T202" s="173">
        <f>IF(Troupeau!$B$3="OL",T10+T12,0)</f>
        <v>0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4</v>
      </c>
      <c r="H203" s="173">
        <f t="shared" si="51"/>
        <v>4</v>
      </c>
      <c r="I203" s="173">
        <f t="shared" si="51"/>
        <v>4</v>
      </c>
      <c r="J203" s="173">
        <f t="shared" si="51"/>
        <v>4</v>
      </c>
      <c r="K203" s="173">
        <f t="shared" si="51"/>
        <v>4</v>
      </c>
      <c r="L203" s="173">
        <f t="shared" si="51"/>
        <v>4</v>
      </c>
      <c r="M203" s="173">
        <f t="shared" si="51"/>
        <v>4</v>
      </c>
      <c r="N203" s="173">
        <f t="shared" si="51"/>
        <v>4</v>
      </c>
      <c r="O203" s="173">
        <f t="shared" si="51"/>
        <v>4</v>
      </c>
      <c r="P203" s="173">
        <f t="shared" si="51"/>
        <v>4</v>
      </c>
      <c r="Q203" s="173">
        <f t="shared" si="51"/>
        <v>4</v>
      </c>
      <c r="R203" s="173">
        <f t="shared" si="51"/>
        <v>4</v>
      </c>
      <c r="S203" s="173">
        <f t="shared" si="51"/>
        <v>4</v>
      </c>
      <c r="T203" s="173">
        <f t="shared" si="51"/>
        <v>4</v>
      </c>
      <c r="U203" s="173">
        <f t="shared" si="51"/>
        <v>4</v>
      </c>
      <c r="V203" s="173">
        <f t="shared" si="51"/>
        <v>4</v>
      </c>
      <c r="W203" s="173">
        <f t="shared" si="51"/>
        <v>2</v>
      </c>
      <c r="X203" s="173">
        <f t="shared" si="51"/>
        <v>2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4</v>
      </c>
      <c r="H212" s="173">
        <f t="shared" si="52"/>
        <v>4</v>
      </c>
      <c r="I212" s="173">
        <f t="shared" si="52"/>
        <v>4</v>
      </c>
      <c r="J212" s="173">
        <f t="shared" si="52"/>
        <v>4</v>
      </c>
      <c r="K212" s="173">
        <f t="shared" si="52"/>
        <v>4</v>
      </c>
      <c r="L212" s="173">
        <f t="shared" si="52"/>
        <v>4</v>
      </c>
      <c r="M212" s="173">
        <f t="shared" si="52"/>
        <v>4</v>
      </c>
      <c r="N212" s="173">
        <f t="shared" si="52"/>
        <v>4</v>
      </c>
      <c r="O212" s="173">
        <f t="shared" si="52"/>
        <v>4</v>
      </c>
      <c r="P212" s="173">
        <f t="shared" si="52"/>
        <v>4</v>
      </c>
      <c r="Q212" s="173">
        <f t="shared" si="52"/>
        <v>4</v>
      </c>
      <c r="R212" s="173">
        <f t="shared" si="52"/>
        <v>4</v>
      </c>
      <c r="S212" s="173">
        <f t="shared" si="52"/>
        <v>4</v>
      </c>
      <c r="T212" s="173">
        <f t="shared" si="52"/>
        <v>4</v>
      </c>
      <c r="U212" s="173">
        <f t="shared" si="52"/>
        <v>4</v>
      </c>
      <c r="V212" s="173">
        <f t="shared" si="52"/>
        <v>4</v>
      </c>
      <c r="W212" s="173">
        <f t="shared" si="52"/>
        <v>2</v>
      </c>
      <c r="X212" s="173">
        <f t="shared" si="52"/>
        <v>2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0</v>
      </c>
      <c r="O213" s="173">
        <f t="shared" si="52"/>
        <v>0</v>
      </c>
      <c r="P213" s="173">
        <f t="shared" si="52"/>
        <v>0</v>
      </c>
      <c r="Q213" s="173">
        <f t="shared" si="52"/>
        <v>0</v>
      </c>
      <c r="R213" s="173">
        <f t="shared" si="52"/>
        <v>0</v>
      </c>
      <c r="S213" s="173">
        <f t="shared" si="52"/>
        <v>0</v>
      </c>
      <c r="T213" s="173">
        <f t="shared" si="52"/>
        <v>0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4</v>
      </c>
      <c r="H214" s="173">
        <f t="shared" si="53"/>
        <v>4</v>
      </c>
      <c r="I214" s="173">
        <f t="shared" si="53"/>
        <v>4</v>
      </c>
      <c r="J214" s="173">
        <f t="shared" si="53"/>
        <v>4</v>
      </c>
      <c r="K214" s="173">
        <f t="shared" si="53"/>
        <v>4</v>
      </c>
      <c r="L214" s="173">
        <f t="shared" si="53"/>
        <v>4</v>
      </c>
      <c r="M214" s="173">
        <f t="shared" si="53"/>
        <v>4</v>
      </c>
      <c r="N214" s="173">
        <f t="shared" si="53"/>
        <v>4</v>
      </c>
      <c r="O214" s="173">
        <f t="shared" si="53"/>
        <v>4</v>
      </c>
      <c r="P214" s="173">
        <f t="shared" si="53"/>
        <v>4</v>
      </c>
      <c r="Q214" s="173">
        <f t="shared" si="53"/>
        <v>4</v>
      </c>
      <c r="R214" s="173">
        <f t="shared" si="53"/>
        <v>4</v>
      </c>
      <c r="S214" s="173">
        <f t="shared" si="53"/>
        <v>4</v>
      </c>
      <c r="T214" s="173">
        <f t="shared" si="53"/>
        <v>4</v>
      </c>
      <c r="U214" s="173">
        <f t="shared" si="53"/>
        <v>4</v>
      </c>
      <c r="V214" s="173">
        <f t="shared" si="53"/>
        <v>4</v>
      </c>
      <c r="W214" s="173">
        <f t="shared" si="53"/>
        <v>2</v>
      </c>
      <c r="X214" s="173">
        <f t="shared" si="53"/>
        <v>2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3" sqref="F73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7" t="s">
        <v>2</v>
      </c>
      <c r="H1" s="297"/>
      <c r="I1" s="297" t="s">
        <v>0</v>
      </c>
      <c r="J1" s="297"/>
      <c r="K1" s="297" t="s">
        <v>1</v>
      </c>
      <c r="L1" s="297"/>
      <c r="M1" s="297" t="s">
        <v>3</v>
      </c>
      <c r="N1" s="297"/>
      <c r="O1" s="297" t="s">
        <v>4</v>
      </c>
      <c r="P1" s="297"/>
      <c r="Q1" s="297" t="s">
        <v>5</v>
      </c>
      <c r="R1" s="297"/>
      <c r="S1" s="297" t="s">
        <v>6</v>
      </c>
      <c r="T1" s="297"/>
      <c r="U1" s="297" t="s">
        <v>7</v>
      </c>
      <c r="V1" s="297"/>
      <c r="W1" s="297" t="s">
        <v>8</v>
      </c>
      <c r="X1" s="297"/>
      <c r="Y1" s="297" t="s">
        <v>9</v>
      </c>
      <c r="Z1" s="297"/>
      <c r="AA1" s="297" t="s">
        <v>10</v>
      </c>
      <c r="AB1" s="297"/>
      <c r="AC1" s="297" t="s">
        <v>11</v>
      </c>
      <c r="AD1" s="297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623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28</v>
      </c>
      <c r="M5" s="173">
        <f t="shared" si="0"/>
        <v>28</v>
      </c>
      <c r="N5" s="173">
        <f t="shared" si="0"/>
        <v>28</v>
      </c>
      <c r="O5" s="173">
        <f t="shared" si="0"/>
        <v>28</v>
      </c>
      <c r="P5" s="173">
        <f t="shared" si="0"/>
        <v>28</v>
      </c>
      <c r="Q5" s="173">
        <f t="shared" si="0"/>
        <v>28</v>
      </c>
      <c r="R5" s="173">
        <f t="shared" si="0"/>
        <v>35</v>
      </c>
      <c r="S5" s="173">
        <f t="shared" si="0"/>
        <v>35</v>
      </c>
      <c r="T5" s="173">
        <f t="shared" si="0"/>
        <v>35</v>
      </c>
      <c r="U5" s="173">
        <f t="shared" si="0"/>
        <v>35</v>
      </c>
      <c r="V5" s="173">
        <f t="shared" si="0"/>
        <v>35</v>
      </c>
      <c r="W5" s="173">
        <f t="shared" si="0"/>
        <v>35</v>
      </c>
      <c r="X5" s="173">
        <f t="shared" si="0"/>
        <v>35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172.2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22.75</v>
      </c>
      <c r="AA6" s="173">
        <f t="shared" si="2"/>
        <v>29.75</v>
      </c>
      <c r="AB6" s="173">
        <f t="shared" si="2"/>
        <v>29.75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980.04139130434783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2394.0413913043481</v>
      </c>
      <c r="G13" s="30">
        <f>SUM(G5:G11)</f>
        <v>109.06426086956522</v>
      </c>
      <c r="H13" s="30">
        <f t="shared" ref="H13:AD13" si="8">SUM(H5:H11)</f>
        <v>108.97173913043478</v>
      </c>
      <c r="I13" s="30">
        <f t="shared" si="8"/>
        <v>114.12921739130435</v>
      </c>
      <c r="J13" s="30">
        <f t="shared" si="8"/>
        <v>128.08295652173913</v>
      </c>
      <c r="K13" s="30">
        <f t="shared" si="8"/>
        <v>128.0366956521739</v>
      </c>
      <c r="L13" s="30">
        <f t="shared" si="8"/>
        <v>131.4904347826087</v>
      </c>
      <c r="M13" s="30">
        <f t="shared" si="8"/>
        <v>120.94417391304347</v>
      </c>
      <c r="N13" s="30">
        <f t="shared" si="8"/>
        <v>124.39791304347827</v>
      </c>
      <c r="O13" s="30">
        <f t="shared" si="8"/>
        <v>124.30539130434784</v>
      </c>
      <c r="P13" s="30">
        <f t="shared" si="8"/>
        <v>102.33391304347826</v>
      </c>
      <c r="Q13" s="30">
        <f t="shared" si="8"/>
        <v>67.333913043478262</v>
      </c>
      <c r="R13" s="30">
        <f t="shared" si="8"/>
        <v>65.405565217391313</v>
      </c>
      <c r="S13" s="30">
        <f t="shared" si="8"/>
        <v>65.405565217391313</v>
      </c>
      <c r="T13" s="30">
        <f t="shared" si="8"/>
        <v>65.405565217391313</v>
      </c>
      <c r="U13" s="30">
        <f t="shared" si="8"/>
        <v>65.405565217391313</v>
      </c>
      <c r="V13" s="30">
        <f t="shared" si="8"/>
        <v>65.405565217391313</v>
      </c>
      <c r="W13" s="30">
        <f t="shared" si="8"/>
        <v>65.405565217391313</v>
      </c>
      <c r="X13" s="30">
        <f t="shared" si="8"/>
        <v>65.405565217391313</v>
      </c>
      <c r="Y13" s="30">
        <f t="shared" si="8"/>
        <v>102.33391304347826</v>
      </c>
      <c r="Z13" s="30">
        <f t="shared" si="8"/>
        <v>122.91756521739131</v>
      </c>
      <c r="AA13" s="30">
        <f t="shared" si="8"/>
        <v>115.91756521739131</v>
      </c>
      <c r="AB13" s="30">
        <f t="shared" si="8"/>
        <v>117.81426086956522</v>
      </c>
      <c r="AC13" s="30">
        <f t="shared" si="8"/>
        <v>109.06426086956522</v>
      </c>
      <c r="AD13" s="30">
        <f t="shared" si="8"/>
        <v>109.06426086956522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0</v>
      </c>
      <c r="F16" s="173">
        <f>IF(B16&gt;0,D16*E16/B16,0)</f>
        <v>0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1</v>
      </c>
      <c r="C17" s="190">
        <f>VALUE(LEFT(Scénario!K64,1))</f>
        <v>1</v>
      </c>
      <c r="D17" s="190">
        <f>IF(B17&gt;0,VLOOKUP(C17,[1]Trav!$A$86:$D$90,4),0)</f>
        <v>12</v>
      </c>
      <c r="E17" s="190">
        <f>Scénario!K61*2</f>
        <v>8</v>
      </c>
      <c r="F17" s="173">
        <f t="shared" ref="F17:F18" si="15">IF(B17&gt;0,D17*E17/B17,0)</f>
        <v>96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3</v>
      </c>
      <c r="CC38" s="173">
        <f>IF(CdTrp2!C53=1,3,IF(CdTrp2!C53=0.5,2,IF(CdTrp2!C53=0,1,0)))</f>
        <v>3</v>
      </c>
      <c r="CD38" s="173">
        <f>IF(CdTrp2!D53=1,3,IF(CdTrp2!D53=0.5,2,IF(CdTrp2!D53=0,1,0)))</f>
        <v>1</v>
      </c>
      <c r="CE38" s="173">
        <f>IF(CdTrp2!E53=1,3,IF(CdTrp2!E53=0.5,2,IF(CdTrp2!E53=0,1,0)))</f>
        <v>1</v>
      </c>
      <c r="CF38" s="173">
        <f>IF(CdTrp2!F53=1,3,IF(CdTrp2!F53=0.5,2,IF(CdTrp2!F53=0,1,0)))</f>
        <v>1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3</v>
      </c>
      <c r="CY38" s="173">
        <f>IF(CdTrp2!Y53=1,3,IF(CdTrp2!Y53=0.5,2,IF(CdTrp2!Y53=0,1,0)))</f>
        <v>3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1</v>
      </c>
      <c r="BH48" s="173">
        <f>IF(CdTrp1!N76=1,1,IF(CdTrp1!N76=2,2,IF(CdTrp1!N76=3,2,0)))</f>
        <v>1</v>
      </c>
      <c r="BI48" s="173">
        <f>IF(CdTrp1!O76=1,1,IF(CdTrp1!O76=2,2,IF(CdTrp1!O76=3,2,0)))</f>
        <v>1</v>
      </c>
      <c r="BJ48" s="173">
        <f>IF(CdTrp1!P76=1,1,IF(CdTrp1!P76=2,2,IF(CdTrp1!P76=3,2,0)))</f>
        <v>1</v>
      </c>
      <c r="BK48" s="173">
        <f>IF(CdTrp1!Q76=1,1,IF(CdTrp1!Q76=2,2,IF(CdTrp1!Q76=3,2,0)))</f>
        <v>1</v>
      </c>
      <c r="BL48" s="173">
        <f>IF(CdTrp1!R76=1,1,IF(CdTrp1!R76=2,2,IF(CdTrp1!R76=3,2,0)))</f>
        <v>1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1</v>
      </c>
      <c r="BA49" s="173">
        <f>IF(CdTrp1!G77=1,1,IF(CdTrp1!G77=2,2,IF(CdTrp1!G77=3,2,0)))</f>
        <v>1</v>
      </c>
      <c r="BB49" s="173">
        <f>IF(CdTrp1!H77=1,1,IF(CdTrp1!H77=2,2,IF(CdTrp1!H77=3,2,0)))</f>
        <v>1</v>
      </c>
      <c r="BC49" s="173">
        <f>IF(CdTrp1!I77=1,1,IF(CdTrp1!I77=2,2,IF(CdTrp1!I77=3,2,0)))</f>
        <v>1</v>
      </c>
      <c r="BD49" s="173">
        <f>IF(CdTrp1!J77=1,1,IF(CdTrp1!J77=2,2,IF(CdTrp1!J77=3,2,0)))</f>
        <v>1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1</v>
      </c>
      <c r="BP49" s="173">
        <f>IF(CdTrp1!V77=1,1,IF(CdTrp1!V77=2,2,IF(CdTrp1!V77=3,2,0)))</f>
        <v>1</v>
      </c>
      <c r="BQ49" s="173">
        <f>IF(CdTrp1!W77=1,1,IF(CdTrp1!W77=2,2,IF(CdTrp1!W77=3,2,0)))</f>
        <v>1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1</v>
      </c>
      <c r="CE49" s="173">
        <f>IF(CdTrp2!E77=1,1,IF(CdTrp2!E77=2,2,IF(CdTrp2!E77=3,2,0)))</f>
        <v>1</v>
      </c>
      <c r="CF49" s="173">
        <f>IF(CdTrp2!F77=1,1,IF(CdTrp2!F77=2,2,IF(CdTrp2!F77=3,2,0)))</f>
        <v>1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2</v>
      </c>
      <c r="CV50" s="173">
        <f>IF(CdTrp2!V78=1,1,IF(CdTrp2!V78=2,2,IF(CdTrp2!V78=3,2,0)))</f>
        <v>2</v>
      </c>
      <c r="CW50" s="173">
        <f>IF(CdTrp2!W78=1,1,IF(CdTrp2!W78=2,2,IF(CdTrp2!W78=3,2,0)))</f>
        <v>2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17.46</v>
      </c>
      <c r="C55" s="190">
        <f>IF(B55&gt;[1]Trav!E121,[1]Trav!C121,[1]Trav!B121)</f>
        <v>7.2</v>
      </c>
      <c r="D55"/>
      <c r="E55" s="172"/>
      <c r="F55" s="173">
        <f t="shared" si="32"/>
        <v>126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12.1</v>
      </c>
      <c r="C56" s="190">
        <f>IF(B56&gt;[1]Trav!E121,[1]Trav!C121,[1]Trav!B121)</f>
        <v>7.2</v>
      </c>
      <c r="D56"/>
      <c r="E56" s="172"/>
      <c r="F56" s="173">
        <f t="shared" si="32"/>
        <v>87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1.9399999999999977</v>
      </c>
      <c r="C58" s="190">
        <f>IF(B58&gt;[1]Trav!E122,[1]Trav!C122,[1]Trav!B122)</f>
        <v>4.4000000000000004</v>
      </c>
      <c r="E58" s="172"/>
      <c r="F58" s="173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211</v>
      </c>
      <c r="BH60" s="173">
        <f>IF(BH15=0,0,IF(BH37=3,0,VALUE(CONCATENATE(Travail!BH26,Travail!BH37,Travail!BH48))))</f>
        <v>211</v>
      </c>
      <c r="BI60" s="173">
        <f>IF(BI15=0,0,IF(BI37=3,0,VALUE(CONCATENATE(Travail!BI26,Travail!BI37,Travail!BI48))))</f>
        <v>211</v>
      </c>
      <c r="BJ60" s="173">
        <f>IF(BJ15=0,0,IF(BJ37=3,0,VALUE(CONCATENATE(Travail!BJ26,Travail!BJ37,Travail!BJ48))))</f>
        <v>211</v>
      </c>
      <c r="BK60" s="173">
        <f>IF(BK15=0,0,IF(BK37=3,0,VALUE(CONCATENATE(Travail!BK26,Travail!BK37,Travail!BK48))))</f>
        <v>211</v>
      </c>
      <c r="BL60" s="173">
        <f>IF(BL15=0,0,IF(BL37=3,0,VALUE(CONCATENATE(Travail!BL26,Travail!BL37,Travail!BL48))))</f>
        <v>211</v>
      </c>
      <c r="BM60" s="173">
        <f>IF(BM15=0,0,IF(BM37=3,0,VALUE(CONCATENATE(Travail!BM26,Travail!BM37,Travail!BM48))))</f>
        <v>211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221</v>
      </c>
      <c r="AW61" s="173">
        <f>IF(AW16=0,0,IF(AW38=3,0,VALUE(CONCATENATE(Travail!AW27,Travail!AW38,Travail!AW49))))</f>
        <v>221</v>
      </c>
      <c r="AX61" s="173">
        <f>IF(AX16=0,0,IF(AX38=3,0,VALUE(CONCATENATE(Travail!AX27,Travail!AX38,Travail!AX49))))</f>
        <v>221</v>
      </c>
      <c r="AY61" s="173">
        <f>IF(AY16=0,0,IF(AY38=3,0,VALUE(CONCATENATE(Travail!AY27,Travail!AY38,Travail!AY49))))</f>
        <v>221</v>
      </c>
      <c r="AZ61" s="173">
        <f>IF(AZ16=0,0,IF(AZ38=3,0,VALUE(CONCATENATE(Travail!AZ27,Travail!AZ38,Travail!AZ49))))</f>
        <v>221</v>
      </c>
      <c r="BA61" s="173">
        <f>IF(BA16=0,0,IF(BA38=3,0,VALUE(CONCATENATE(Travail!BA27,Travail!BA38,Travail!BA49))))</f>
        <v>221</v>
      </c>
      <c r="BB61" s="173">
        <f>IF(BB16=0,0,IF(BB38=3,0,VALUE(CONCATENATE(Travail!BB27,Travail!BB38,Travail!BB49))))</f>
        <v>221</v>
      </c>
      <c r="BC61" s="173">
        <f>IF(BC16=0,0,IF(BC38=3,0,VALUE(CONCATENATE(Travail!BC27,Travail!BC38,Travail!BC49))))</f>
        <v>221</v>
      </c>
      <c r="BD61" s="173">
        <f>IF(BD16=0,0,IF(BD38=3,0,VALUE(CONCATENATE(Travail!BD27,Travail!BD38,Travail!BD49))))</f>
        <v>221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221</v>
      </c>
      <c r="BP61" s="173">
        <f>IF(BP16=0,0,IF(BP38=3,0,VALUE(CONCATENATE(Travail!BP27,Travail!BP38,Travail!BP49))))</f>
        <v>221</v>
      </c>
      <c r="BQ61" s="173">
        <f>IF(BQ16=0,0,IF(BQ38=3,0,VALUE(CONCATENATE(Travail!BQ27,Travail!BQ38,Travail!BQ49))))</f>
        <v>221</v>
      </c>
      <c r="BR61" s="173">
        <f>IF(BR16=0,0,IF(BR38=3,0,VALUE(CONCATENATE(Travail!BR27,Travail!BR38,Travail!BR49))))</f>
        <v>221</v>
      </c>
      <c r="BS61" s="173">
        <f>IF(BS16=0,0,IF(BS38=3,0,VALUE(CONCATENATE(Travail!BS27,Travail!BS38,Travail!BS49))))</f>
        <v>221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112</v>
      </c>
      <c r="CV62" s="173">
        <f>IF(CV17=0,0,IF(CV39=3,0,VALUE(CONCATENATE(Travail!CV28,Travail!CV39,Travail!CV50))))</f>
        <v>112</v>
      </c>
      <c r="CW62" s="173">
        <f>IF(CW17=0,0,IF(CW39=3,0,VALUE(CONCATENATE(Travail!CW28,Travail!CW39,Travail!CW50))))</f>
        <v>112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" si="39">ROUND(SUM(G72:AD72),0)</f>
        <v>205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80"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10</v>
      </c>
      <c r="J73" s="173">
        <f>IF(AND(Troupeau!$C$3="BV",Scénario!$K$87&gt;2),Protection!F25*([1]Protect!$B$22+[1]Protect!$B$23),0)</f>
        <v>10</v>
      </c>
      <c r="K73" s="173">
        <f>IF(AND(Troupeau!$C$3="BV",Scénario!$K$87&gt;2),Protection!G25*([1]Protect!$B$22+[1]Protect!$B$23),0)</f>
        <v>5</v>
      </c>
      <c r="L73" s="173">
        <f>IF(AND(Troupeau!$C$3="BV",Scénario!$K$87&gt;2),Protection!H25*([1]Protect!$B$22+[1]Protect!$B$23),0)</f>
        <v>10</v>
      </c>
      <c r="M73" s="173">
        <f>IF(AND(Troupeau!$C$3="BV",Scénario!$K$87&gt;2),Protection!I25*([1]Protect!$B$22+[1]Protect!$B$23),0)</f>
        <v>15</v>
      </c>
      <c r="N73" s="173">
        <f>IF(AND(Troupeau!$C$3="BV",Scénario!$K$87&gt;2),Protection!J25*([1]Protect!$B$22+[1]Protect!$B$23),0)</f>
        <v>15</v>
      </c>
      <c r="O73" s="173">
        <f>IF(AND(Troupeau!$C$3="BV",Scénario!$K$87&gt;2),Protection!K25*([1]Protect!$B$22+[1]Protect!$B$23),0)</f>
        <v>10</v>
      </c>
      <c r="P73" s="173">
        <f>IF(AND(Troupeau!$C$3="BV",Scénario!$K$87&gt;2),Protection!L25*([1]Protect!$B$22+[1]Protect!$B$23),0)</f>
        <v>15</v>
      </c>
      <c r="Q73" s="173">
        <f>IF(AND(Troupeau!$C$3="BV",Scénario!$K$87&gt;2),Protection!M25*([1]Protect!$B$22+[1]Protect!$B$23),0)</f>
        <v>10</v>
      </c>
      <c r="R73" s="173">
        <f>IF(AND(Troupeau!$C$3="BV",Scénario!$K$87&gt;2),Protection!N25*([1]Protect!$B$22+[1]Protect!$B$23),0)</f>
        <v>10</v>
      </c>
      <c r="S73" s="173">
        <f>IF(AND(Troupeau!$C$3="BV",Scénario!$K$87&gt;2),Protection!O25*([1]Protect!$B$22+[1]Protect!$B$23),0)</f>
        <v>5</v>
      </c>
      <c r="T73" s="173">
        <f>IF(AND(Troupeau!$C$3="BV",Scénario!$K$87&gt;2),Protection!P25*([1]Protect!$B$22+[1]Protect!$B$23),0)</f>
        <v>10</v>
      </c>
      <c r="U73" s="173">
        <f>IF(AND(Troupeau!$C$3="BV",Scénario!$K$87&gt;2),Protection!Q25*([1]Protect!$B$22+[1]Protect!$B$23),0)</f>
        <v>10</v>
      </c>
      <c r="V73" s="173">
        <f>IF(AND(Troupeau!$C$3="BV",Scénario!$K$87&gt;2),Protection!R25*([1]Protect!$B$22+[1]Protect!$B$23),0)</f>
        <v>10</v>
      </c>
      <c r="W73" s="173">
        <f>IF(AND(Troupeau!$C$3="BV",Scénario!$K$87&gt;2),Protection!S25*([1]Protect!$B$22+[1]Protect!$B$23),0)</f>
        <v>10</v>
      </c>
      <c r="X73" s="173">
        <f>IF(AND(Troupeau!$C$3="BV",Scénario!$K$87&gt;2),Protection!T25*([1]Protect!$B$22+[1]Protect!$B$23),0)</f>
        <v>10</v>
      </c>
      <c r="Y73" s="173">
        <f>IF(AND(Troupeau!$C$3="BV",Scénario!$K$87&gt;2),Protection!U25*([1]Protect!$B$22+[1]Protect!$B$23),0)</f>
        <v>10</v>
      </c>
      <c r="Z73" s="173">
        <f>IF(AND(Troupeau!$C$3="BV",Scénario!$K$87&gt;2),Protection!V25*([1]Protect!$B$22+[1]Protect!$B$23),0)</f>
        <v>5</v>
      </c>
      <c r="AA73" s="173">
        <f>IF(AND(Troupeau!$C$3="BV",Scénario!$K$87&gt;2),Protection!W25*([1]Protect!$B$22+[1]Protect!$B$23),0)</f>
        <v>10</v>
      </c>
      <c r="AB73" s="173">
        <f>IF(AND(Troupeau!$C$3="BV",Scénario!$K$87&gt;2),Protection!X25*([1]Protect!$B$22+[1]Protect!$B$23),0)</f>
        <v>15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108.5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7</v>
      </c>
      <c r="S75" s="198">
        <f>IF(Protection!O195=0,0,[1]Protect!$B$9*Protection!O195*14)</f>
        <v>7</v>
      </c>
      <c r="T75" s="198">
        <f>IF(Protection!P195=0,0,[1]Protect!$B$9*Protection!P195*14)</f>
        <v>7</v>
      </c>
      <c r="U75" s="198">
        <f>IF(Protection!Q195=0,0,[1]Protect!$B$9*Protection!Q195*14)</f>
        <v>7</v>
      </c>
      <c r="V75" s="198">
        <f>IF(Protection!R195=0,0,[1]Protect!$B$9*Protection!R195*14)</f>
        <v>7</v>
      </c>
      <c r="W75" s="198">
        <f>IF(Protection!S195=0,0,[1]Protect!$B$9*Protection!S195*14)</f>
        <v>7</v>
      </c>
      <c r="X75" s="198">
        <f>IF(Protection!T195=0,0,[1]Protect!$B$9*Protection!T195*14)</f>
        <v>7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518.5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18.5</v>
      </c>
      <c r="J77" s="46">
        <f t="shared" si="43"/>
        <v>23.5</v>
      </c>
      <c r="K77" s="46">
        <f t="shared" si="43"/>
        <v>18.5</v>
      </c>
      <c r="L77" s="46">
        <f t="shared" si="43"/>
        <v>23.5</v>
      </c>
      <c r="M77" s="46">
        <f t="shared" si="43"/>
        <v>28.5</v>
      </c>
      <c r="N77" s="46">
        <f t="shared" si="43"/>
        <v>28.5</v>
      </c>
      <c r="O77" s="46">
        <f t="shared" si="43"/>
        <v>23.5</v>
      </c>
      <c r="P77" s="46">
        <f t="shared" si="43"/>
        <v>28.5</v>
      </c>
      <c r="Q77" s="46">
        <f t="shared" si="43"/>
        <v>23.5</v>
      </c>
      <c r="R77" s="46">
        <f t="shared" si="43"/>
        <v>27</v>
      </c>
      <c r="S77" s="46">
        <f t="shared" si="43"/>
        <v>22</v>
      </c>
      <c r="T77" s="46">
        <f t="shared" si="43"/>
        <v>27</v>
      </c>
      <c r="U77" s="46">
        <f t="shared" si="43"/>
        <v>27</v>
      </c>
      <c r="V77" s="46">
        <f t="shared" si="43"/>
        <v>27</v>
      </c>
      <c r="W77" s="46">
        <f t="shared" si="43"/>
        <v>27</v>
      </c>
      <c r="X77" s="46">
        <f t="shared" si="43"/>
        <v>27</v>
      </c>
      <c r="Y77" s="46">
        <f t="shared" si="43"/>
        <v>23.5</v>
      </c>
      <c r="Z77" s="46">
        <f t="shared" si="43"/>
        <v>18.5</v>
      </c>
      <c r="AA77" s="46">
        <f t="shared" si="43"/>
        <v>18.5</v>
      </c>
      <c r="AB77" s="46">
        <f t="shared" si="43"/>
        <v>23.5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0.56999999999999995</v>
      </c>
      <c r="C81" s="190">
        <f>[1]Protect!$B$10</f>
        <v>4</v>
      </c>
      <c r="D81" s="172"/>
      <c r="E81" s="172"/>
      <c r="F81" s="173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4.3170000000000002</v>
      </c>
      <c r="C83" s="190">
        <f>[1]Protect!$B$24+[1]Protect!$B$26</f>
        <v>0.33</v>
      </c>
      <c r="D83" s="172"/>
      <c r="E83" s="172"/>
      <c r="F83" s="173">
        <f>ROUND(B83*C83,1)</f>
        <v>1.4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3.5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1603.0413913043478</v>
      </c>
      <c r="C91" s="5"/>
      <c r="D91" s="202">
        <f>B91/Troupeau!$B$17</f>
        <v>5.2731624713958807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676.2</v>
      </c>
      <c r="C92" s="5"/>
      <c r="D92" s="202">
        <f>IF(B92=0,0,B92/Troupeau!$C$17)</f>
        <v>35.589473684210532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2279.2413913043479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2">
        <f>B95/Troupeau!$B$17</f>
        <v>0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5.0526315789473681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96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311.9304347826087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6.2386086956521742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5.2386086956521742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52.740434782608695</v>
      </c>
      <c r="BB102" s="62">
        <f t="shared" si="77"/>
        <v>52.694173913043478</v>
      </c>
      <c r="BC102" s="62">
        <f t="shared" si="77"/>
        <v>52.647913043478262</v>
      </c>
      <c r="BD102" s="62">
        <f t="shared" si="77"/>
        <v>52.555391304347829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51.167565217391306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21</v>
      </c>
      <c r="BH106" s="190">
        <f>IF(BH60&gt;0,HLOOKUP(BH60,[1]Trav!$C$11:$O$31,$AU$105),0)</f>
        <v>21</v>
      </c>
      <c r="BI106" s="190">
        <f>IF(BI60&gt;0,HLOOKUP(BI60,[1]Trav!$C$11:$O$31,$AU$105),0)</f>
        <v>21</v>
      </c>
      <c r="BJ106" s="190">
        <f>IF(BJ60&gt;0,HLOOKUP(BJ60,[1]Trav!$C$11:$O$31,$AU$105),0)</f>
        <v>21</v>
      </c>
      <c r="BK106" s="190">
        <f>IF(BK60&gt;0,HLOOKUP(BK60,[1]Trav!$C$11:$O$31,$AU$105),0)</f>
        <v>21</v>
      </c>
      <c r="BL106" s="190">
        <f>IF(BL60&gt;0,HLOOKUP(BL60,[1]Trav!$C$11:$O$31,$AU$105),0)</f>
        <v>21</v>
      </c>
      <c r="BM106" s="190">
        <f>IF(BM60&gt;0,HLOOKUP(BM60,[1]Trav!$C$11:$O$31,$AU$105),0)</f>
        <v>21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14</v>
      </c>
      <c r="AZ107" s="190">
        <f>IF(AZ61&gt;0,HLOOKUP(AZ61,[1]Trav!$C$11:$O$31,$AU$105),0)</f>
        <v>14</v>
      </c>
      <c r="BA107" s="190">
        <f>IF(BA61&gt;0,HLOOKUP(BA61,[1]Trav!$C$11:$O$31,$AU$105),0)</f>
        <v>14</v>
      </c>
      <c r="BB107" s="190">
        <f>IF(BB61&gt;0,HLOOKUP(BB61,[1]Trav!$C$11:$O$31,$AU$105),0)</f>
        <v>14</v>
      </c>
      <c r="BC107" s="190">
        <f>IF(BC61&gt;0,HLOOKUP(BC61,[1]Trav!$C$11:$O$31,$AU$105),0)</f>
        <v>14</v>
      </c>
      <c r="BD107" s="190">
        <f>IF(BD61&gt;0,HLOOKUP(BD61,[1]Trav!$C$11:$O$31,$AU$105),0)</f>
        <v>14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14</v>
      </c>
      <c r="BP107" s="190">
        <f>IF(BP61&gt;0,HLOOKUP(BP61,[1]Trav!$C$11:$O$31,$AU$105),0)</f>
        <v>14</v>
      </c>
      <c r="BQ107" s="190">
        <f>IF(BQ61&gt;0,HLOOKUP(BQ61,[1]Trav!$C$11:$O$31,$AU$105),0)</f>
        <v>14</v>
      </c>
      <c r="BR107" s="190">
        <f>IF(BR61&gt;0,HLOOKUP(BR61,[1]Trav!$C$11:$O$31,$AU$105),0)</f>
        <v>14</v>
      </c>
      <c r="BS107" s="190">
        <f>IF(BS61&gt;0,HLOOKUP(BS61,[1]Trav!$C$11:$O$31,$AU$105),0)</f>
        <v>14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278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5.25</v>
      </c>
      <c r="CV108" s="190">
        <f>IF(CV62&gt;0,HLOOKUP(CV62,[1]Trav!$C$11:$O$31,$CA$105),0)</f>
        <v>5.25</v>
      </c>
      <c r="CW108" s="190">
        <f>IF(CW62&gt;0,HLOOKUP(CW62,[1]Trav!$C$11:$O$31,$CA$105),0)</f>
        <v>5.25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205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205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18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4.9000000000000004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28</v>
      </c>
      <c r="BB117" s="173">
        <f t="shared" si="83"/>
        <v>28</v>
      </c>
      <c r="BC117" s="173">
        <f t="shared" si="83"/>
        <v>28</v>
      </c>
      <c r="BD117" s="173">
        <f t="shared" si="83"/>
        <v>28</v>
      </c>
      <c r="BE117" s="173">
        <f t="shared" si="83"/>
        <v>28</v>
      </c>
      <c r="BF117" s="173">
        <f t="shared" si="83"/>
        <v>28</v>
      </c>
      <c r="BG117" s="173">
        <f t="shared" si="83"/>
        <v>35</v>
      </c>
      <c r="BH117" s="173">
        <f t="shared" si="83"/>
        <v>35</v>
      </c>
      <c r="BI117" s="173">
        <f t="shared" si="83"/>
        <v>35</v>
      </c>
      <c r="BJ117" s="173">
        <f t="shared" si="83"/>
        <v>35</v>
      </c>
      <c r="BK117" s="173">
        <f t="shared" si="83"/>
        <v>35</v>
      </c>
      <c r="BL117" s="173">
        <f t="shared" si="83"/>
        <v>35</v>
      </c>
      <c r="BM117" s="173">
        <f t="shared" si="83"/>
        <v>35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22.75</v>
      </c>
      <c r="CV117" s="173">
        <f t="shared" si="84"/>
        <v>29.75</v>
      </c>
      <c r="CW117" s="173">
        <f t="shared" si="84"/>
        <v>29.75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4472.811391304348</v>
      </c>
      <c r="D118" s="202">
        <f>B118/Troupeau!$B$17</f>
        <v>14.713195366132723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856.2</v>
      </c>
      <c r="D119" s="202">
        <f>IF(B119=0,0,B119/Troupeau!$C$17)</f>
        <v>45.063157894736847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5329.0113913043479</v>
      </c>
    </row>
    <row r="123" spans="1:132" x14ac:dyDescent="0.25">
      <c r="A123" s="2" t="s">
        <v>856</v>
      </c>
      <c r="B123" s="30">
        <f>B108</f>
        <v>278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205</v>
      </c>
    </row>
    <row r="126" spans="1:132" x14ac:dyDescent="0.25">
      <c r="A126" s="2" t="s">
        <v>872</v>
      </c>
      <c r="B126" s="30">
        <f>B114+B115+B116</f>
        <v>22.9</v>
      </c>
    </row>
    <row r="128" spans="1:132" x14ac:dyDescent="0.25">
      <c r="A128" s="2" t="s">
        <v>873</v>
      </c>
      <c r="B128" s="201">
        <f>SUM(B122:B126)</f>
        <v>6434.9113913043475</v>
      </c>
    </row>
    <row r="129" spans="1:2" x14ac:dyDescent="0.25">
      <c r="A129" s="2" t="s">
        <v>874</v>
      </c>
      <c r="B129" s="30">
        <f>IF(Scénario!K129=1,Travail!F77+Travail!F86,F86)</f>
        <v>518.5</v>
      </c>
    </row>
    <row r="130" spans="1:2" x14ac:dyDescent="0.25">
      <c r="A130" s="2" t="s">
        <v>875</v>
      </c>
      <c r="B130" s="201">
        <f>ROUND((B128-B129)/(Scénario!K4+Scénario!K6),0)</f>
        <v>2958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1.19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58.22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58.22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8.2199999999999989</v>
      </c>
      <c r="AC40" s="190">
        <f>[1]Eco!$B$34</f>
        <v>70</v>
      </c>
      <c r="AD40" s="173">
        <f t="shared" si="21"/>
        <v>575.39999999999986</v>
      </c>
      <c r="AE40" s="282">
        <f>IF($AJ$40=0,AB40*$AC$40,AD40*$AJ$40/100)</f>
        <v>575.39999999999986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14782.4</v>
      </c>
      <c r="AE41" s="283">
        <f>ROUND(SUM(AE38:AE40)*T25,0)</f>
        <v>14782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58.22</v>
      </c>
      <c r="C42" s="215">
        <f>[1]Eco!$B$24</f>
        <v>97</v>
      </c>
      <c r="J42" s="173">
        <f>B42*C42</f>
        <v>5647.34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58.22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3900.74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14782</v>
      </c>
      <c r="K45" s="173"/>
      <c r="L45" s="173"/>
      <c r="M45" s="173"/>
      <c r="N45" s="173"/>
      <c r="O45" s="210"/>
      <c r="U45" s="14" t="s">
        <v>990</v>
      </c>
      <c r="V45" s="173">
        <f>S55</f>
        <v>22.56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2893.6000000000004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58.22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142691.88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48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22.56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66.378999999999991</v>
      </c>
      <c r="C118" s="190">
        <f>IF(Scénario!$K$12="BV",[1]Eco!$B$78,IF(Scénario!$K$12="BL",[1]Eco!$B$77,[1]Eco!$B$76))</f>
        <v>223</v>
      </c>
      <c r="J118" s="173">
        <f>B118*C118</f>
        <v>14802.516999999998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51.183999999999997</v>
      </c>
      <c r="C119" s="190">
        <f>[1]Eco!$B$79</f>
        <v>80</v>
      </c>
      <c r="J119" s="173">
        <f>B119*C119</f>
        <v>4094.72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8.6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387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7.3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441.72299999999996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7.1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481.02499999999998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3617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388.53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57548.014999999999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945.40000000000009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19.399999999999999</v>
      </c>
      <c r="X153" t="s">
        <v>52</v>
      </c>
      <c r="Y153" s="173">
        <f>W153-Scénario!K28</f>
        <v>-4.1000000000000014</v>
      </c>
      <c r="Z153" s="173">
        <f>Y153-Y156</f>
        <v>-3.6900000000000013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12.1</v>
      </c>
      <c r="X154" t="s">
        <v>52</v>
      </c>
      <c r="Y154" s="173">
        <f>W154-Scénario!K29</f>
        <v>-3.9000000000000004</v>
      </c>
      <c r="Z154" s="173">
        <f>Y154</f>
        <v>-3.9000000000000004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-0.41000000000000014</v>
      </c>
      <c r="Z156" s="173">
        <f t="shared" si="68"/>
        <v>-0.41000000000000014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-3.6900000000000013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-133.57800000000006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-3.9000000000000004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-117.00000000000001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-0.41000000000000014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-63.714000000000027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2.6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2.6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2.6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0</v>
      </c>
      <c r="T165" s="173">
        <f>VLOOKUP(R165,[1]MEP!$A$4:$M$300,13)</f>
        <v>2</v>
      </c>
      <c r="U165" s="173">
        <f t="shared" ref="U165:U207" si="72">IF($T165&gt;0,$S165,0)</f>
        <v>0</v>
      </c>
      <c r="V165" s="173">
        <f t="shared" ref="V165:V207" si="73">IF($T165&gt;1,$S165,0)</f>
        <v>0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0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0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336.4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3575.9320000000002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264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296</v>
      </c>
      <c r="S169" s="173">
        <f>Alim_Surf!R12</f>
        <v>4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4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4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49319.34</v>
      </c>
      <c r="K170" s="62"/>
      <c r="L170" s="62"/>
      <c r="M170" s="62"/>
      <c r="N170" s="62"/>
      <c r="Q170">
        <v>7</v>
      </c>
      <c r="R170" s="173">
        <f>Alim_Surf!Q13</f>
        <v>253</v>
      </c>
      <c r="S170" s="173">
        <f>Alim_Surf!R13</f>
        <v>7.1</v>
      </c>
      <c r="T170" s="173">
        <f>VLOOKUP(R170,[1]MEP!$A$4:$M$300,13)</f>
        <v>2</v>
      </c>
      <c r="U170" s="173">
        <f t="shared" si="72"/>
        <v>7.1</v>
      </c>
      <c r="V170" s="173">
        <f t="shared" si="73"/>
        <v>7.1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7.1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7.1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35824.525000000009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17912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638.69640800783895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24185.828591992169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12093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2.2999999999999998</v>
      </c>
      <c r="T187" s="173">
        <f>VLOOKUP(R187,[1]MEP!$A$4:$M$300,13)</f>
        <v>1</v>
      </c>
      <c r="U187" s="173">
        <f t="shared" si="72"/>
        <v>2.2999999999999998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2.2999999999999998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2.2999999999999998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19.399999999999999</v>
      </c>
      <c r="V228" s="62">
        <f t="shared" ref="V228:W228" si="84">SUM(V164:V227)</f>
        <v>12.1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8.6</v>
      </c>
      <c r="AI228" s="62">
        <f t="shared" si="86"/>
        <v>7.3</v>
      </c>
      <c r="AJ228" s="62">
        <f t="shared" si="86"/>
        <v>7.1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4317</v>
      </c>
      <c r="U234" t="s">
        <v>1101</v>
      </c>
      <c r="V234" s="173"/>
      <c r="W234" s="173">
        <f>[1]Protect!$B$4</f>
        <v>6</v>
      </c>
      <c r="X234" s="173">
        <f>T234*W234</f>
        <v>25902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25902</v>
      </c>
      <c r="Z237" s="30">
        <f>IF(Scénario!K84=1,MIN(0.8*'Calcul éco'!X237,[1]Protect!$B$68),IF(Scénario!K84=2,MIN(0.8*'Calcul éco'!X237,[1]Protect!$B$67),0))</f>
        <v>20721.600000000002</v>
      </c>
      <c r="AA237" s="30">
        <f>X237-Z237</f>
        <v>5180.3999999999978</v>
      </c>
      <c r="AB237" s="30">
        <f>(Scénario!K127/100)*AA237</f>
        <v>0</v>
      </c>
      <c r="AC237" s="30">
        <f>AA237-AB237</f>
        <v>5180.3999999999978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638.69640800783895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4</v>
      </c>
      <c r="X245" s="173">
        <f>ROUND((([1]Protect!$B$5/[1]Protect!$B$11)+[1]Protect!$B$8)*T245,0)</f>
        <v>3617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1117</v>
      </c>
      <c r="X248" s="173">
        <f>SUM(X245:X247)</f>
        <v>3617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3617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3">
        <f>IF(T256=0,0,[1]Protect!$B76)</f>
        <v>7500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2893.6000000000004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2893.6000000000004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64.754999999999995</v>
      </c>
      <c r="U272" s="173"/>
      <c r="V272" s="173"/>
      <c r="W272" s="173">
        <f>W234</f>
        <v>6</v>
      </c>
      <c r="X272" s="173">
        <f>T272*W272</f>
        <v>388.53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Z1_OLBV_T3F_Ms3</v>
      </c>
      <c r="D1" s="275" t="str">
        <f>CONCATENATE(C1,"_corr")</f>
        <v>Z1_OLBV_T3F_Ms3_corr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570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2</v>
      </c>
      <c r="D27" s="177">
        <f t="shared" si="0"/>
        <v>2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3</v>
      </c>
      <c r="D51" s="177">
        <f t="shared" si="0"/>
        <v>3</v>
      </c>
      <c r="E51" s="14"/>
    </row>
    <row r="52" spans="1:132" x14ac:dyDescent="0.25">
      <c r="B52" s="19" t="s">
        <v>596</v>
      </c>
      <c r="C52" s="177">
        <f>Scénario!K84</f>
        <v>1</v>
      </c>
      <c r="D52" s="177">
        <f t="shared" si="0"/>
        <v>1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19.399999999999999</v>
      </c>
      <c r="D85" s="261">
        <f>ROUND(C85*$D$82/$C$82,3)</f>
        <v>18.626000000000001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12.1</v>
      </c>
      <c r="D86" s="261">
        <f t="shared" ref="D86:D97" si="14">ROUND(C86*$D$82/$C$82,3)</f>
        <v>11.617000000000001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1.94</v>
      </c>
      <c r="D88" s="261">
        <f t="shared" si="14"/>
        <v>1.863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1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3</v>
      </c>
      <c r="CC99" s="173">
        <f>IF(CdTrp2!C53=1,3,IF(CdTrp2!C53=0.5,2,IF(CdTrp2!C53=0,1,0)))</f>
        <v>3</v>
      </c>
      <c r="CD99" s="173">
        <f>IF(CdTrp2!D53=1,3,IF(CdTrp2!D53=0.5,2,IF(CdTrp2!D53=0,1,0)))</f>
        <v>1</v>
      </c>
      <c r="CE99" s="173">
        <f>IF(CdTrp2!E53=1,3,IF(CdTrp2!E53=0.5,2,IF(CdTrp2!E53=0,1,0)))</f>
        <v>1</v>
      </c>
      <c r="CF99" s="173">
        <f>IF(CdTrp2!F53=1,3,IF(CdTrp2!F53=0.5,2,IF(CdTrp2!F53=0,1,0)))</f>
        <v>1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3</v>
      </c>
      <c r="CY99" s="173">
        <f>IF(CdTrp2!Y53=1,3,IF(CdTrp2!Y53=0.5,2,IF(CdTrp2!Y53=0,1,0)))</f>
        <v>3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3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1</v>
      </c>
      <c r="K106" s="30">
        <f>CdTrp2!E77</f>
        <v>1</v>
      </c>
      <c r="L106" s="30">
        <f>CdTrp2!F77</f>
        <v>1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3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3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48.5</v>
      </c>
      <c r="D109" s="173">
        <f t="shared" si="25"/>
        <v>48.5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1</v>
      </c>
      <c r="BH109" s="173">
        <v>2</v>
      </c>
      <c r="BI109" s="173">
        <f>IF(CdTrp1!O76=1,1,IF(CdTrp1!O76=2,2,IF(CdTrp1!O76=3,2,IF(CdTrp1!O76=4,4,0))))</f>
        <v>1</v>
      </c>
      <c r="BJ109" s="173">
        <f>IF(CdTrp1!P76=1,1,IF(CdTrp1!P76=2,2,IF(CdTrp1!P76=3,2,IF(CdTrp1!P76=4,4,0))))</f>
        <v>1</v>
      </c>
      <c r="BK109" s="173">
        <f>IF(CdTrp1!Q76=1,1,IF(CdTrp1!Q76=2,2,IF(CdTrp1!Q76=3,2,IF(CdTrp1!Q76=4,4,0))))</f>
        <v>1</v>
      </c>
      <c r="BL109" s="173">
        <f>IF(CdTrp1!R76=1,1,IF(CdTrp1!R76=2,2,IF(CdTrp1!R76=3,2,IF(CdTrp1!R76=4,4,0))))</f>
        <v>1</v>
      </c>
      <c r="BM109" s="173">
        <f>IF(CdTrp1!S76=1,1,IF(CdTrp1!S76=2,2,IF(CdTrp1!S76=3,2,IF(CdTrp1!S76=4,4,0))))</f>
        <v>1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20.5</v>
      </c>
      <c r="D110" s="173">
        <f t="shared" si="25"/>
        <v>20.5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1</v>
      </c>
      <c r="BA110" s="173">
        <f>IF(CdTrp1!G77=1,1,IF(CdTrp1!G77=2,2,IF(CdTrp1!G77=3,2,IF(CdTrp1!G77=4,4,0))))</f>
        <v>1</v>
      </c>
      <c r="BB110" s="173">
        <f>IF(CdTrp1!H77=1,1,IF(CdTrp1!H77=2,2,IF(CdTrp1!H77=3,2,IF(CdTrp1!H77=4,4,0))))</f>
        <v>1</v>
      </c>
      <c r="BC110" s="173">
        <f>IF(CdTrp1!I77=1,1,IF(CdTrp1!I77=2,2,IF(CdTrp1!I77=3,2,IF(CdTrp1!I77=4,4,0))))</f>
        <v>1</v>
      </c>
      <c r="BD110" s="173">
        <f>IF(CdTrp1!J77=1,1,IF(CdTrp1!J77=2,2,IF(CdTrp1!J77=3,2,IF(CdTrp1!J77=4,4,0))))</f>
        <v>1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1</v>
      </c>
      <c r="BP110" s="173">
        <f>IF(CdTrp1!V77=1,1,IF(CdTrp1!V77=2,2,IF(CdTrp1!V77=3,2,IF(CdTrp1!V77=4,4,0))))</f>
        <v>1</v>
      </c>
      <c r="BQ110" s="173">
        <f>IF(CdTrp1!W77=1,1,IF(CdTrp1!W77=2,2,IF(CdTrp1!W77=3,2,IF(CdTrp1!W77=4,4,0))))</f>
        <v>1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1</v>
      </c>
      <c r="CE110" s="173">
        <f>IF(CdTrp2!E77=1,1,IF(CdTrp2!E77=2,2,IF(CdTrp2!E77=3,2,IF(CdTrp2!E77=4,4,0))))</f>
        <v>1</v>
      </c>
      <c r="CF110" s="173">
        <f>IF(CdTrp2!F77=1,1,IF(CdTrp2!F77=2,2,IF(CdTrp2!F77=3,2,IF(CdTrp2!F77=4,4,0))))</f>
        <v>1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2</v>
      </c>
      <c r="CV111" s="173">
        <f>IF(CdTrp2!V78=1,1,IF(CdTrp2!V78=2,2,IF(CdTrp2!V78=3,2,IF(CdTrp2!V78=4,4,0))))</f>
        <v>2</v>
      </c>
      <c r="CW111" s="173">
        <f>IF(CdTrp2!W78=1,1,IF(CdTrp2!W78=2,2,IF(CdTrp2!W78=3,2,IF(CdTrp2!W78=4,4,0))))</f>
        <v>2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10</v>
      </c>
      <c r="D114" s="173">
        <f t="shared" si="25"/>
        <v>10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3.5</v>
      </c>
      <c r="D117" s="173">
        <f t="shared" si="25"/>
        <v>3.5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211</v>
      </c>
      <c r="BH121" s="173">
        <f>IF(BH75=0,0,IF(BH98=3,0,VALUE(CONCATENATE(Travail!BH26,Travail!BH37,Travail!BH48))))</f>
        <v>211</v>
      </c>
      <c r="BI121" s="173">
        <f>IF(BI75=0,0,IF(BI98=3,0,VALUE(CONCATENATE(Travail!BI26,Travail!BI37,Travail!BI48))))</f>
        <v>211</v>
      </c>
      <c r="BJ121" s="173">
        <f>IF(BJ75=0,0,IF(BJ98=3,0,VALUE(CONCATENATE(Travail!BJ26,Travail!BJ37,Travail!BJ48))))</f>
        <v>211</v>
      </c>
      <c r="BK121" s="173">
        <f>IF(BK75=0,0,IF(BK98=3,0,VALUE(CONCATENATE(Travail!BK26,Travail!BK37,Travail!BK48))))</f>
        <v>211</v>
      </c>
      <c r="BL121" s="173">
        <f>IF(BL75=0,0,IF(BL98=3,0,VALUE(CONCATENATE(Travail!BL26,Travail!BL37,Travail!BL48))))</f>
        <v>211</v>
      </c>
      <c r="BM121" s="173">
        <f>IF(BM75=0,0,IF(BM98=3,0,VALUE(CONCATENATE(Travail!BM26,Travail!BM37,Travail!BM48))))</f>
        <v>211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0</v>
      </c>
      <c r="D122" s="173">
        <f t="shared" si="25"/>
        <v>0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221</v>
      </c>
      <c r="AW122" s="173">
        <f>IF(AW76=0,0,IF(AW99=3,0,VALUE(CONCATENATE(Travail!AW27,Travail!AW38,Travail!AW49))))</f>
        <v>221</v>
      </c>
      <c r="AX122" s="173">
        <f>IF(AX76=0,0,IF(AX99=3,0,VALUE(CONCATENATE(Travail!AX27,Travail!AX38,Travail!AX49))))</f>
        <v>221</v>
      </c>
      <c r="AY122" s="173">
        <f>IF(AY76=0,0,IF(AY99=3,0,VALUE(CONCATENATE(Travail!AY27,Travail!AY38,Travail!AY49))))</f>
        <v>221</v>
      </c>
      <c r="AZ122" s="173">
        <f>IF(AZ76=0,0,IF(AZ99=3,0,VALUE(CONCATENATE(Travail!AZ27,Travail!AZ38,Travail!AZ49))))</f>
        <v>221</v>
      </c>
      <c r="BA122" s="173">
        <f>IF(BA76=0,0,IF(BA99=3,0,VALUE(CONCATENATE(Travail!BA27,Travail!BA38,Travail!BA49))))</f>
        <v>221</v>
      </c>
      <c r="BB122" s="173">
        <f>IF(BB76=0,0,IF(BB99=3,0,VALUE(CONCATENATE(Travail!BB27,Travail!BB38,Travail!BB49))))</f>
        <v>221</v>
      </c>
      <c r="BC122" s="173">
        <f>IF(BC76=0,0,IF(BC99=3,0,VALUE(CONCATENATE(Travail!BC27,Travail!BC38,Travail!BC49))))</f>
        <v>221</v>
      </c>
      <c r="BD122" s="173">
        <f>IF(BD76=0,0,IF(BD99=3,0,VALUE(CONCATENATE(Travail!BD27,Travail!BD38,Travail!BD49))))</f>
        <v>221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221</v>
      </c>
      <c r="BP122" s="173">
        <f>IF(BP76=0,0,IF(BP99=3,0,VALUE(CONCATENATE(Travail!BP27,Travail!BP38,Travail!BP49))))</f>
        <v>221</v>
      </c>
      <c r="BQ122" s="173">
        <f>IF(BQ76=0,0,IF(BQ99=3,0,VALUE(CONCATENATE(Travail!BQ27,Travail!BQ38,Travail!BQ49))))</f>
        <v>221</v>
      </c>
      <c r="BR122" s="173">
        <f>IF(BR76=0,0,IF(BR99=3,0,VALUE(CONCATENATE(Travail!BR27,Travail!BR38,Travail!BR49))))</f>
        <v>221</v>
      </c>
      <c r="BS122" s="173">
        <f>IF(BS76=0,0,IF(BS99=3,0,VALUE(CONCATENATE(Travail!BS27,Travail!BS38,Travail!BS49))))</f>
        <v>221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112</v>
      </c>
      <c r="CV123" s="173">
        <f>IF(CV77=0,0,VALUE(CONCATENATE(Travail!CV28,Travail!CV39,Travail!CV50)))</f>
        <v>112</v>
      </c>
      <c r="CW123" s="173">
        <f>IF(CW77=0,0,VALUE(CONCATENATE(Travail!CW28,Travail!CW39,Travail!CW50)))</f>
        <v>112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0</v>
      </c>
      <c r="D125" s="173">
        <f t="shared" si="25"/>
        <v>0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1</v>
      </c>
      <c r="D133" s="262">
        <f t="shared" si="25"/>
        <v>1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0.4375</v>
      </c>
      <c r="D134" s="262">
        <f t="shared" si="25"/>
        <v>0.4375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0.6966292134831461</v>
      </c>
      <c r="D136" s="262">
        <f t="shared" si="25"/>
        <v>0.6966292134831461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299.48433264664425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84.089275619269515</v>
      </c>
      <c r="D161" s="263">
        <f t="shared" si="50"/>
        <v>80.734092552166487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5.9896866529328854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132.67114062958612</v>
      </c>
      <c r="D162" s="263">
        <f t="shared" si="50"/>
        <v>127.37752903339315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4.9896866529328854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52.242063319960963</v>
      </c>
      <c r="BB163" s="62">
        <f t="shared" si="92"/>
        <v>52.197648270627781</v>
      </c>
      <c r="BC163" s="62">
        <f t="shared" si="92"/>
        <v>52.153233221294585</v>
      </c>
      <c r="BD163" s="62">
        <f t="shared" si="92"/>
        <v>52.064403122628214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50.731951642632552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38.706725063999997</v>
      </c>
      <c r="D166" s="263">
        <f t="shared" si="50"/>
        <v>37.162317081396502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21</v>
      </c>
      <c r="BH167" s="190">
        <f>IF(BH121&gt;0,HLOOKUP(BH121,[1]Trav!$C$11:$O$31,$AU$166),0)</f>
        <v>21</v>
      </c>
      <c r="BI167" s="190">
        <f>IF(BI121&gt;0,HLOOKUP(BI121,[1]Trav!$C$11:$O$31,$AU$166),0)</f>
        <v>21</v>
      </c>
      <c r="BJ167" s="190">
        <f>IF(BJ121&gt;0,HLOOKUP(BJ121,[1]Trav!$C$11:$O$31,$AU$166),0)</f>
        <v>21</v>
      </c>
      <c r="BK167" s="190">
        <f>IF(BK121&gt;0,HLOOKUP(BK121,[1]Trav!$C$11:$O$31,$AU$166),0)</f>
        <v>21</v>
      </c>
      <c r="BL167" s="190">
        <f>IF(BL121&gt;0,HLOOKUP(BL121,[1]Trav!$C$11:$O$31,$AU$166),0)</f>
        <v>21</v>
      </c>
      <c r="BM167" s="190">
        <f>IF(BM121&gt;0,HLOOKUP(BM121,[1]Trav!$C$11:$O$31,$AU$166),0)</f>
        <v>21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14</v>
      </c>
      <c r="AW168" s="190">
        <f>IF(AW122&gt;0,HLOOKUP(AW122,[1]Trav!$C$11:$O$31,$AU$166),0)</f>
        <v>14</v>
      </c>
      <c r="AX168" s="190">
        <f>IF(AX122&gt;0,HLOOKUP(AX122,[1]Trav!$C$11:$O$31,$AU$166),0)</f>
        <v>14</v>
      </c>
      <c r="AY168" s="190">
        <f>IF(AY122&gt;0,HLOOKUP(AY122,[1]Trav!$C$11:$O$31,$AU$166),0)</f>
        <v>14</v>
      </c>
      <c r="AZ168" s="190">
        <f>IF(AZ122&gt;0,HLOOKUP(AZ122,[1]Trav!$C$11:$O$31,$AU$166),0)</f>
        <v>14</v>
      </c>
      <c r="BA168" s="190">
        <f>IF(BA122&gt;0,HLOOKUP(BA122,[1]Trav!$C$11:$O$31,$AU$166),0)</f>
        <v>14</v>
      </c>
      <c r="BB168" s="190">
        <f>IF(BB122&gt;0,HLOOKUP(BB122,[1]Trav!$C$11:$O$31,$AU$166),0)</f>
        <v>14</v>
      </c>
      <c r="BC168" s="190">
        <f>IF(BC122&gt;0,HLOOKUP(BC122,[1]Trav!$C$11:$O$31,$AU$166),0)</f>
        <v>14</v>
      </c>
      <c r="BD168" s="190">
        <f>IF(BD122&gt;0,HLOOKUP(BD122,[1]Trav!$C$11:$O$31,$AU$166),0)</f>
        <v>14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14</v>
      </c>
      <c r="BP168" s="190">
        <f>IF(BP122&gt;0,HLOOKUP(BP122,[1]Trav!$C$11:$O$31,$AU$166),0)</f>
        <v>14</v>
      </c>
      <c r="BQ168" s="190">
        <f>IF(BQ122&gt;0,HLOOKUP(BQ122,[1]Trav!$C$11:$O$31,$AU$166),0)</f>
        <v>14</v>
      </c>
      <c r="BR168" s="190">
        <f>IF(BR122&gt;0,HLOOKUP(BR122,[1]Trav!$C$11:$O$31,$AU$166),0)</f>
        <v>14</v>
      </c>
      <c r="BS168" s="190">
        <f>IF(BS122&gt;0,HLOOKUP(BS122,[1]Trav!$C$11:$O$31,$AU$166),0)</f>
        <v>14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160.917</v>
      </c>
      <c r="D169" s="263">
        <f t="shared" si="50"/>
        <v>154.49637157107233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7</v>
      </c>
      <c r="CV169" s="190">
        <f>IF(CV123&gt;0,HLOOKUP(CV123,[1]Trav!$C$11:$O$31,$AU$166),0)</f>
        <v>7</v>
      </c>
      <c r="CW169" s="190">
        <f>IF(CW123&gt;0,HLOOKUP(CW123,[1]Trav!$C$11:$O$31,$AU$166),0)</f>
        <v>7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123.92638257926959</v>
      </c>
      <c r="D170" s="263">
        <f t="shared" si="50"/>
        <v>118.98168901002191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93.121000000000009</v>
      </c>
      <c r="D171" s="263">
        <f t="shared" si="50"/>
        <v>89.405448877805497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159.5</v>
      </c>
      <c r="D172" s="263">
        <f t="shared" si="50"/>
        <v>153.1359102244389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36.990617420730416</v>
      </c>
      <c r="D173" s="263">
        <f t="shared" si="50"/>
        <v>35.5146825610504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77</v>
      </c>
      <c r="D174" s="263">
        <f t="shared" si="50"/>
        <v>73.927680798004985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-66.378999999999991</v>
      </c>
      <c r="D175" s="263">
        <f>C175*$D$82/$C$82</f>
        <v>-63.730461346633405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66.378999999999991</v>
      </c>
      <c r="D176" s="263">
        <f>C176*$D$82/$C$82</f>
        <v>63.730461346633405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77</v>
      </c>
      <c r="D178" s="173">
        <f>ROUND((D170+D171)/(D170+D172),2)*100</f>
        <v>77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28</v>
      </c>
      <c r="BB178" s="173">
        <f t="shared" si="98"/>
        <v>28</v>
      </c>
      <c r="BC178" s="173">
        <f t="shared" si="98"/>
        <v>28</v>
      </c>
      <c r="BD178" s="173">
        <f t="shared" si="98"/>
        <v>28</v>
      </c>
      <c r="BE178" s="173">
        <f t="shared" si="98"/>
        <v>28</v>
      </c>
      <c r="BF178" s="173">
        <f t="shared" si="98"/>
        <v>28</v>
      </c>
      <c r="BG178" s="173">
        <f t="shared" si="98"/>
        <v>35</v>
      </c>
      <c r="BH178" s="173">
        <f t="shared" si="98"/>
        <v>35</v>
      </c>
      <c r="BI178" s="173">
        <f t="shared" si="98"/>
        <v>35</v>
      </c>
      <c r="BJ178" s="173">
        <f t="shared" si="98"/>
        <v>35</v>
      </c>
      <c r="BK178" s="173">
        <f t="shared" si="98"/>
        <v>35</v>
      </c>
      <c r="BL178" s="173">
        <f t="shared" si="98"/>
        <v>35</v>
      </c>
      <c r="BM178" s="173">
        <f t="shared" si="98"/>
        <v>35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49</v>
      </c>
      <c r="CV178" s="173">
        <f t="shared" si="99"/>
        <v>42</v>
      </c>
      <c r="CW178" s="173">
        <f t="shared" si="99"/>
        <v>42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4317</v>
      </c>
      <c r="D183" s="264">
        <f>ROUND(D184*D185,0)</f>
        <v>4147</v>
      </c>
      <c r="E183" s="17" t="s">
        <v>1295</v>
      </c>
    </row>
    <row r="184" spans="1:132" x14ac:dyDescent="0.25">
      <c r="B184" s="14" t="s">
        <v>1296</v>
      </c>
      <c r="C184" s="173">
        <f>Protection!AK26</f>
        <v>18.7</v>
      </c>
      <c r="D184" s="265">
        <f>C184*D82/C82</f>
        <v>17.953865336658353</v>
      </c>
    </row>
    <row r="185" spans="1:132" x14ac:dyDescent="0.25">
      <c r="B185" s="14" t="s">
        <v>1297</v>
      </c>
      <c r="C185" s="173">
        <f>IF(C183=0,0,ROUND(C183/C184,0))</f>
        <v>231</v>
      </c>
      <c r="D185" s="173">
        <f>C185</f>
        <v>231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4</v>
      </c>
      <c r="D189" s="173">
        <f t="shared" si="101"/>
        <v>4</v>
      </c>
      <c r="AH189" s="15"/>
      <c r="AJ189" s="14" t="s">
        <v>1114</v>
      </c>
      <c r="AK189" s="30">
        <f>D189</f>
        <v>4</v>
      </c>
      <c r="AO189" s="173">
        <f>ROUND((([1]Protect!$B$5/[1]Protect!$B$11)+[1]Protect!$B$8)*AK189,0)</f>
        <v>3617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25.6</v>
      </c>
      <c r="D191" s="173">
        <f>C191</f>
        <v>25.6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1307</v>
      </c>
      <c r="C192" s="173">
        <f>(Travail!F83+Travail!F84)/8</f>
        <v>0.61250000000000004</v>
      </c>
      <c r="D192" s="266">
        <f>ROUND((D183/1000)*([1]Protect!$B$25*8/10+[1]Protect!$B$26),2)/8</f>
        <v>0.58625000000000005</v>
      </c>
      <c r="E192" s="17" t="s">
        <v>1308</v>
      </c>
      <c r="I192" s="5"/>
      <c r="AN192" s="14" t="s">
        <v>1117</v>
      </c>
      <c r="AO192" s="173">
        <f>SUM(AO189:AO191)</f>
        <v>3617</v>
      </c>
    </row>
    <row r="193" spans="1:43" x14ac:dyDescent="0.25">
      <c r="B193" s="14" t="s">
        <v>1309</v>
      </c>
      <c r="C193" s="173">
        <f>(Travail!F75+Travail!F76+Travail!F81)/8</f>
        <v>15.8125</v>
      </c>
      <c r="D193" s="173">
        <f>C193</f>
        <v>15.8125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1</v>
      </c>
      <c r="AK200" s="173">
        <f>IF(AJ200=0,0,[1]Protect!B76)</f>
        <v>7500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5647</v>
      </c>
      <c r="D206" s="261">
        <f>ROUND(C206*D$82/C$82,0)</f>
        <v>5422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3617</v>
      </c>
      <c r="AQ207" s="5"/>
    </row>
    <row r="208" spans="1:43" x14ac:dyDescent="0.25">
      <c r="B208" s="211" t="s">
        <v>987</v>
      </c>
      <c r="C208" s="173">
        <f>ROUND('Calcul éco'!J44,0)</f>
        <v>3901</v>
      </c>
      <c r="D208" s="261">
        <f>ROUND(C208*D$82/C$82,0)</f>
        <v>3745</v>
      </c>
      <c r="S208" s="14" t="s">
        <v>978</v>
      </c>
      <c r="T208" s="30">
        <f>L212</f>
        <v>55.897050374064833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3617</v>
      </c>
      <c r="AQ208" s="245"/>
    </row>
    <row r="209" spans="1:43" x14ac:dyDescent="0.25">
      <c r="B209" s="19" t="s">
        <v>989</v>
      </c>
      <c r="C209" s="173">
        <f>ROUND('Calcul éco'!J45,0)</f>
        <v>14782</v>
      </c>
      <c r="D209" s="264">
        <f>IF(Scénario!K9=0,0,ROUND(Z210,0))</f>
        <v>14620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5.8970503740648326</v>
      </c>
      <c r="Y209" s="190">
        <f>[1]Eco!$B$34</f>
        <v>70</v>
      </c>
      <c r="Z209" s="173">
        <f t="shared" si="105"/>
        <v>412.79352618453828</v>
      </c>
      <c r="AF209" s="5"/>
      <c r="AK209" s="14" t="s">
        <v>1135</v>
      </c>
      <c r="AL209" s="173">
        <f>IF(AO192&lt;SUM(AQ200:AQ204),AO192,SUM(AQ200:AQ204))</f>
        <v>3617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2894</v>
      </c>
      <c r="D210" s="264">
        <f>ROUND(AL207,0)</f>
        <v>3617</v>
      </c>
      <c r="E210" s="17" t="s">
        <v>1329</v>
      </c>
      <c r="K210" s="14" t="s">
        <v>990</v>
      </c>
      <c r="L210" s="173">
        <f>J221</f>
        <v>21.659850374064835</v>
      </c>
      <c r="Y210" s="40" t="s">
        <v>949</v>
      </c>
      <c r="Z210" s="62">
        <f>SUM(Z207:Z209)*IF(Scénario!K2="Exploit. Ind.",1,Scénario!K3)</f>
        <v>14619.793526184538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40313.199999999997</v>
      </c>
      <c r="D211" s="264">
        <f>ROUND(SUM(D201:D210),0)</f>
        <v>40072</v>
      </c>
      <c r="E211" s="17" t="s">
        <v>1331</v>
      </c>
      <c r="K211" s="40" t="s">
        <v>995</v>
      </c>
      <c r="L211" s="62">
        <f>L209+L210</f>
        <v>55.897050374064833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55.897050374064833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3"/>
      <c r="L216" s="223"/>
      <c r="AF216" s="5"/>
      <c r="AI216" s="14" t="s">
        <v>1140</v>
      </c>
      <c r="AJ216" s="173">
        <f>D183*[1]Protect!$B$17/100</f>
        <v>62.204999999999998</v>
      </c>
      <c r="AK216" s="173"/>
      <c r="AL216" s="173"/>
      <c r="AM216" s="173">
        <f>'Calcul éco'!W272</f>
        <v>6</v>
      </c>
      <c r="AN216" s="173">
        <f>AJ216*AM216</f>
        <v>373.23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2399.748</v>
      </c>
      <c r="D217" s="261">
        <f t="shared" si="106"/>
        <v>2304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18897.236999999997</v>
      </c>
      <c r="D218" s="261">
        <f t="shared" si="106"/>
        <v>18143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3617</v>
      </c>
      <c r="D219" s="261">
        <f t="shared" si="106"/>
        <v>3473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388.53</v>
      </c>
      <c r="D220" s="264">
        <f>SUM(AN215:AN219)</f>
        <v>373.23</v>
      </c>
      <c r="E220" s="17" t="s">
        <v>1345</v>
      </c>
      <c r="H220" s="14" t="s">
        <v>1000</v>
      </c>
      <c r="I220" s="30">
        <f>SUM(I216:I219)</f>
        <v>48</v>
      </c>
      <c r="J220" s="30">
        <f>SUM(J216:J219)</f>
        <v>46.084788029925186</v>
      </c>
    </row>
    <row r="221" spans="1:43" x14ac:dyDescent="0.25">
      <c r="B221" s="14" t="s">
        <v>1346</v>
      </c>
      <c r="C221" s="173">
        <f>ROUND(SUM(C216:C220),0)</f>
        <v>57549</v>
      </c>
      <c r="D221" s="264">
        <f>ROUND(SUM(D216:D220),0)</f>
        <v>55252</v>
      </c>
      <c r="E221" s="17" t="s">
        <v>1345</v>
      </c>
      <c r="H221" s="14" t="s">
        <v>1001</v>
      </c>
      <c r="I221" s="30">
        <f>I220*[1]Eco!$B$25</f>
        <v>22.56</v>
      </c>
      <c r="J221" s="30">
        <f>J220*[1]Eco!$B$25</f>
        <v>21.659850374064835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945.40000000000009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4147</v>
      </c>
      <c r="AL225" t="s">
        <v>1101</v>
      </c>
      <c r="AM225" s="173"/>
      <c r="AN225" s="173">
        <f>[1]Protect!$B$4</f>
        <v>6</v>
      </c>
      <c r="AO225" s="173">
        <f>AK225*AN225</f>
        <v>24882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24882</v>
      </c>
      <c r="AQ228" s="30">
        <f>IF(Scénario!K84=1,MIN(0.8*AO228,[1]Protect!$B$68),IF(Scénario!K84=2,MIN(0.8*AO228,[1]Protect!$B$67),0))</f>
        <v>19905.600000000002</v>
      </c>
      <c r="AR228" s="30">
        <f>AO228-AQ228</f>
        <v>4976.3999999999978</v>
      </c>
      <c r="AS228" s="30">
        <f>(1-Scénario!K127/100)*AR228</f>
        <v>4976.3999999999978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-133.57800000000006</v>
      </c>
      <c r="D230" s="261">
        <f t="shared" si="109"/>
        <v>-128</v>
      </c>
    </row>
    <row r="231" spans="1:49" x14ac:dyDescent="0.25">
      <c r="B231" s="14" t="s">
        <v>1083</v>
      </c>
      <c r="C231" s="173">
        <f>'Calcul éco'!J159</f>
        <v>-117.00000000000001</v>
      </c>
      <c r="D231" s="261">
        <f t="shared" si="109"/>
        <v>-112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-63.714000000000027</v>
      </c>
      <c r="D233" s="261">
        <f t="shared" si="109"/>
        <v>-61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3575.9320000000002</v>
      </c>
      <c r="D235" s="264">
        <f>(D191+D192)*8*[1]Eco!$B$106</f>
        <v>2226.8787000000002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49319</v>
      </c>
      <c r="D236" s="264">
        <f>ROUND(SUM(D222:D235),0)</f>
        <v>46972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35824.200000000012</v>
      </c>
      <c r="D237" s="264">
        <f>D194+D211-D221-D236</f>
        <v>36142</v>
      </c>
    </row>
    <row r="238" spans="1:49" x14ac:dyDescent="0.25">
      <c r="B238" s="211" t="s">
        <v>1090</v>
      </c>
      <c r="C238" s="173">
        <f>ROUND(C237/Scénario!$K$4,0)</f>
        <v>17912</v>
      </c>
      <c r="D238" s="264">
        <f>ROUND(D237/D83,0)</f>
        <v>18071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638.69640800783895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24186</v>
      </c>
      <c r="D241" s="268">
        <f>ROUND(D237-D239-D240,0)</f>
        <v>25142</v>
      </c>
    </row>
    <row r="242" spans="1:15" x14ac:dyDescent="0.25">
      <c r="B242" s="211" t="s">
        <v>1094</v>
      </c>
      <c r="C242" s="173">
        <f>ROUND(C241/Scénario!K4,0)</f>
        <v>12093</v>
      </c>
      <c r="D242" s="264">
        <f>ROUND(D241/D83,0)</f>
        <v>12571</v>
      </c>
    </row>
    <row r="243" spans="1:15" x14ac:dyDescent="0.25">
      <c r="B243" s="211" t="s">
        <v>1357</v>
      </c>
      <c r="C243" s="173">
        <f>'Calcul éco'!X237+'Calcul éco'!X240</f>
        <v>25902</v>
      </c>
      <c r="D243" s="173">
        <f>C243</f>
        <v>25902</v>
      </c>
    </row>
    <row r="244" spans="1:15" x14ac:dyDescent="0.25">
      <c r="B244" s="211" t="s">
        <v>1358</v>
      </c>
      <c r="C244" s="173">
        <f>'Calcul éco'!AA237+'Calcul éco'!AA240</f>
        <v>5180.3999999999978</v>
      </c>
      <c r="D244" s="173">
        <f>C244</f>
        <v>5180.3999999999978</v>
      </c>
    </row>
    <row r="245" spans="1:15" x14ac:dyDescent="0.25">
      <c r="A245" s="2" t="s">
        <v>1359</v>
      </c>
      <c r="B245" s="14" t="s">
        <v>568</v>
      </c>
      <c r="C245" s="270">
        <f>Travail!F5</f>
        <v>623</v>
      </c>
      <c r="D245" s="173">
        <f>C245</f>
        <v>623</v>
      </c>
    </row>
    <row r="246" spans="1:15" x14ac:dyDescent="0.25">
      <c r="B246" s="14" t="s">
        <v>601</v>
      </c>
      <c r="C246" s="270">
        <f>Travail!F6</f>
        <v>172.2</v>
      </c>
      <c r="D246" s="173">
        <f t="shared" ref="D246:D247" si="112">C246</f>
        <v>172.2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980.04139130434783</v>
      </c>
      <c r="D248" s="264">
        <f>ROUND(SUM(AV163:BS163),1)</f>
        <v>971.1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0</v>
      </c>
      <c r="D251" s="173">
        <f>C251</f>
        <v>0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96</v>
      </c>
      <c r="D252" s="173">
        <f t="shared" ref="D252:D253" si="113">C252</f>
        <v>96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16.763400000000001</v>
      </c>
      <c r="L258" s="190">
        <f>IF(K258&gt;[1]Trav!E121,[1]Trav!C121,[1]Trav!B121)</f>
        <v>7.2</v>
      </c>
      <c r="N258" s="274"/>
      <c r="O258">
        <f t="shared" si="114"/>
        <v>120.69648000000001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11.617000000000001</v>
      </c>
      <c r="L259" s="190">
        <f>IF(K259&gt;[1]Trav!E121,[1]Trav!C121,[1]Trav!B121)</f>
        <v>7.2</v>
      </c>
      <c r="N259" s="274"/>
      <c r="O259">
        <f t="shared" si="114"/>
        <v>83.642400000000009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1.863</v>
      </c>
      <c r="L261" s="190">
        <f>IF(K261&gt;[1]Trav!E122,[1]Trav!C122,[1]Trav!B122)</f>
        <v>4.4000000000000004</v>
      </c>
      <c r="M261" s="5"/>
      <c r="N261" s="274"/>
      <c r="O261">
        <f t="shared" si="114"/>
        <v>8.1972000000000005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126</v>
      </c>
      <c r="D267" s="264">
        <f t="shared" si="116"/>
        <v>121</v>
      </c>
    </row>
    <row r="268" spans="1:15" x14ac:dyDescent="0.25">
      <c r="B268" s="32" t="s">
        <v>791</v>
      </c>
      <c r="C268" s="270">
        <f>Travail!F56</f>
        <v>87</v>
      </c>
      <c r="D268" s="264">
        <f t="shared" si="116"/>
        <v>84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9</v>
      </c>
      <c r="D270" s="264">
        <f t="shared" si="116"/>
        <v>8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204.8</v>
      </c>
      <c r="D275" s="173">
        <f>C275</f>
        <v>204.8</v>
      </c>
    </row>
    <row r="276" spans="1:4" x14ac:dyDescent="0.25">
      <c r="A276" s="23"/>
      <c r="B276" s="32" t="s">
        <v>1369</v>
      </c>
      <c r="C276" s="270">
        <f>C192*8</f>
        <v>4.9000000000000004</v>
      </c>
      <c r="D276" s="264">
        <f>D192*8</f>
        <v>4.6900000000000004</v>
      </c>
    </row>
    <row r="277" spans="1:4" x14ac:dyDescent="0.25">
      <c r="B277" s="32" t="s">
        <v>1419</v>
      </c>
      <c r="C277" s="270">
        <f>Travail!F75+Travail!F81</f>
        <v>126.5</v>
      </c>
      <c r="D277" s="173">
        <f>C277</f>
        <v>126.5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4473</v>
      </c>
      <c r="D281" s="264">
        <f>ROUND(D245+D248+D251+D254+D257+D260+D261,0)</f>
        <v>4358</v>
      </c>
    </row>
    <row r="282" spans="1:4" x14ac:dyDescent="0.25">
      <c r="B282" s="14" t="s">
        <v>1372</v>
      </c>
      <c r="C282" s="173">
        <f>ROUND(C246+C249+C252+C255+C258,0)</f>
        <v>856</v>
      </c>
      <c r="D282" s="264">
        <f>ROUND(D246+D249+D252+D255+D258,0)</f>
        <v>853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14.71</v>
      </c>
      <c r="D284" s="173">
        <f>ROUND(D281/(Troupeau!$B$17*G63),2)</f>
        <v>14.93</v>
      </c>
    </row>
    <row r="285" spans="1:4" x14ac:dyDescent="0.25">
      <c r="B285" s="14" t="s">
        <v>1375</v>
      </c>
      <c r="C285" s="173">
        <f>IF(Troupeau!$C$17=0,0,ROUND(C282/Troupeau!$C$17,2))</f>
        <v>45.05</v>
      </c>
      <c r="D285" s="173">
        <f>IF(Troupeau!$C$17=0,0,ROUND(D282/Troupeau!$C$17*G63,2))</f>
        <v>43.1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5329</v>
      </c>
      <c r="D287" s="264">
        <f>SUM(D281:D283)</f>
        <v>5211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278</v>
      </c>
      <c r="D289" s="264">
        <f>SUM(D262:D271)</f>
        <v>270</v>
      </c>
    </row>
    <row r="290" spans="2:4" x14ac:dyDescent="0.25">
      <c r="B290" s="14" t="s">
        <v>1421</v>
      </c>
      <c r="C290" s="270">
        <f>C275+C276+C277</f>
        <v>336.20000000000005</v>
      </c>
      <c r="D290" s="277">
        <f>D275+D276+D277</f>
        <v>335.99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6543</v>
      </c>
      <c r="D292" s="264">
        <f>ROUND(SUM(D287:D291),0)</f>
        <v>6417</v>
      </c>
    </row>
    <row r="293" spans="2:4" x14ac:dyDescent="0.25">
      <c r="B293" s="14" t="s">
        <v>874</v>
      </c>
      <c r="C293" s="173">
        <f>ROUND(IF(Scénario!$K$129=1,SUM(C275:C280),SUM(C278:C280)),0)</f>
        <v>336</v>
      </c>
      <c r="D293" s="173">
        <f>ROUND(IF(Scénario!$K$129=1,SUM(D275:D280),SUM(D278:D280)),0)</f>
        <v>336</v>
      </c>
    </row>
    <row r="294" spans="2:4" x14ac:dyDescent="0.25">
      <c r="B294" s="14" t="s">
        <v>875</v>
      </c>
      <c r="C294" s="173">
        <f>ROUND((C292-C293)/C83,0)</f>
        <v>3104</v>
      </c>
      <c r="D294" s="173">
        <f>ROUND((D292-D293)/D83,0)</f>
        <v>3041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84.089275619269543</v>
      </c>
    </row>
    <row r="299" spans="2:4" x14ac:dyDescent="0.25">
      <c r="B299" s="14" t="s">
        <v>1451</v>
      </c>
      <c r="C299" s="173">
        <f>IF(Troupeau!$B$3="OL",CdTrp1!AA221,0)</f>
        <v>0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39.837106959999986</v>
      </c>
    </row>
    <row r="301" spans="2:4" x14ac:dyDescent="0.25">
      <c r="B301" s="14" t="s">
        <v>1453</v>
      </c>
      <c r="C301" s="173">
        <f>IF(Troupeau!$B$3="BV",CdTrp1!AA221,0)+IF(Troupeau!$C$3="BV",CdTrp2!AA221,0)</f>
        <v>17.670037999999998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0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25902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B9"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106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7" t="s">
        <v>2</v>
      </c>
      <c r="C1" s="297"/>
      <c r="D1" s="297" t="s">
        <v>0</v>
      </c>
      <c r="E1" s="297"/>
      <c r="F1" s="297" t="s">
        <v>1</v>
      </c>
      <c r="G1" s="297"/>
      <c r="H1" s="297" t="s">
        <v>3</v>
      </c>
      <c r="I1" s="297"/>
      <c r="J1" s="297" t="s">
        <v>4</v>
      </c>
      <c r="K1" s="297"/>
      <c r="L1" s="297" t="s">
        <v>5</v>
      </c>
      <c r="M1" s="297"/>
      <c r="N1" s="297" t="s">
        <v>6</v>
      </c>
      <c r="O1" s="297"/>
      <c r="P1" s="297" t="s">
        <v>7</v>
      </c>
      <c r="Q1" s="297"/>
      <c r="R1" s="297" t="s">
        <v>8</v>
      </c>
      <c r="S1" s="297"/>
      <c r="T1" s="297" t="s">
        <v>9</v>
      </c>
      <c r="U1" s="297"/>
      <c r="V1" s="297" t="s">
        <v>10</v>
      </c>
      <c r="W1" s="297"/>
      <c r="X1" s="297" t="s">
        <v>11</v>
      </c>
      <c r="Y1" s="297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36.984000000000002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648</v>
      </c>
      <c r="C73" s="64">
        <f t="shared" ref="C73:Y73" si="28">ROUND(SUM(C63:C72),0)</f>
        <v>642</v>
      </c>
      <c r="D73" s="64">
        <f t="shared" si="28"/>
        <v>575</v>
      </c>
      <c r="E73" s="64">
        <f t="shared" si="28"/>
        <v>320</v>
      </c>
      <c r="F73" s="64">
        <f t="shared" si="28"/>
        <v>352</v>
      </c>
      <c r="G73" s="64">
        <f t="shared" si="28"/>
        <v>351</v>
      </c>
      <c r="H73" s="64">
        <f t="shared" si="28"/>
        <v>338</v>
      </c>
      <c r="I73" s="64">
        <f t="shared" si="28"/>
        <v>337</v>
      </c>
      <c r="J73" s="64">
        <f t="shared" si="28"/>
        <v>390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347</v>
      </c>
      <c r="V73" s="64">
        <f t="shared" si="28"/>
        <v>629</v>
      </c>
      <c r="W73" s="64">
        <f t="shared" si="28"/>
        <v>627</v>
      </c>
      <c r="X73" s="64">
        <f t="shared" si="28"/>
        <v>648</v>
      </c>
      <c r="Y73" s="64">
        <f t="shared" si="28"/>
        <v>648</v>
      </c>
      <c r="Z73" s="52"/>
      <c r="AA73" s="56">
        <f>ROUND(SUM(B73:Y73),0)</f>
        <v>8040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1</v>
      </c>
      <c r="V77" s="60">
        <v>1</v>
      </c>
      <c r="W77" s="60">
        <v>1</v>
      </c>
      <c r="X77" s="60">
        <v>1</v>
      </c>
      <c r="Y77" s="60">
        <v>1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20.5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156">
        <v>0.8</v>
      </c>
      <c r="N123" s="156">
        <v>0.8</v>
      </c>
      <c r="O123" s="156">
        <v>0.8</v>
      </c>
      <c r="P123" s="156">
        <v>0.8</v>
      </c>
      <c r="Q123" s="156">
        <v>0.8</v>
      </c>
      <c r="R123" s="156">
        <v>0.8</v>
      </c>
      <c r="S123" s="156">
        <v>0.8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1.0789015513043476</v>
      </c>
      <c r="N136" s="61">
        <f t="shared" si="51"/>
        <v>1.1148649363478258</v>
      </c>
      <c r="O136" s="61">
        <f t="shared" si="51"/>
        <v>1.1148649363478258</v>
      </c>
      <c r="P136" s="61">
        <f t="shared" si="51"/>
        <v>1.1148649363478258</v>
      </c>
      <c r="Q136" s="61">
        <f t="shared" si="51"/>
        <v>1.1148649363478258</v>
      </c>
      <c r="R136" s="61">
        <f t="shared" si="51"/>
        <v>1.0789015513043476</v>
      </c>
      <c r="S136" s="61">
        <f t="shared" si="51"/>
        <v>1.0789015513043476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112.42783831464349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5.1224105739130437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120.61012784507828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132.67114062958612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4.3156062052173922</v>
      </c>
      <c r="N149" s="61">
        <f t="shared" si="55"/>
        <v>4.459459745391305</v>
      </c>
      <c r="O149" s="61">
        <f t="shared" si="55"/>
        <v>4.459459745391305</v>
      </c>
      <c r="P149" s="61">
        <f t="shared" si="55"/>
        <v>4.459459745391305</v>
      </c>
      <c r="Q149" s="61">
        <f t="shared" si="55"/>
        <v>4.459459745391305</v>
      </c>
      <c r="R149" s="61">
        <f t="shared" si="55"/>
        <v>4.3156062052173922</v>
      </c>
      <c r="S149" s="61">
        <f t="shared" si="55"/>
        <v>4.3156062052173922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0.96944278260869587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84.089275619269515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4.3156062052173922</v>
      </c>
      <c r="N162" s="61">
        <f t="shared" si="65"/>
        <v>4.459459745391305</v>
      </c>
      <c r="O162" s="61">
        <f t="shared" si="65"/>
        <v>4.459459745391305</v>
      </c>
      <c r="P162" s="61">
        <f t="shared" si="65"/>
        <v>4.459459745391305</v>
      </c>
      <c r="Q162" s="61">
        <f t="shared" si="65"/>
        <v>4.459459745391305</v>
      </c>
      <c r="R162" s="61">
        <f t="shared" si="65"/>
        <v>4.3156062052173922</v>
      </c>
      <c r="S162" s="61">
        <f t="shared" si="65"/>
        <v>4.3156062052173922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0.70843895652173916</v>
      </c>
      <c r="C163" s="61">
        <f t="shared" si="66"/>
        <v>0.70843895652173916</v>
      </c>
      <c r="D163" s="61">
        <f t="shared" si="66"/>
        <v>0.63988034782608705</v>
      </c>
      <c r="E163" s="61">
        <f t="shared" si="66"/>
        <v>0.63988034782608705</v>
      </c>
      <c r="F163" s="61">
        <f t="shared" si="66"/>
        <v>0.70843895652173916</v>
      </c>
      <c r="G163" s="61">
        <f t="shared" si="66"/>
        <v>0.70843895652173916</v>
      </c>
      <c r="H163" s="61">
        <f t="shared" si="66"/>
        <v>0.6855860869565219</v>
      </c>
      <c r="I163" s="61">
        <f t="shared" si="66"/>
        <v>0.6855860869565219</v>
      </c>
      <c r="J163" s="61">
        <f t="shared" si="66"/>
        <v>0.70843895652173916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0.70843895652173916</v>
      </c>
      <c r="V163" s="61">
        <f t="shared" si="66"/>
        <v>0.6855860869565219</v>
      </c>
      <c r="W163" s="61">
        <f t="shared" si="66"/>
        <v>0.6855860869565219</v>
      </c>
      <c r="X163" s="61">
        <f t="shared" si="66"/>
        <v>0.70843895652173916</v>
      </c>
      <c r="Y163" s="61">
        <f t="shared" si="66"/>
        <v>0.70843895652173916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0.96944278260869587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0.70843895652173916</v>
      </c>
      <c r="C172" s="61">
        <f t="shared" ref="C172:Y172" si="75">SUM(C162:C171)</f>
        <v>0.70843895652173916</v>
      </c>
      <c r="D172" s="61">
        <f t="shared" si="75"/>
        <v>0.63988034782608705</v>
      </c>
      <c r="E172" s="61">
        <f t="shared" si="75"/>
        <v>0.63988034782608705</v>
      </c>
      <c r="F172" s="61">
        <f t="shared" si="75"/>
        <v>0.70843895652173916</v>
      </c>
      <c r="G172" s="61">
        <f t="shared" si="75"/>
        <v>6.0856971450434791</v>
      </c>
      <c r="H172" s="61">
        <f t="shared" si="75"/>
        <v>5.8624216486956549</v>
      </c>
      <c r="I172" s="61">
        <f t="shared" si="75"/>
        <v>5.8354589634782617</v>
      </c>
      <c r="J172" s="61">
        <f t="shared" si="75"/>
        <v>5.9742513794782619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5.2537766400000008</v>
      </c>
      <c r="N172" s="61">
        <f t="shared" si="75"/>
        <v>5.4289025280000009</v>
      </c>
      <c r="O172" s="61">
        <f t="shared" si="75"/>
        <v>5.4289025280000009</v>
      </c>
      <c r="P172" s="61">
        <f t="shared" si="75"/>
        <v>5.4289025280000009</v>
      </c>
      <c r="Q172" s="61">
        <f t="shared" si="75"/>
        <v>5.4289025280000009</v>
      </c>
      <c r="R172" s="61">
        <f t="shared" si="75"/>
        <v>5.2537766400000008</v>
      </c>
      <c r="S172" s="61">
        <f t="shared" si="75"/>
        <v>5.2537766400000008</v>
      </c>
      <c r="T172" s="61">
        <f t="shared" si="75"/>
        <v>2.4143940950956533</v>
      </c>
      <c r="U172" s="61">
        <f t="shared" si="75"/>
        <v>3.5643055353043485</v>
      </c>
      <c r="V172" s="61">
        <f t="shared" si="75"/>
        <v>0.6855860869565219</v>
      </c>
      <c r="W172" s="61">
        <f t="shared" si="75"/>
        <v>0.6855860869565219</v>
      </c>
      <c r="X172" s="61">
        <f t="shared" si="75"/>
        <v>0.70843895652173916</v>
      </c>
      <c r="Y172" s="61">
        <f t="shared" si="75"/>
        <v>0.70843895652173916</v>
      </c>
      <c r="AA172" s="64">
        <f>SUM(B172:Y172)</f>
        <v>84.089275619269543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0.70843895652173916</v>
      </c>
      <c r="C215" s="61">
        <f t="shared" ref="C215:Y215" si="108">C172</f>
        <v>0.70843895652173916</v>
      </c>
      <c r="D215" s="61">
        <f t="shared" si="108"/>
        <v>0.63988034782608705</v>
      </c>
      <c r="E215" s="61">
        <f t="shared" si="108"/>
        <v>0.63988034782608705</v>
      </c>
      <c r="F215" s="61">
        <f t="shared" si="108"/>
        <v>0.70843895652173916</v>
      </c>
      <c r="G215" s="61">
        <f t="shared" si="108"/>
        <v>6.0856971450434791</v>
      </c>
      <c r="H215" s="61">
        <f t="shared" si="108"/>
        <v>5.8624216486956549</v>
      </c>
      <c r="I215" s="61">
        <f t="shared" si="108"/>
        <v>5.8354589634782617</v>
      </c>
      <c r="J215" s="61">
        <f t="shared" si="108"/>
        <v>5.9742513794782619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5.2537766400000008</v>
      </c>
      <c r="N215" s="61">
        <f t="shared" si="108"/>
        <v>5.4289025280000009</v>
      </c>
      <c r="O215" s="61">
        <f t="shared" si="108"/>
        <v>5.4289025280000009</v>
      </c>
      <c r="P215" s="61">
        <f t="shared" si="108"/>
        <v>5.4289025280000009</v>
      </c>
      <c r="Q215" s="61">
        <f t="shared" si="108"/>
        <v>5.4289025280000009</v>
      </c>
      <c r="R215" s="61">
        <f t="shared" si="108"/>
        <v>5.2537766400000008</v>
      </c>
      <c r="S215" s="61">
        <f t="shared" si="108"/>
        <v>5.2537766400000008</v>
      </c>
      <c r="T215" s="61">
        <f t="shared" si="108"/>
        <v>2.4143940950956533</v>
      </c>
      <c r="U215" s="61">
        <f t="shared" si="108"/>
        <v>3.5643055353043485</v>
      </c>
      <c r="V215" s="61">
        <f t="shared" si="108"/>
        <v>0.6855860869565219</v>
      </c>
      <c r="W215" s="61">
        <f t="shared" si="108"/>
        <v>0.6855860869565219</v>
      </c>
      <c r="X215" s="61">
        <f t="shared" si="108"/>
        <v>0.70843895652173916</v>
      </c>
      <c r="Y215" s="61">
        <f t="shared" si="108"/>
        <v>0.70843895652173916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84.089275619269543</v>
      </c>
      <c r="AB219" t="s">
        <v>222</v>
      </c>
    </row>
    <row r="220" spans="1:28" x14ac:dyDescent="0.25">
      <c r="AA220" s="30">
        <f>SUM(B215:Y217)</f>
        <v>84.089275619269543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186" activePane="bottomLeft" state="frozen"/>
      <selection pane="bottomLeft" activeCell="AC207" sqref="AC207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7" t="s">
        <v>2</v>
      </c>
      <c r="C1" s="297"/>
      <c r="D1" s="297" t="s">
        <v>0</v>
      </c>
      <c r="E1" s="297"/>
      <c r="F1" s="297" t="s">
        <v>1</v>
      </c>
      <c r="G1" s="297"/>
      <c r="H1" s="297" t="s">
        <v>3</v>
      </c>
      <c r="I1" s="297"/>
      <c r="J1" s="297" t="s">
        <v>4</v>
      </c>
      <c r="K1" s="297"/>
      <c r="L1" s="297" t="s">
        <v>5</v>
      </c>
      <c r="M1" s="297"/>
      <c r="N1" s="297" t="s">
        <v>6</v>
      </c>
      <c r="O1" s="297"/>
      <c r="P1" s="297" t="s">
        <v>7</v>
      </c>
      <c r="Q1" s="297"/>
      <c r="R1" s="297" t="s">
        <v>8</v>
      </c>
      <c r="S1" s="297"/>
      <c r="T1" s="297" t="s">
        <v>9</v>
      </c>
      <c r="U1" s="297"/>
      <c r="V1" s="297" t="s">
        <v>10</v>
      </c>
      <c r="W1" s="297"/>
      <c r="X1" s="297" t="s">
        <v>11</v>
      </c>
      <c r="Y1" s="297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1</v>
      </c>
      <c r="C53" s="60">
        <v>1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3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3</v>
      </c>
      <c r="G78" s="60">
        <v>2</v>
      </c>
      <c r="H78" s="60">
        <v>2</v>
      </c>
      <c r="I78" s="60">
        <v>2</v>
      </c>
      <c r="J78" s="60">
        <v>3</v>
      </c>
      <c r="K78" s="60">
        <v>2</v>
      </c>
      <c r="L78" s="60">
        <v>2</v>
      </c>
      <c r="M78" s="60">
        <v>2</v>
      </c>
      <c r="N78" s="60">
        <v>3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3</v>
      </c>
      <c r="V78" s="60">
        <v>2</v>
      </c>
      <c r="W78" s="60">
        <v>2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3.5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27.148296679999994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36.863547679999996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38.706725063999997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0.13399749999999999</v>
      </c>
      <c r="V172" s="61">
        <f t="shared" si="57"/>
        <v>5.1869999999999993E-2</v>
      </c>
      <c r="W172" s="61">
        <f t="shared" si="57"/>
        <v>2.5934999999999996E-2</v>
      </c>
      <c r="X172" s="61">
        <f t="shared" si="57"/>
        <v>0</v>
      </c>
      <c r="Y172" s="61">
        <f t="shared" si="57"/>
        <v>0</v>
      </c>
      <c r="AA172" s="64">
        <f>SUM(B172:Y172)</f>
        <v>4.5968391000000004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0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0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1.24488</v>
      </c>
      <c r="W177" s="61">
        <f t="shared" si="60"/>
        <v>1.24488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2.3305257499999996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0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1.24488</v>
      </c>
      <c r="W185" s="61">
        <f>SUM(CdTrp2!W175:W184)</f>
        <v>2.6701079999999999</v>
      </c>
      <c r="X185" s="61">
        <f>SUM(CdTrp2!X175:X184)</f>
        <v>0</v>
      </c>
      <c r="Y185" s="61">
        <f>SUM(CdTrp2!Y175:Y184)</f>
        <v>0</v>
      </c>
      <c r="AA185" s="64">
        <f>SUM(B185:Y185)</f>
        <v>26.066683299999998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1.3979363999999999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1.286376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1.286376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1.286376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1.286376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1.286376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1.286376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1.286376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2.61925944</v>
      </c>
      <c r="V198" s="61">
        <f t="shared" si="78"/>
        <v>1.3979363999999999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9.1735845599999983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2.2553475000000001</v>
      </c>
      <c r="M201" s="61">
        <f t="shared" si="79"/>
        <v>2.2553475000000001</v>
      </c>
      <c r="N201" s="61">
        <f t="shared" si="79"/>
        <v>2.3305257499999996</v>
      </c>
      <c r="O201" s="61">
        <f t="shared" si="79"/>
        <v>2.3305257499999996</v>
      </c>
      <c r="P201" s="61">
        <f t="shared" si="79"/>
        <v>2.3305257499999996</v>
      </c>
      <c r="Q201" s="61">
        <f t="shared" si="79"/>
        <v>2.3305257499999996</v>
      </c>
      <c r="R201" s="61">
        <f t="shared" si="79"/>
        <v>1.9186200000000002</v>
      </c>
      <c r="S201" s="61">
        <f t="shared" si="79"/>
        <v>1.9186200000000002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2.2553475000000001</v>
      </c>
      <c r="M211" s="61">
        <f t="shared" si="89"/>
        <v>2.2553475000000001</v>
      </c>
      <c r="N211" s="61">
        <f t="shared" si="89"/>
        <v>2.3305257499999996</v>
      </c>
      <c r="O211" s="61">
        <f t="shared" si="89"/>
        <v>2.3305257499999996</v>
      </c>
      <c r="P211" s="61">
        <f t="shared" si="89"/>
        <v>2.3305257499999996</v>
      </c>
      <c r="Q211" s="61">
        <f t="shared" si="89"/>
        <v>2.3305257499999996</v>
      </c>
      <c r="R211" s="61">
        <f t="shared" si="89"/>
        <v>1.9186200000000002</v>
      </c>
      <c r="S211" s="61">
        <f t="shared" si="89"/>
        <v>1.9186200000000002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17.670037999999998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0.13399749999999999</v>
      </c>
      <c r="V215" s="61">
        <f t="shared" si="90"/>
        <v>5.1869999999999993E-2</v>
      </c>
      <c r="W215" s="61">
        <f t="shared" si="90"/>
        <v>2.5934999999999996E-2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2.3305257499999996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0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1.24488</v>
      </c>
      <c r="W216" s="61">
        <f t="shared" si="91"/>
        <v>2.6701079999999999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1.286376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1.286376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1.286376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2.61925944</v>
      </c>
      <c r="V217" s="61">
        <f t="shared" si="92"/>
        <v>1.3979363999999999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2.2553475000000001</v>
      </c>
      <c r="M218" s="61">
        <f t="shared" si="93"/>
        <v>2.2553475000000001</v>
      </c>
      <c r="N218" s="61">
        <f t="shared" si="93"/>
        <v>2.3305257499999996</v>
      </c>
      <c r="O218" s="61">
        <f t="shared" si="93"/>
        <v>2.3305257499999996</v>
      </c>
      <c r="P218" s="61">
        <f t="shared" si="93"/>
        <v>2.3305257499999996</v>
      </c>
      <c r="Q218" s="61">
        <f t="shared" si="93"/>
        <v>2.3305257499999996</v>
      </c>
      <c r="R218" s="61">
        <f t="shared" si="93"/>
        <v>1.9186200000000002</v>
      </c>
      <c r="S218" s="61">
        <f t="shared" si="93"/>
        <v>1.9186200000000002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57.507144959999977</v>
      </c>
      <c r="AB219" t="s">
        <v>222</v>
      </c>
    </row>
    <row r="220" spans="1:28" x14ac:dyDescent="0.25">
      <c r="AA220" s="30">
        <f>SUM(B215:Y217)</f>
        <v>39.837106959999986</v>
      </c>
      <c r="AB220" t="s">
        <v>223</v>
      </c>
    </row>
    <row r="221" spans="1:28" x14ac:dyDescent="0.25">
      <c r="AA221" s="30">
        <f>SUM(B218:Y218)</f>
        <v>17.670037999999998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2023-01-12T16:25:52Z</dcterms:modified>
</cp:coreProperties>
</file>