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18" r:id="rId18"/>
  </pivotCaches>
</workbook>
</file>

<file path=xl/calcChain.xml><?xml version="1.0" encoding="utf-8"?>
<calcChain xmlns="http://schemas.openxmlformats.org/spreadsheetml/2006/main">
  <c r="AV5" i="29" l="1"/>
  <c r="AW5" i="29"/>
  <c r="AX5" i="29"/>
  <c r="AY5" i="29"/>
  <c r="AZ5" i="29"/>
  <c r="BD5" i="29"/>
  <c r="BE5" i="29" s="1"/>
  <c r="BF5" i="29" s="1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D22" i="29" s="1"/>
  <c r="BE22" i="29" s="1"/>
  <c r="BF22" i="29" s="1"/>
  <c r="AX22" i="29"/>
  <c r="AY22" i="29"/>
  <c r="AZ22" i="29"/>
  <c r="AV23" i="29"/>
  <c r="AW23" i="29"/>
  <c r="AX23" i="29"/>
  <c r="AY23" i="29"/>
  <c r="AZ23" i="29"/>
  <c r="BD23" i="29"/>
  <c r="BE23" i="29" s="1"/>
  <c r="BF23" i="29" s="1"/>
  <c r="AV24" i="29"/>
  <c r="AW24" i="29"/>
  <c r="AX24" i="29"/>
  <c r="AY24" i="29"/>
  <c r="AZ24" i="29"/>
  <c r="AV25" i="29"/>
  <c r="AW25" i="29"/>
  <c r="AX25" i="29"/>
  <c r="AY25" i="29"/>
  <c r="BD25" i="29" s="1"/>
  <c r="BE25" i="29" s="1"/>
  <c r="BF25" i="29" s="1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K22" i="29" l="1"/>
  <c r="BJ22" i="29"/>
  <c r="BG18" i="29"/>
  <c r="BI18" i="29"/>
  <c r="BJ18" i="29"/>
  <c r="BK18" i="29"/>
  <c r="BL18" i="29"/>
  <c r="BI17" i="29"/>
  <c r="BJ17" i="29"/>
  <c r="BK17" i="29"/>
  <c r="BL17" i="29"/>
  <c r="BG17" i="29"/>
  <c r="BJ23" i="29"/>
  <c r="BK23" i="29"/>
  <c r="BL23" i="29"/>
  <c r="BI23" i="29"/>
  <c r="BH23" i="29"/>
  <c r="BL21" i="29"/>
  <c r="BK21" i="29"/>
  <c r="BG21" i="29"/>
  <c r="BH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I15" i="29"/>
  <c r="BH25" i="29"/>
  <c r="BJ25" i="29"/>
  <c r="BK25" i="29"/>
  <c r="BL25" i="29"/>
  <c r="BG25" i="29"/>
  <c r="BL13" i="29"/>
  <c r="BK13" i="29"/>
  <c r="BG13" i="29"/>
  <c r="BI13" i="29"/>
  <c r="BJ13" i="29"/>
  <c r="BG12" i="29"/>
  <c r="BK6" i="29"/>
  <c r="BG6" i="29"/>
  <c r="BH6" i="29"/>
  <c r="BJ6" i="29"/>
  <c r="BI6" i="29"/>
  <c r="BL5" i="29"/>
  <c r="BG5" i="29"/>
  <c r="BH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D16" i="29"/>
  <c r="BE16" i="29" s="1"/>
  <c r="BF16" i="29" s="1"/>
  <c r="BJ16" i="29" s="1"/>
  <c r="BD8" i="29"/>
  <c r="BE8" i="29" s="1"/>
  <c r="BF8" i="29" s="1"/>
  <c r="BJ8" i="29" s="1"/>
  <c r="BH27" i="29"/>
  <c r="BL30" i="29"/>
  <c r="BL22" i="29"/>
  <c r="BL14" i="29"/>
  <c r="BL6" i="29"/>
  <c r="BK8" i="29" l="1"/>
  <c r="BJ24" i="29"/>
  <c r="BK16" i="29"/>
  <c r="BK11" i="29"/>
  <c r="BL24" i="29"/>
  <c r="BL8" i="29"/>
  <c r="BI11" i="29"/>
  <c r="BG16" i="29"/>
  <c r="BG11" i="29"/>
  <c r="BL19" i="29"/>
  <c r="BI16" i="29"/>
  <c r="BJ11" i="29"/>
  <c r="BG8" i="29"/>
  <c r="BG19" i="29"/>
  <c r="BL16" i="29"/>
  <c r="BK19" i="29"/>
  <c r="BK24" i="29"/>
  <c r="BI19" i="29"/>
  <c r="BH8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I142" i="31"/>
  <c r="AH142" i="31"/>
  <c r="AI139" i="31"/>
  <c r="AH139" i="31"/>
  <c r="AI136" i="31"/>
  <c r="AH136" i="31"/>
  <c r="AI133" i="31"/>
  <c r="AH133" i="31"/>
  <c r="AI130" i="31"/>
  <c r="AH130" i="31"/>
  <c r="AI127" i="31"/>
  <c r="AH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CT108" i="30" s="1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J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1" i="29"/>
  <c r="U31" i="29"/>
  <c r="M31" i="29"/>
  <c r="L31" i="29"/>
  <c r="K31" i="29"/>
  <c r="J31" i="29"/>
  <c r="I31" i="29"/>
  <c r="C31" i="29"/>
  <c r="Z30" i="29"/>
  <c r="Y30" i="29"/>
  <c r="V30" i="29"/>
  <c r="U30" i="29"/>
  <c r="M30" i="29"/>
  <c r="L30" i="29"/>
  <c r="K30" i="29"/>
  <c r="J30" i="29"/>
  <c r="I30" i="29"/>
  <c r="D30" i="29"/>
  <c r="C30" i="29"/>
  <c r="Z29" i="29"/>
  <c r="Y29" i="29"/>
  <c r="V29" i="29"/>
  <c r="U29" i="29"/>
  <c r="M29" i="29"/>
  <c r="L29" i="29"/>
  <c r="K29" i="29"/>
  <c r="J29" i="29"/>
  <c r="I29" i="29"/>
  <c r="D29" i="29"/>
  <c r="C29" i="29"/>
  <c r="C10" i="29"/>
  <c r="K9" i="29"/>
  <c r="J9" i="29"/>
  <c r="I9" i="29"/>
  <c r="F9" i="29"/>
  <c r="E9" i="29"/>
  <c r="D9" i="29"/>
  <c r="C9" i="29"/>
  <c r="K8" i="29"/>
  <c r="J8" i="29"/>
  <c r="I8" i="29"/>
  <c r="F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CH87" i="30" l="1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CM106" i="30"/>
  <c r="AZ106" i="30"/>
  <c r="CU106" i="30"/>
  <c r="BA106" i="30"/>
  <c r="BI106" i="30"/>
  <c r="CN106" i="30"/>
  <c r="CV107" i="30"/>
  <c r="CF108" i="30"/>
  <c r="CV108" i="30"/>
  <c r="BB106" i="30"/>
  <c r="BJ106" i="30"/>
  <c r="CO106" i="30"/>
  <c r="CW107" i="30"/>
  <c r="CG108" i="30"/>
  <c r="CW108" i="30"/>
  <c r="BC106" i="30"/>
  <c r="BK106" i="30"/>
  <c r="CH106" i="30"/>
  <c r="CP106" i="30"/>
  <c r="CH107" i="30"/>
  <c r="CH108" i="30"/>
  <c r="CP108" i="30"/>
  <c r="BD106" i="30"/>
  <c r="BL106" i="30"/>
  <c r="CI106" i="30"/>
  <c r="CQ106" i="30"/>
  <c r="CI107" i="30"/>
  <c r="CI108" i="30"/>
  <c r="CQ108" i="30"/>
  <c r="BE106" i="30"/>
  <c r="BM106" i="30"/>
  <c r="CJ106" i="30"/>
  <c r="CR106" i="30"/>
  <c r="CJ107" i="30"/>
  <c r="CJ108" i="30"/>
  <c r="CR108" i="30"/>
  <c r="BF106" i="30"/>
  <c r="BN106" i="30"/>
  <c r="CK106" i="30"/>
  <c r="CS106" i="30"/>
  <c r="CK107" i="30"/>
  <c r="CK108" i="30"/>
  <c r="CS108" i="30"/>
  <c r="AY106" i="30"/>
  <c r="BG106" i="30"/>
  <c r="BO106" i="30"/>
  <c r="CL106" i="30"/>
  <c r="CT106" i="30"/>
  <c r="CL107" i="30"/>
  <c r="CT107" i="30"/>
  <c r="CD108" i="30"/>
  <c r="CL108" i="30"/>
  <c r="R8" i="7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1" i="33"/>
  <c r="CM89" i="33" l="1"/>
  <c r="BI89" i="33"/>
  <c r="BJ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BD27" i="30" s="1"/>
  <c r="AU26" i="30"/>
  <c r="E22" i="30"/>
  <c r="E21" i="30"/>
  <c r="E20" i="30"/>
  <c r="E18" i="30"/>
  <c r="C18" i="30"/>
  <c r="B18" i="30"/>
  <c r="E17" i="30"/>
  <c r="C17" i="30"/>
  <c r="B17" i="30"/>
  <c r="D17" i="30" s="1"/>
  <c r="E16" i="30"/>
  <c r="C16" i="30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X91" i="30" s="1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B93" i="30" s="1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O92" i="30" s="1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B91" i="30" s="1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Q93" i="30"/>
  <c r="BP93" i="30"/>
  <c r="BO93" i="30"/>
  <c r="BM93" i="30"/>
  <c r="BK93" i="30"/>
  <c r="BI93" i="30"/>
  <c r="BH93" i="30"/>
  <c r="BG93" i="30"/>
  <c r="BE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S91" i="30"/>
  <c r="BR91" i="30"/>
  <c r="BQ91" i="30"/>
  <c r="BP91" i="30"/>
  <c r="BO91" i="30"/>
  <c r="BM91" i="30"/>
  <c r="BI91" i="30"/>
  <c r="BH91" i="30"/>
  <c r="BG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F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C20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BG27" i="30" l="1"/>
  <c r="BL27" i="30"/>
  <c r="BN27" i="30"/>
  <c r="AV27" i="30"/>
  <c r="BO27" i="30"/>
  <c r="AX27" i="30"/>
  <c r="AY27" i="30"/>
  <c r="AG127" i="31"/>
  <c r="AG145" i="31"/>
  <c r="AG142" i="31"/>
  <c r="AG136" i="31"/>
  <c r="AG133" i="31"/>
  <c r="AG130" i="31"/>
  <c r="AG139" i="31"/>
  <c r="W136" i="31"/>
  <c r="AF127" i="31"/>
  <c r="AF142" i="31"/>
  <c r="AF136" i="31"/>
  <c r="AF130" i="31"/>
  <c r="AF145" i="31"/>
  <c r="AF139" i="31"/>
  <c r="AF133" i="31"/>
  <c r="U133" i="31"/>
  <c r="U137" i="31"/>
  <c r="U132" i="31"/>
  <c r="U136" i="31"/>
  <c r="L114" i="31" s="1"/>
  <c r="U135" i="31"/>
  <c r="U134" i="31"/>
  <c r="D16" i="30"/>
  <c r="F16" i="30" s="1"/>
  <c r="AK191" i="33" s="1"/>
  <c r="AO191" i="33" s="1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8" i="29" s="1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BP99" i="30" s="1"/>
  <c r="BP100" i="30" s="1"/>
  <c r="BP101" i="30" s="1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O8" i="29" s="1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4" i="29"/>
  <c r="P3" i="29"/>
  <c r="P8" i="29" s="1"/>
  <c r="X26" i="29"/>
  <c r="X30" i="29" s="1"/>
  <c r="X25" i="29"/>
  <c r="X29" i="29" s="1"/>
  <c r="H5" i="29"/>
  <c r="H9" i="29" s="1"/>
  <c r="H20" i="29"/>
  <c r="H4" i="29"/>
  <c r="H3" i="29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T8" i="29" s="1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20" i="29"/>
  <c r="E21" i="29" s="1"/>
  <c r="E7" i="29" s="1"/>
  <c r="E12" i="29" s="1"/>
  <c r="M4" i="29"/>
  <c r="M5" i="29"/>
  <c r="M9" i="29" s="1"/>
  <c r="M3" i="29"/>
  <c r="M8" i="29" s="1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25" i="29"/>
  <c r="U26" i="29"/>
  <c r="U25" i="29"/>
  <c r="C3" i="29"/>
  <c r="C201" i="29" s="1"/>
  <c r="S25" i="29"/>
  <c r="S29" i="29" s="1"/>
  <c r="F5" i="29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N8" i="29" s="1"/>
  <c r="V5" i="29"/>
  <c r="V9" i="29" s="1"/>
  <c r="V20" i="29"/>
  <c r="V21" i="29" s="1"/>
  <c r="V7" i="29" s="1"/>
  <c r="V12" i="29" s="1"/>
  <c r="V4" i="29"/>
  <c r="V3" i="29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R8" i="29" s="1"/>
  <c r="Z3" i="29"/>
  <c r="Z8" i="29" s="1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W26" i="30"/>
  <c r="CW60" i="30" s="1"/>
  <c r="CW106" i="30" s="1"/>
  <c r="CH26" i="30"/>
  <c r="CH60" i="30" s="1"/>
  <c r="CX26" i="30"/>
  <c r="CX71" i="30" s="1"/>
  <c r="CP26" i="30"/>
  <c r="CP60" i="30" s="1"/>
  <c r="CI26" i="30"/>
  <c r="CI71" i="30" s="1"/>
  <c r="CQ26" i="30"/>
  <c r="CQ60" i="30" s="1"/>
  <c r="CY26" i="30"/>
  <c r="CJ26" i="30"/>
  <c r="CJ60" i="30" s="1"/>
  <c r="CR26" i="30"/>
  <c r="CR60" i="30" s="1"/>
  <c r="CB26" i="30"/>
  <c r="CB71" i="30" s="1"/>
  <c r="CL26" i="30"/>
  <c r="CL71" i="30" s="1"/>
  <c r="CC26" i="30"/>
  <c r="CK26" i="30"/>
  <c r="CK71" i="30" s="1"/>
  <c r="CS26" i="30"/>
  <c r="CS60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D28" i="30"/>
  <c r="CL28" i="30"/>
  <c r="CL62" i="30" s="1"/>
  <c r="CT28" i="30"/>
  <c r="CT62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8" i="31"/>
  <c r="U258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P21" i="29"/>
  <c r="P7" i="29" s="1"/>
  <c r="P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C33" i="29" s="1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C191" i="33" l="1"/>
  <c r="T256" i="31"/>
  <c r="U256" i="31" s="1"/>
  <c r="T257" i="31"/>
  <c r="U257" i="31" s="1"/>
  <c r="T260" i="31"/>
  <c r="U260" i="31" s="1"/>
  <c r="U8" i="29"/>
  <c r="U201" i="29" s="1"/>
  <c r="Q8" i="29"/>
  <c r="Q201" i="29" s="1"/>
  <c r="L8" i="29"/>
  <c r="L201" i="29" s="1"/>
  <c r="AF187" i="31"/>
  <c r="H8" i="29"/>
  <c r="W8" i="29"/>
  <c r="W201" i="29" s="1"/>
  <c r="V8" i="29"/>
  <c r="V201" i="29" s="1"/>
  <c r="Y8" i="29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E201" i="29"/>
  <c r="E212" i="29" s="1"/>
  <c r="N201" i="29"/>
  <c r="P201" i="29"/>
  <c r="I201" i="29"/>
  <c r="M201" i="29"/>
  <c r="K201" i="29"/>
  <c r="U167" i="28"/>
  <c r="V167" i="28"/>
  <c r="W167" i="28"/>
  <c r="AF188" i="28"/>
  <c r="V188" i="28"/>
  <c r="W188" i="28"/>
  <c r="AN215" i="33"/>
  <c r="C6" i="29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Z201" i="29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Y201" i="29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F201" i="29"/>
  <c r="H201" i="29"/>
  <c r="G201" i="29"/>
  <c r="CL60" i="30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S57" i="29"/>
  <c r="AE177" i="31"/>
  <c r="U172" i="31"/>
  <c r="CI60" i="30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BD81" i="30" l="1"/>
  <c r="S64" i="29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BD85" i="30" s="1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BD86" i="30" l="1"/>
  <c r="BD87" i="30"/>
  <c r="AW87" i="30"/>
  <c r="AW86" i="30"/>
  <c r="AX87" i="30"/>
  <c r="AX86" i="30"/>
  <c r="AV87" i="30"/>
  <c r="AV86" i="30"/>
  <c r="AY86" i="30"/>
  <c r="AY87" i="30"/>
  <c r="BB86" i="30"/>
  <c r="BB87" i="30"/>
  <c r="AZ87" i="30"/>
  <c r="AZ86" i="30"/>
  <c r="BC86" i="30"/>
  <c r="BC87" i="30"/>
  <c r="BA87" i="30"/>
  <c r="BA86" i="30"/>
  <c r="CY86" i="30"/>
  <c r="CY87" i="30"/>
  <c r="CX87" i="30"/>
  <c r="CX86" i="30"/>
  <c r="CF86" i="30"/>
  <c r="CF87" i="30"/>
  <c r="CE86" i="30"/>
  <c r="CE87" i="30"/>
  <c r="CD87" i="30"/>
  <c r="CD86" i="30"/>
  <c r="CC87" i="30"/>
  <c r="CC86" i="30"/>
  <c r="CB86" i="30"/>
  <c r="CB87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J154" i="31" l="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W76" i="33" l="1"/>
  <c r="AW152" i="33"/>
  <c r="AX76" i="33"/>
  <c r="AX152" i="33"/>
  <c r="AY78" i="33"/>
  <c r="AY154" i="33"/>
  <c r="BD78" i="33"/>
  <c r="BD154" i="33"/>
  <c r="BC78" i="33"/>
  <c r="BC154" i="33"/>
  <c r="BD76" i="33"/>
  <c r="BD152" i="33"/>
  <c r="BR76" i="33"/>
  <c r="BR152" i="33"/>
  <c r="AZ78" i="33"/>
  <c r="AZ154" i="33"/>
  <c r="AV76" i="33"/>
  <c r="AV152" i="33"/>
  <c r="AY76" i="33"/>
  <c r="AY152" i="33"/>
  <c r="BB78" i="33"/>
  <c r="BB154" i="33"/>
  <c r="BB76" i="33"/>
  <c r="BB152" i="33"/>
  <c r="AZ76" i="33"/>
  <c r="AZ152" i="33"/>
  <c r="BC76" i="33"/>
  <c r="BC152" i="33"/>
  <c r="BA78" i="33"/>
  <c r="BA154" i="33"/>
  <c r="BP78" i="33"/>
  <c r="BP154" i="33"/>
  <c r="BS76" i="33"/>
  <c r="BS152" i="33"/>
  <c r="BQ78" i="33"/>
  <c r="BQ154" i="33"/>
  <c r="AX78" i="33"/>
  <c r="AX154" i="33"/>
  <c r="AW78" i="33"/>
  <c r="AW154" i="33"/>
  <c r="BA76" i="33"/>
  <c r="BA152" i="33"/>
  <c r="BS78" i="33"/>
  <c r="BS154" i="33"/>
  <c r="AV78" i="33"/>
  <c r="AV154" i="33"/>
  <c r="BQ76" i="33"/>
  <c r="BQ152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P76" i="33" l="1"/>
  <c r="BP152" i="33"/>
  <c r="BP160" i="33" s="1"/>
  <c r="BP161" i="33" s="1"/>
  <c r="BP162" i="33" s="1"/>
  <c r="BO76" i="33"/>
  <c r="BO152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J146" i="33" l="1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Y148" i="33" l="1"/>
  <c r="CE147" i="33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6" i="30" l="1"/>
  <c r="BQ87" i="30"/>
  <c r="BR86" i="30"/>
  <c r="BR87" i="30"/>
  <c r="BS86" i="30"/>
  <c r="BS87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D203" i="29"/>
  <c r="AJ5" i="29" s="1"/>
  <c r="X249" i="31" s="1"/>
  <c r="BO102" i="30"/>
  <c r="Z9" i="30" s="1"/>
  <c r="Z13" i="30" s="1"/>
  <c r="F13" i="30" s="1"/>
  <c r="B39" i="18"/>
  <c r="AK227" i="33" l="1"/>
  <c r="AO227" i="33" s="1"/>
  <c r="AJ219" i="33"/>
  <c r="AN219" i="33" s="1"/>
  <c r="AJ218" i="33"/>
  <c r="AN218" i="33" s="1"/>
  <c r="AK226" i="33"/>
  <c r="AO226" i="33" s="1"/>
  <c r="B81" i="30"/>
  <c r="F81" i="30" s="1"/>
  <c r="B114" i="30" s="1"/>
  <c r="F76" i="30"/>
  <c r="F75" i="30"/>
  <c r="T245" i="31"/>
  <c r="F77" i="30"/>
  <c r="B129" i="30" s="1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X245" i="31" l="1"/>
  <c r="C189" i="33"/>
  <c r="D189" i="33" s="1"/>
  <c r="AK189" i="33" s="1"/>
  <c r="AO189" i="33" s="1"/>
  <c r="AO192" i="33" s="1"/>
  <c r="C277" i="33"/>
  <c r="D277" i="33" s="1"/>
  <c r="C193" i="33"/>
  <c r="D193" i="33" s="1"/>
  <c r="C278" i="33"/>
  <c r="B113" i="30"/>
  <c r="B125" i="30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Q162" i="24"/>
  <c r="P162" i="24"/>
  <c r="O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8" i="33" l="1"/>
  <c r="D291" i="33" s="1"/>
  <c r="C291" i="33"/>
  <c r="AL208" i="33"/>
  <c r="AL209" i="33"/>
  <c r="AL207" i="33" s="1"/>
  <c r="D210" i="33" s="1"/>
  <c r="X248" i="31"/>
  <c r="J141" i="31"/>
  <c r="C219" i="33" s="1"/>
  <c r="D219" i="33" s="1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F176" i="24" l="1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N185" i="24" s="1"/>
  <c r="N216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88" i="24" s="1"/>
  <c r="T198" i="24" s="1"/>
  <c r="T217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D217" i="33" l="1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V185" i="24" l="1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U23" i="7" l="1"/>
  <c r="BC25" i="29" s="1"/>
  <c r="T6" i="7"/>
  <c r="BB8" i="29" s="1"/>
  <c r="BI8" i="29" s="1"/>
  <c r="T7" i="7"/>
  <c r="BB9" i="29" s="1"/>
  <c r="BI9" i="29" s="1"/>
  <c r="T15" i="7"/>
  <c r="BB17" i="29" s="1"/>
  <c r="BH17" i="29" s="1"/>
  <c r="T10" i="7"/>
  <c r="BB12" i="29" s="1"/>
  <c r="BH12" i="29" s="1"/>
  <c r="V22" i="7"/>
  <c r="T22" i="7"/>
  <c r="BB24" i="29" s="1"/>
  <c r="BI24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S22" i="7"/>
  <c r="BA24" i="29" s="1"/>
  <c r="R22" i="7"/>
  <c r="R12" i="7"/>
  <c r="S12" i="7"/>
  <c r="BA14" i="29" s="1"/>
  <c r="R11" i="7"/>
  <c r="S11" i="7"/>
  <c r="BA13" i="29" s="1"/>
  <c r="R15" i="7"/>
  <c r="S15" i="7"/>
  <c r="BA17" i="29" s="1"/>
  <c r="R23" i="7"/>
  <c r="S23" i="7"/>
  <c r="BA25" i="29" s="1"/>
  <c r="U35" i="7"/>
  <c r="M25" i="7"/>
  <c r="T3" i="7"/>
  <c r="BB5" i="29" s="1"/>
  <c r="BI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BI25" i="29" s="1"/>
  <c r="U15" i="7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21" i="7"/>
  <c r="T21" i="7"/>
  <c r="BB23" i="29" s="1"/>
  <c r="BG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BI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BG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C183" i="33" l="1"/>
  <c r="T234" i="31"/>
  <c r="T272" i="31" s="1"/>
  <c r="X272" i="31" s="1"/>
  <c r="J142" i="31" s="1"/>
  <c r="C220" i="33" s="1"/>
  <c r="B83" i="30"/>
  <c r="F83" i="30" s="1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X234" i="31" l="1"/>
  <c r="C307" i="33" s="1"/>
  <c r="F84" i="30"/>
  <c r="C192" i="33" s="1"/>
  <c r="B167" i="31"/>
  <c r="J167" i="31" s="1"/>
  <c r="C185" i="33"/>
  <c r="D185" i="33" s="1"/>
  <c r="D184" i="33"/>
  <c r="C276" i="33"/>
  <c r="C293" i="33" s="1"/>
  <c r="B115" i="30"/>
  <c r="B126" i="30" s="1"/>
  <c r="X237" i="3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D183" i="33" l="1"/>
  <c r="AJ216" i="33" s="1"/>
  <c r="AN216" i="33" s="1"/>
  <c r="D220" i="33" s="1"/>
  <c r="C235" i="33"/>
  <c r="C236" i="33" s="1"/>
  <c r="J170" i="31"/>
  <c r="C243" i="33"/>
  <c r="D243" i="33" s="1"/>
  <c r="Z237" i="31"/>
  <c r="AA237" i="31" s="1"/>
  <c r="C244" i="33" s="1"/>
  <c r="BR39" i="23"/>
  <c r="H93" i="23" s="1"/>
  <c r="H95" i="2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Q228" i="33" l="1"/>
  <c r="AR228" i="33" s="1"/>
  <c r="AS228" i="33" s="1"/>
  <c r="AT228" i="33" s="1"/>
  <c r="AW228" i="33" s="1"/>
  <c r="D240" i="33" s="1"/>
  <c r="D276" i="33"/>
  <c r="D244" i="33"/>
  <c r="AB237" i="31"/>
  <c r="AC237" i="31" s="1"/>
  <c r="AF237" i="31" s="1"/>
  <c r="B178" i="31" s="1"/>
  <c r="C240" i="33" s="1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D290" i="33" l="1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<sst xmlns="http://schemas.openxmlformats.org/spreadsheetml/2006/main" count="3098" uniqueCount="1464">
  <si>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</si>
  <si>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</si>
  <si>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</si>
  <si>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</si>
  <si>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</si>
  <si>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</si>
  <si>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</si>
  <si>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</si>
  <si>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</si>
  <si>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</si>
  <si>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</si>
  <si>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</si>
  <si>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</si>
  <si>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</si>
  <si>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</si>
  <si>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</si>
  <si>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</si>
  <si>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</si>
  <si>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</si>
  <si>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</si>
  <si>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</si>
  <si>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</si>
  <si>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</si>
  <si>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</si>
  <si>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</si>
  <si>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</si>
  <si>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</si>
  <si>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</si>
  <si>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</si>
  <si>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</si>
  <si>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</si>
  <si>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</si>
  <si>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</si>
  <si>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</si>
  <si>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</si>
  <si>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</si>
  <si>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</si>
  <si>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</si>
  <si>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</si>
  <si>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</si>
  <si>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</si>
  <si>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</si>
  <si>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</si>
  <si>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</si>
  <si>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</si>
  <si>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</si>
  <si>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</si>
  <si>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</si>
  <si>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</si>
  <si>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</si>
  <si>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</si>
  <si>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</si>
  <si>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</si>
  <si>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</si>
  <si>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</si>
  <si>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</si>
  <si>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</si>
  <si>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</si>
  <si>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</si>
  <si>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</si>
  <si>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</si>
  <si>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</si>
  <si>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</si>
  <si>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</si>
  <si>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</si>
  <si>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</si>
  <si>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</si>
  <si>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</si>
  <si>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</si>
  <si>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</si>
  <si>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</si>
  <si>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</si>
  <si>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</si>
  <si>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</si>
  <si>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</si>
  <si>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</si>
  <si>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</si>
  <si>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</si>
  <si>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</si>
  <si>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</si>
  <si>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</si>
  <si>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</si>
  <si>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</si>
  <si>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</si>
  <si>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</si>
  <si>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</si>
  <si>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</si>
  <si>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</si>
  <si>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</si>
  <si>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</si>
  <si>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</si>
  <si>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</si>
  <si>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</si>
  <si>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</si>
  <si>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</si>
  <si>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</si>
  <si>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</si>
  <si>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</si>
  <si>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</si>
  <si>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</si>
  <si>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</si>
  <si>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</si>
  <si>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</si>
  <si>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</si>
  <si>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</si>
  <si>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</si>
  <si>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</si>
  <si>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</si>
  <si>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</si>
  <si>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</si>
  <si>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</si>
  <si>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</si>
  <si>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</si>
  <si>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</si>
  <si>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</si>
  <si>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</si>
  <si>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</si>
  <si>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</si>
  <si>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</si>
  <si>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</si>
  <si>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</si>
  <si>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</si>
  <si>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</si>
  <si>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</si>
  <si>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</si>
  <si>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</si>
  <si>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</si>
  <si>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</si>
  <si>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</si>
  <si>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</si>
  <si>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</si>
  <si>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</si>
  <si>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</si>
  <si>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</si>
  <si>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</si>
  <si>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</si>
  <si>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</si>
  <si>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</si>
  <si>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</si>
  <si>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</si>
  <si>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</si>
  <si>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</si>
  <si>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</si>
  <si>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</si>
  <si>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</si>
  <si>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</si>
  <si>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</si>
  <si>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</si>
  <si>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</si>
  <si>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</si>
  <si>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</si>
  <si>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</si>
  <si>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</si>
  <si>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</si>
  <si>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</si>
  <si>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</si>
  <si>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</si>
  <si>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</si>
  <si>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</si>
  <si>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</si>
  <si>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</si>
  <si>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</si>
  <si>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</si>
  <si>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</si>
  <si>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</si>
  <si>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</si>
  <si>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</si>
  <si>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</si>
  <si>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</si>
  <si>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</si>
  <si>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</si>
  <si>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</si>
  <si>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</si>
  <si>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</si>
  <si>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</si>
  <si>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</si>
  <si>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</si>
  <si>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</si>
  <si>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</si>
  <si>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</si>
  <si>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</si>
  <si>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</si>
  <si>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</si>
  <si>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</si>
  <si>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</si>
  <si>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</si>
  <si>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</si>
  <si>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</si>
  <si>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</si>
  <si>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</si>
  <si>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</si>
  <si>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</si>
  <si>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</si>
  <si>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</si>
  <si>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</si>
  <si>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</si>
  <si>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</si>
  <si>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</si>
  <si>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</si>
  <si>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</si>
  <si>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</si>
  <si>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</si>
  <si>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</si>
  <si>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</si>
  <si>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</si>
  <si>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</si>
  <si>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</si>
  <si>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</si>
  <si>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</si>
  <si>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</si>
  <si>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</si>
  <si>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</si>
  <si>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</si>
  <si>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</si>
  <si>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</si>
  <si>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</si>
  <si>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</si>
  <si>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</si>
  <si>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</si>
  <si>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</si>
  <si>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</si>
  <si>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</si>
  <si>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</si>
  <si>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</si>
  <si>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</si>
  <si>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</si>
  <si>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</si>
  <si>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</si>
  <si>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</si>
  <si>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</si>
  <si>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</si>
  <si>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</si>
  <si>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</si>
  <si>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</si>
  <si>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</si>
  <si>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</si>
  <si>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</si>
  <si>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</si>
  <si>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</si>
  <si>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</si>
  <si>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</si>
  <si>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</si>
  <si>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</si>
  <si>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</si>
  <si>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</si>
  <si>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</si>
  <si>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</si>
  <si>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</si>
  <si>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</si>
  <si>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</si>
  <si>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</si>
  <si>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</si>
  <si>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</si>
  <si>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</si>
  <si>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</si>
  <si>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</si>
  <si>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</si>
  <si>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</si>
  <si>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</si>
  <si>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</si>
  <si>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</si>
  <si>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</si>
  <si>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</si>
  <si>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</si>
  <si>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</si>
  <si>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</si>
  <si>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</si>
  <si>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</si>
  <si>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</si>
  <si>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</si>
  <si>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</si>
  <si>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</si>
  <si>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</si>
  <si>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</si>
  <si>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</si>
  <si>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</si>
  <si>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</si>
  <si>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</si>
  <si>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</si>
  <si>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</si>
  <si>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</si>
  <si>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</si>
  <si>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</si>
  <si>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</si>
  <si>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</si>
  <si>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</si>
  <si>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</si>
  <si>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</si>
  <si>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</si>
  <si>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</si>
  <si>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</si>
  <si>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</si>
  <si>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</si>
  <si>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</si>
  <si>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</si>
  <si>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</si>
  <si>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</si>
  <si>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</si>
  <si>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</si>
  <si>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</si>
  <si>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</si>
  <si>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</si>
  <si>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</si>
  <si>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</si>
  <si>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</si>
  <si>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</si>
  <si>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</si>
  <si>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</si>
  <si>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</si>
  <si>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</si>
  <si>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</si>
  <si>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</si>
  <si>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</si>
  <si>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</si>
  <si>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</si>
  <si>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</si>
  <si>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</si>
  <si>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</si>
  <si>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</si>
  <si>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</si>
  <si>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</si>
  <si>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</si>
  <si>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</si>
  <si>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</si>
  <si>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</si>
  <si>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</si>
  <si>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</si>
  <si>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</si>
  <si>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</si>
  <si>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</si>
  <si>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</si>
  <si>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</si>
  <si>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</si>
  <si>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</si>
  <si>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</si>
  <si>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</si>
  <si>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</si>
  <si>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</si>
  <si>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</si>
  <si>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</si>
  <si>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</si>
  <si>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</si>
  <si>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</si>
  <si>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</si>
  <si>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</si>
  <si>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</si>
  <si>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</si>
  <si>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</si>
  <si>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</si>
  <si>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</si>
  <si>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</si>
  <si>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</si>
  <si>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</si>
  <si>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</si>
  <si>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</si>
  <si>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</si>
  <si>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</si>
  <si>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</si>
  <si>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</si>
  <si>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</si>
  <si>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</si>
  <si>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</si>
  <si>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</si>
  <si>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</si>
  <si>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</si>
  <si>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</si>
  <si>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</si>
  <si>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</si>
  <si>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</si>
  <si>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</si>
  <si>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</si>
  <si>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</si>
  <si>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</si>
  <si>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</si>
  <si>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</si>
  <si>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</si>
  <si>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</si>
  <si>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</si>
  <si>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</si>
  <si>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</si>
  <si>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</si>
  <si>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</si>
  <si>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</si>
  <si>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</si>
  <si>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</si>
  <si>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</si>
  <si>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</si>
  <si>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</si>
  <si>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</si>
  <si>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</si>
  <si>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</si>
  <si>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</si>
  <si>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</si>
  <si>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</si>
  <si>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</si>
  <si>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</si>
  <si>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</si>
  <si>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</si>
  <si>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</si>
  <si>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</si>
  <si>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</si>
  <si>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</si>
  <si>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</si>
  <si>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</si>
  <si>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</si>
  <si>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</si>
  <si>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</si>
  <si>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</si>
  <si>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</si>
  <si>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</si>
  <si>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</si>
  <si>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</si>
  <si>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</si>
  <si>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</si>
  <si>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</si>
  <si>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</si>
  <si>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</si>
  <si>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</si>
  <si>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</si>
  <si>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</si>
  <si>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</si>
  <si>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</si>
  <si>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</si>
  <si>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</si>
  <si>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</si>
  <si>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</si>
  <si>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</si>
  <si>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</si>
  <si>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</si>
  <si>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</si>
  <si>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</si>
  <si>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</si>
  <si>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</si>
  <si>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</si>
  <si>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</si>
  <si>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</si>
  <si>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</si>
  <si>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</si>
  <si>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</si>
  <si>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</si>
  <si>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</si>
  <si>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</si>
  <si>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</si>
  <si>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</si>
  <si>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</si>
  <si>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</si>
  <si>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</si>
  <si>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</si>
  <si>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</si>
  <si>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</si>
  <si>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</si>
  <si>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</si>
  <si>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</si>
  <si>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</si>
  <si>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</si>
  <si>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</si>
  <si>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</si>
  <si>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</si>
  <si>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</si>
  <si>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</si>
  <si>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</si>
  <si>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</si>
  <si>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</si>
  <si>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</si>
  <si>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</si>
  <si>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</si>
  <si>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</si>
  <si>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</si>
  <si>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</si>
  <si>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</si>
  <si>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</si>
  <si>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</si>
  <si>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</si>
  <si>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</si>
  <si>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</si>
  <si>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</si>
  <si>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</si>
  <si>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</si>
  <si>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</si>
  <si>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</si>
  <si>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</si>
  <si>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</si>
  <si>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</si>
  <si>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</si>
  <si>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</si>
  <si>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</si>
  <si>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</si>
  <si>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</si>
  <si>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</si>
  <si>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</si>
  <si>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</si>
  <si>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</si>
  <si>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</si>
  <si>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</si>
  <si>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</si>
  <si>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</si>
  <si>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</si>
  <si>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</si>
  <si>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</si>
  <si>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</si>
  <si>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</si>
  <si>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</si>
  <si>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</si>
  <si>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</si>
  <si>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</si>
  <si>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</si>
  <si>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</si>
  <si>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</si>
  <si>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</si>
  <si>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</si>
  <si>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</si>
  <si>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</si>
  <si>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</si>
  <si>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</si>
  <si>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</si>
  <si>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</si>
  <si>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</si>
  <si>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</si>
  <si>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</si>
  <si>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</si>
  <si>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</si>
  <si>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</si>
  <si>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</si>
  <si>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</si>
  <si>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</si>
  <si>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</si>
  <si>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</si>
  <si>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</si>
  <si>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</si>
  <si>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</si>
  <si>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</si>
  <si>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</si>
  <si>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</si>
  <si>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</si>
  <si>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</si>
  <si>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</si>
  <si>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</si>
  <si>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</si>
  <si>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</si>
  <si>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</si>
  <si>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</si>
  <si>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</si>
  <si>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</si>
  <si>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</si>
  <si>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</si>
  <si>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</si>
  <si>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</si>
  <si>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</si>
  <si>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</si>
  <si>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</si>
  <si>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</si>
  <si>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</si>
  <si>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</si>
  <si>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</si>
  <si>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</si>
  <si>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</si>
  <si>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</si>
  <si>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</si>
  <si>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</si>
  <si>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</si>
  <si>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</si>
  <si>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</si>
  <si>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</si>
  <si>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</si>
  <si>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</si>
  <si>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</si>
  <si>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</si>
  <si>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</si>
  <si>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</si>
  <si>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</si>
  <si>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</si>
  <si>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</si>
  <si>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</si>
  <si>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</si>
  <si>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</si>
  <si>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</si>
  <si>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</si>
  <si>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</si>
  <si>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</si>
  <si>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</si>
  <si>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</si>
  <si>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</si>
  <si>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</si>
  <si>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</si>
  <si>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</si>
  <si>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</si>
  <si>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</si>
  <si>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</si>
  <si>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</si>
  <si>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</si>
  <si>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</si>
  <si>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</si>
  <si>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</si>
  <si>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</si>
  <si>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</si>
  <si>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</si>
  <si>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</si>
  <si>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</si>
  <si>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</si>
  <si>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</si>
  <si>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</si>
  <si>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</si>
  <si>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</si>
  <si>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</si>
  <si>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</si>
  <si>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</si>
  <si>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</si>
  <si>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</si>
  <si>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</si>
  <si>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</si>
  <si>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</si>
  <si>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</si>
  <si>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</si>
  <si>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</si>
  <si>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</si>
  <si>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</si>
  <si>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</si>
  <si>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</si>
  <si>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</si>
  <si>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</si>
  <si>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</si>
  <si>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</si>
  <si>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</si>
  <si>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</si>
  <si>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</si>
  <si>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</si>
  <si>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</si>
  <si>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</si>
  <si>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</si>
  <si>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</si>
  <si>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</si>
  <si>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</si>
  <si>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</si>
  <si>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</si>
  <si>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</si>
  <si>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</si>
  <si>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</si>
  <si>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</si>
  <si>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</si>
  <si>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</si>
  <si>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</si>
  <si>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</si>
  <si>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</si>
  <si>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</si>
  <si>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</si>
  <si>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</si>
  <si>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</si>
  <si>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</si>
  <si>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</si>
  <si>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</si>
  <si>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</si>
  <si>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</si>
  <si>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</si>
  <si>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</si>
  <si>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</si>
  <si>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</si>
  <si>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</si>
  <si>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</si>
  <si>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</si>
  <si>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</si>
  <si>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</si>
  <si>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</si>
  <si>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</si>
  <si>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</si>
  <si>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</si>
  <si>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</si>
  <si>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</si>
  <si>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</si>
  <si>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</si>
  <si>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</si>
  <si>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</si>
  <si>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</si>
  <si>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</si>
  <si>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</si>
  <si>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</si>
  <si>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</si>
  <si>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</si>
  <si>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</si>
  <si>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</si>
  <si>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</si>
  <si>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</si>
  <si>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</si>
  <si>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</si>
  <si>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</si>
  <si>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</si>
  <si>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</si>
  <si>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</si>
  <si>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</si>
  <si>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</si>
  <si>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</si>
  <si>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</si>
  <si>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</si>
  <si>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</si>
  <si>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</si>
  <si>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</si>
  <si>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</si>
  <si>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</si>
  <si>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</si>
  <si>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</si>
  <si>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</si>
  <si>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</si>
  <si>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</si>
  <si>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</si>
  <si>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</si>
  <si>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</si>
  <si>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</si>
  <si>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</si>
  <si>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</si>
  <si>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</si>
  <si>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</si>
  <si>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</si>
  <si>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</si>
  <si>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</si>
  <si>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</si>
  <si>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</si>
  <si>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</si>
  <si>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</si>
  <si>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</si>
  <si>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</si>
  <si>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</si>
  <si>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</si>
  <si>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</si>
  <si>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</si>
  <si>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</si>
  <si>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</si>
  <si>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</si>
  <si>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</si>
  <si>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</si>
  <si>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</si>
  <si>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</si>
  <si>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</si>
  <si>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</si>
  <si>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</si>
  <si>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</si>
  <si>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</si>
  <si>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</si>
  <si>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</si>
  <si>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</si>
  <si>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</si>
  <si>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</si>
  <si>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</si>
  <si>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</si>
  <si>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</si>
  <si>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</si>
  <si>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</si>
  <si>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</si>
  <si>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</si>
  <si>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</si>
  <si>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</si>
  <si>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</si>
  <si>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</si>
  <si>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</si>
  <si>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</si>
  <si>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</si>
  <si>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</si>
  <si>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</si>
  <si>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</si>
  <si>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</si>
  <si>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</si>
  <si>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</si>
  <si>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</si>
  <si>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</si>
  <si>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</si>
  <si>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</si>
  <si>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</si>
  <si>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</si>
  <si>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</si>
  <si>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</si>
  <si>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</si>
  <si>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</si>
  <si>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</si>
  <si>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</si>
  <si>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</si>
  <si>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</si>
  <si>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</si>
  <si>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</si>
  <si>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</si>
  <si>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</si>
  <si>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</si>
  <si>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</si>
  <si>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</si>
  <si>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</si>
  <si>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</si>
  <si>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</si>
  <si>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</si>
  <si>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</si>
  <si>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</si>
  <si>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</si>
  <si>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</si>
  <si>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</si>
  <si>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</si>
  <si>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</si>
  <si>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</si>
  <si>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</si>
  <si>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</si>
  <si>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</si>
  <si>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</si>
  <si>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</si>
  <si>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</si>
  <si>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</si>
  <si>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</si>
  <si>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</si>
  <si>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</si>
  <si>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</si>
  <si>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</si>
  <si>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</si>
  <si>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</si>
  <si>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</si>
  <si>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</si>
  <si>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</si>
  <si>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</si>
  <si>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</si>
  <si>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</si>
  <si>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</si>
  <si>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</si>
  <si>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</si>
  <si>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</si>
  <si>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</si>
  <si>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</si>
  <si>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</si>
  <si>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</si>
  <si>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</si>
  <si>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</si>
  <si>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</si>
  <si>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</si>
  <si>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</si>
  <si>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</si>
  <si>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</si>
  <si>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</si>
  <si>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</si>
  <si>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</si>
  <si>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</si>
  <si>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</si>
  <si>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</si>
  <si>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</si>
  <si>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</si>
  <si>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</si>
  <si>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</si>
  <si>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</si>
  <si>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</si>
  <si>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</si>
  <si>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</si>
  <si>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</si>
  <si>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</si>
  <si>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</si>
  <si>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</si>
  <si>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</si>
  <si>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</si>
  <si>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</si>
  <si>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</si>
  <si>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</si>
  <si>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</si>
  <si>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</si>
  <si>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</si>
  <si>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</si>
  <si>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</si>
  <si>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</si>
  <si>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</si>
  <si>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</si>
  <si>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</si>
  <si>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</si>
  <si>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</si>
  <si>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</si>
  <si>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</si>
  <si>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</si>
  <si>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</si>
  <si>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</si>
  <si>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</si>
  <si>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</si>
  <si>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</si>
  <si>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</si>
  <si>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</si>
  <si>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</si>
  <si>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</si>
  <si>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</si>
  <si>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</si>
  <si>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</si>
  <si>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</si>
  <si>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</si>
  <si>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</si>
  <si>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</si>
  <si>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</si>
  <si>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</si>
  <si>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</si>
  <si>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</si>
  <si>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</si>
  <si>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</si>
  <si>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</si>
  <si>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</si>
  <si>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</si>
  <si>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</si>
  <si>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</si>
  <si>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</si>
  <si>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</si>
  <si>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</si>
  <si>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</si>
  <si>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</si>
  <si>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</si>
  <si>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</si>
  <si>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</si>
  <si>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</si>
  <si>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</si>
  <si>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</si>
  <si>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</si>
  <si>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</si>
  <si>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</si>
  <si>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</si>
  <si>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</si>
  <si>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</si>
  <si>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</si>
  <si>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</si>
  <si>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</si>
  <si>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</si>
  <si>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</si>
  <si>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</si>
  <si>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</si>
  <si>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</si>
  <si>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</si>
  <si>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</si>
  <si>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</si>
  <si>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</si>
  <si>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</si>
  <si>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</si>
  <si>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</si>
  <si>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</si>
  <si>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</si>
  <si>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</si>
  <si>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</si>
  <si>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</si>
  <si>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</si>
  <si>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</si>
  <si>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</si>
  <si>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</si>
  <si>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</si>
  <si>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</si>
  <si>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</si>
  <si>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</si>
  <si>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</si>
  <si>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</si>
  <si>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</si>
  <si>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</si>
  <si>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</si>
  <si>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</si>
  <si>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</si>
  <si>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</si>
  <si>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</si>
  <si>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</si>
  <si>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</si>
  <si>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</si>
  <si>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</si>
  <si>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</si>
  <si>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</si>
  <si>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</si>
  <si>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</si>
  <si>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</si>
  <si>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</si>
  <si>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</si>
  <si>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</si>
  <si>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</si>
  <si>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</si>
  <si>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</si>
  <si>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</si>
  <si>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</si>
  <si>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</si>
  <si>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</si>
  <si>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</si>
  <si>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</si>
  <si>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</si>
  <si>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</si>
  <si>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</si>
  <si>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</si>
  <si>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</si>
  <si>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</si>
  <si>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</si>
  <si>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</si>
  <si>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</si>
  <si>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</si>
  <si>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</si>
  <si>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</si>
  <si>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</si>
  <si>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</si>
  <si>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</si>
  <si>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</si>
  <si>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</si>
  <si>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</si>
  <si>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</si>
  <si>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</si>
  <si>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</si>
  <si>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</si>
  <si>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</si>
  <si>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</si>
  <si>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</si>
  <si>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</si>
  <si>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</si>
  <si>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</si>
  <si>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</si>
  <si>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</si>
  <si>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</si>
  <si>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</si>
  <si>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</si>
  <si>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</si>
  <si>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</si>
  <si>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</si>
  <si>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</si>
  <si>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</si>
  <si>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</si>
  <si>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</si>
  <si>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</si>
  <si>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</si>
  <si>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</si>
  <si>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</si>
  <si>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</si>
  <si>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</si>
  <si>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</si>
  <si>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</si>
  <si>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</si>
  <si>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</si>
  <si>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</si>
  <si>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</si>
  <si>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</si>
  <si>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</si>
  <si>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</si>
  <si>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</si>
  <si>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</si>
  <si>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</si>
  <si>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</si>
  <si>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</si>
  <si>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</si>
  <si>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</si>
  <si>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</si>
  <si>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</si>
  <si>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</si>
  <si>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</si>
  <si>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</si>
  <si>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</si>
  <si>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</si>
  <si>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</si>
  <si>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</si>
  <si>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</si>
  <si>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</si>
  <si>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</si>
  <si>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</si>
  <si>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</si>
  <si>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</si>
  <si>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</si>
  <si>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</si>
  <si>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</si>
  <si>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</si>
  <si>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</si>
  <si>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</si>
  <si>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</si>
  <si>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</si>
  <si>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</si>
  <si>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</si>
  <si>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</si>
  <si>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</si>
  <si>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</si>
  <si>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</si>
  <si>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</si>
  <si>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</si>
  <si>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</si>
  <si>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</si>
  <si>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</si>
  <si>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</si>
  <si>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</si>
  <si>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</si>
  <si>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</si>
  <si>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</si>
  <si>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</si>
  <si>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</si>
  <si>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</si>
  <si>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</si>
  <si>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</si>
  <si>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</si>
  <si>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</si>
  <si>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</si>
  <si>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</si>
  <si>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</si>
  <si>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</si>
  <si>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</si>
  <si>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</si>
  <si>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</si>
  <si>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</si>
  <si>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</si>
  <si>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</si>
  <si>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</si>
  <si>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</si>
  <si>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</si>
  <si>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</si>
  <si>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</si>
  <si>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</si>
  <si>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</si>
  <si>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</si>
  <si>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</si>
  <si>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</si>
  <si>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</si>
  <si>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</si>
  <si>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</si>
  <si>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</si>
  <si>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</si>
  <si>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</si>
  <si>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</si>
  <si>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</si>
  <si>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</si>
  <si>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</si>
  <si>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</si>
  <si>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</si>
  <si>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</si>
  <si>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</si>
  <si>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</si>
  <si>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</si>
  <si>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</si>
  <si>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</si>
  <si>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</si>
  <si>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</si>
  <si>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</si>
  <si>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</si>
  <si>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</si>
  <si>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</si>
  <si>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</si>
  <si>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</si>
  <si>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</si>
  <si>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</si>
  <si>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</si>
  <si>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</si>
  <si>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</si>
  <si>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</si>
  <si>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</si>
  <si>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</si>
  <si>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</si>
  <si>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</si>
  <si>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</si>
  <si>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</si>
  <si>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</si>
  <si>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</si>
  <si>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</si>
  <si>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</si>
  <si>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</si>
  <si>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</si>
  <si>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</si>
  <si>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</si>
  <si>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</si>
  <si>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</si>
  <si>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</si>
  <si>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</si>
  <si>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</si>
  <si>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</si>
  <si>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</si>
  <si>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</si>
  <si>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</si>
  <si>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</si>
  <si>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</si>
  <si>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</si>
  <si>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</si>
  <si>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</si>
  <si>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</si>
  <si>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</si>
  <si>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</si>
  <si>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</si>
  <si>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</si>
  <si>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</si>
  <si>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</si>
  <si>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</si>
  <si>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</si>
  <si>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</si>
  <si>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</si>
  <si>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</si>
  <si>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</si>
  <si>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</si>
  <si>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</si>
  <si>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</si>
  <si>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</si>
  <si>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</si>
  <si>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</si>
  <si>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</si>
  <si>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</si>
  <si>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</si>
  <si>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</si>
  <si>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</si>
  <si>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</si>
  <si>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</si>
  <si>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</si>
  <si>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</si>
  <si>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</si>
  <si>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</si>
  <si>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</si>
  <si>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</si>
  <si>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</si>
  <si>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</si>
  <si>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</si>
  <si>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</si>
  <si>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</si>
  <si>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</si>
  <si>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</si>
  <si>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</si>
  <si>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</si>
  <si>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</si>
  <si>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</si>
  <si>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</si>
  <si>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</si>
  <si>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</si>
  <si>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</si>
  <si>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</si>
  <si>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</si>
  <si>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</si>
  <si>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</si>
  <si>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</si>
  <si>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</si>
  <si>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</si>
  <si>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</si>
  <si>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</si>
  <si>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</si>
  <si>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</si>
  <si>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</si>
  <si>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</si>
  <si>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</si>
  <si>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</si>
  <si>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</si>
  <si>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</si>
  <si>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</si>
  <si>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</si>
  <si>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</si>
  <si>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</si>
  <si>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</si>
  <si>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</si>
  <si>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</si>
  <si>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</si>
  <si>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</si>
  <si>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</si>
  <si>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</si>
  <si>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</si>
  <si>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</si>
  <si>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</si>
  <si>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</si>
  <si>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</si>
  <si>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</si>
  <si>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</si>
  <si>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</si>
  <si>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</si>
  <si>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</si>
  <si>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</si>
  <si>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</si>
  <si>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</si>
  <si>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</si>
  <si>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</si>
  <si>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</si>
  <si>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</si>
  <si>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</si>
  <si>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</si>
  <si>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</si>
  <si>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</si>
  <si>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</si>
  <si>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</si>
  <si>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</si>
  <si>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</si>
  <si>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</si>
  <si>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</si>
  <si>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</si>
  <si>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</si>
  <si>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</si>
  <si>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</si>
  <si>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</si>
  <si>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</si>
  <si>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</si>
  <si>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</si>
  <si>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</si>
  <si>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</si>
  <si>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</si>
  <si>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</si>
  <si>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</si>
  <si>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</si>
  <si>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</si>
  <si>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</si>
  <si>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</si>
  <si>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</si>
  <si>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</si>
  <si>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</si>
  <si>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</si>
  <si>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</si>
  <si>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</si>
  <si>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</si>
  <si>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</si>
  <si>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</si>
  <si>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</si>
  <si>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</si>
  <si>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</si>
  <si>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</si>
  <si>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</si>
  <si>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</si>
  <si>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</si>
  <si>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</si>
  <si>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</si>
  <si>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</si>
  <si>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</si>
  <si>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</si>
  <si>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</si>
  <si>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</si>
  <si>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</si>
  <si>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</si>
  <si>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</si>
  <si>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</si>
  <si>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</si>
  <si>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</si>
  <si>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</si>
  <si>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</si>
  <si>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</si>
  <si>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</si>
  <si>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</si>
  <si>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</si>
  <si>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</si>
  <si>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</si>
  <si>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</si>
  <si>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</si>
  <si>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</si>
  <si>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</si>
  <si>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</si>
  <si>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</si>
  <si>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</si>
  <si>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</si>
  <si>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</si>
  <si>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</si>
  <si>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</si>
  <si>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</si>
  <si>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</si>
  <si>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</si>
  <si>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</si>
  <si>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</si>
  <si>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</si>
  <si>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</si>
  <si>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</si>
  <si>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</si>
  <si>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</si>
  <si>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</si>
  <si>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</si>
  <si>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</si>
  <si>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</si>
  <si>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</si>
  <si>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</si>
  <si>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</si>
  <si>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</si>
  <si>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</si>
  <si>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</si>
  <si>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</si>
  <si>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</si>
  <si>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</si>
  <si>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</si>
  <si>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</si>
  <si>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</si>
  <si>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</si>
  <si>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</si>
  <si>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</si>
  <si>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</si>
  <si>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</si>
  <si>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</si>
  <si>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</si>
  <si>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</si>
  <si>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</si>
  <si>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</si>
  <si>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</si>
  <si>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</si>
  <si>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</si>
  <si>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</si>
  <si>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</si>
  <si>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</si>
  <si>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</si>
  <si>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</si>
  <si>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</si>
  <si>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</si>
  <si>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</si>
  <si>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</si>
  <si>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</si>
  <si>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</si>
  <si>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</si>
  <si>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</si>
  <si>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</si>
  <si>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</si>
  <si>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</si>
  <si>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</si>
  <si>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</si>
  <si>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</si>
  <si>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</si>
  <si>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</si>
  <si>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</si>
  <si>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</si>
  <si>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</si>
  <si>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</si>
  <si>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</si>
  <si>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</si>
  <si>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</si>
  <si>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</si>
  <si>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</si>
  <si>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</si>
  <si>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</si>
  <si>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</si>
  <si>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</si>
  <si>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</si>
  <si>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</si>
  <si>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</si>
  <si>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</si>
  <si>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</si>
  <si>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</si>
  <si>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</si>
  <si>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</si>
  <si>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</si>
  <si>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</si>
  <si>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</si>
  <si>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</si>
  <si>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</si>
  <si>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</si>
  <si>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</si>
  <si>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</si>
  <si>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</si>
  <si>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</si>
  <si>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</si>
  <si>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</si>
  <si>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</si>
  <si>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</si>
  <si>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</si>
  <si>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</si>
  <si>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</si>
  <si>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</si>
  <si>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</si>
  <si>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</si>
  <si>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</si>
  <si>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</si>
  <si>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</si>
  <si>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</si>
  <si>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</si>
  <si>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</si>
  <si>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</si>
  <si>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</si>
  <si>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</si>
  <si>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</si>
  <si>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</si>
  <si>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</si>
  <si>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</si>
  <si>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</si>
  <si>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</si>
  <si>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</si>
  <si>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</si>
  <si>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</si>
  <si>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</si>
  <si>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</si>
  <si>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</si>
  <si>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</si>
  <si>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</si>
  <si>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</si>
  <si>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</si>
  <si>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</si>
  <si>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</si>
  <si>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</si>
  <si>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</si>
  <si>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</si>
  <si>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</si>
  <si>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</si>
  <si>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</si>
  <si>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</si>
  <si>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</si>
  <si>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</si>
  <si>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</si>
  <si>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</si>
  <si>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</si>
  <si>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</si>
  <si>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Z1_OLBV_T3F_SC1s1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</si>
</sst>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7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1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50.231799999999993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156.8681046512209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0.35025029565217397</v>
      </c>
      <c r="J5" s="143">
        <f>CdTrp1!E215+CdTrp2!E215+CdTrp3!E215+CdTrp4!E215</f>
        <v>0.35025029565217397</v>
      </c>
      <c r="K5" s="143">
        <f>CdTrp1!F215+CdTrp2!F215+CdTrp3!F215+CdTrp4!F215</f>
        <v>0.38777711304347828</v>
      </c>
      <c r="L5" s="143">
        <f>CdTrp1!G215+CdTrp2!G215+CdTrp3!G215+CdTrp4!G215</f>
        <v>5.8186343015652184</v>
      </c>
      <c r="M5" s="143">
        <f>CdTrp1!H215+CdTrp2!H215+CdTrp3!H215+CdTrp4!H215</f>
        <v>8.006711835652176</v>
      </c>
      <c r="N5" s="143">
        <f>CdTrp1!I215+CdTrp2!I215+CdTrp3!I215+CdTrp4!I215</f>
        <v>5.6807510504347833</v>
      </c>
      <c r="O5" s="143">
        <f>CdTrp1!J215+CdTrp2!J215+CdTrp3!J215+CdTrp4!J215</f>
        <v>6.5079109881739141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1.1302397826086958</v>
      </c>
      <c r="U5" s="143">
        <f>CdTrp1!P215+CdTrp2!P215+CdTrp3!P215+CdTrp4!P215</f>
        <v>1.1302397826086958</v>
      </c>
      <c r="V5" s="143">
        <f>CdTrp1!Q215+CdTrp2!Q215+CdTrp3!Q215+CdTrp4!Q215</f>
        <v>1.1302397826086958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1.8988649307478269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137.11707443596526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0.93215652173913055</v>
      </c>
      <c r="H6" s="143">
        <f>CdTrp1!C216+CdTrp2!C216+CdTrp3!C216+CdTrp4!C216</f>
        <v>0.93215652173913055</v>
      </c>
      <c r="I6" s="143">
        <f>CdTrp1!D216+CdTrp2!D216+CdTrp3!D216+CdTrp4!D216</f>
        <v>0.84194782608695662</v>
      </c>
      <c r="J6" s="143">
        <f>CdTrp1!E216+CdTrp2!E216+CdTrp3!E216+CdTrp4!E216</f>
        <v>0.84194782608695662</v>
      </c>
      <c r="K6" s="143">
        <f>CdTrp1!F216+CdTrp2!F216+CdTrp3!F216+CdTrp4!F216</f>
        <v>1.5100935652173912</v>
      </c>
      <c r="L6" s="143">
        <f>CdTrp1!G216+CdTrp2!G216+CdTrp3!G216+CdTrp4!G216</f>
        <v>1.5100935652173912</v>
      </c>
      <c r="M6" s="143">
        <f>CdTrp1!H216+CdTrp2!H216+CdTrp3!H216+CdTrp4!H216</f>
        <v>1.4613808695652175</v>
      </c>
      <c r="N6" s="143">
        <f>CdTrp1!I216+CdTrp2!I216+CdTrp3!I216+CdTrp4!I216</f>
        <v>3.764488669565218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1.24488</v>
      </c>
      <c r="R6" s="143">
        <f>CdTrp1!M216+CdTrp2!M216+CdTrp3!M216+CdTrp4!M216</f>
        <v>1.24488</v>
      </c>
      <c r="S6" s="143">
        <f>CdTrp1!N216+CdTrp2!N216+CdTrp3!N216+CdTrp4!N216</f>
        <v>1.286376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1.24488</v>
      </c>
      <c r="X6" s="143">
        <f>CdTrp1!S216+CdTrp2!S216+CdTrp3!S216+CdTrp4!S216</f>
        <v>1.24488</v>
      </c>
      <c r="Y6" s="143">
        <f>CdTrp1!T216+CdTrp2!T216+CdTrp3!T216+CdTrp4!T216</f>
        <v>1.286376</v>
      </c>
      <c r="Z6" s="143">
        <f>CdTrp1!U216+CdTrp2!U216+CdTrp3!U216+CdTrp4!U216</f>
        <v>0.22371756521739136</v>
      </c>
      <c r="AA6" s="143">
        <f>CdTrp1!V216+CdTrp2!V216+CdTrp3!V216+CdTrp4!V216</f>
        <v>1.6144372695652174</v>
      </c>
      <c r="AB6" s="143">
        <f>CdTrp1!W216+CdTrp2!W216+CdTrp3!W216+CdTrp4!W216</f>
        <v>1.6417288695652175</v>
      </c>
      <c r="AC6" s="143">
        <f>CdTrp1!X216+CdTrp2!X216+CdTrp3!X216+CdTrp4!X216</f>
        <v>0.22371756521739136</v>
      </c>
      <c r="AD6" s="143">
        <f>CdTrp1!Y216+CdTrp2!Y216+CdTrp3!Y216+CdTrp4!Y216</f>
        <v>0.93215652173913055</v>
      </c>
      <c r="AE6" s="153"/>
      <c r="AF6" s="154"/>
    </row>
    <row r="7" spans="1:53" x14ac:dyDescent="0.25">
      <c r="B7" s="14" t="s">
        <v>294</v>
      </c>
      <c r="C7" s="144">
        <f>ROUNDUP(C4-C6-0.9*C5,1)</f>
        <v>144.9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1.2972607199999999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0.70843895652173916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0.93215652173913055</v>
      </c>
      <c r="H8" s="143">
        <f t="shared" ref="H8:AD8" si="0">SUM(H5:H7)</f>
        <v>0.93215652173913055</v>
      </c>
      <c r="I8" s="143">
        <f t="shared" si="0"/>
        <v>1.1921981217391306</v>
      </c>
      <c r="J8" s="143">
        <f t="shared" si="0"/>
        <v>1.1921981217391306</v>
      </c>
      <c r="K8" s="143">
        <f t="shared" si="0"/>
        <v>2.6063096347826087</v>
      </c>
      <c r="L8" s="143">
        <f t="shared" si="0"/>
        <v>8.0371668233043483</v>
      </c>
      <c r="M8" s="143">
        <f t="shared" si="0"/>
        <v>10.153678792173917</v>
      </c>
      <c r="N8" s="143">
        <f t="shared" si="0"/>
        <v>10.130825806956524</v>
      </c>
      <c r="O8" s="143">
        <f t="shared" si="0"/>
        <v>10.833251694695653</v>
      </c>
      <c r="P8" s="143">
        <f t="shared" si="0"/>
        <v>9.2066012780000008</v>
      </c>
      <c r="Q8" s="143">
        <f t="shared" si="0"/>
        <v>6.6542666400000012</v>
      </c>
      <c r="R8" s="143">
        <f t="shared" si="0"/>
        <v>2.338660434782609</v>
      </c>
      <c r="S8" s="143">
        <f t="shared" si="0"/>
        <v>2.4166157826086958</v>
      </c>
      <c r="T8" s="143">
        <f t="shared" si="0"/>
        <v>2.4166157826086958</v>
      </c>
      <c r="U8" s="143">
        <f t="shared" si="0"/>
        <v>2.4166157826086958</v>
      </c>
      <c r="V8" s="143">
        <f t="shared" si="0"/>
        <v>2.4166157826086958</v>
      </c>
      <c r="W8" s="143">
        <f t="shared" si="0"/>
        <v>2.338660434782609</v>
      </c>
      <c r="X8" s="143">
        <f t="shared" si="0"/>
        <v>2.338660434782609</v>
      </c>
      <c r="Y8" s="143">
        <f t="shared" si="0"/>
        <v>4.4825016507478264</v>
      </c>
      <c r="Z8" s="143">
        <f t="shared" si="0"/>
        <v>6.5412800405217402</v>
      </c>
      <c r="AA8" s="143">
        <f t="shared" si="0"/>
        <v>3.596773356521739</v>
      </c>
      <c r="AB8" s="143">
        <f t="shared" si="0"/>
        <v>3.5981299565217393</v>
      </c>
      <c r="AC8" s="143">
        <f t="shared" si="0"/>
        <v>0.93215652173913055</v>
      </c>
      <c r="AD8" s="143">
        <f t="shared" si="0"/>
        <v>0.93215652173913055</v>
      </c>
      <c r="AE8" s="153"/>
      <c r="AF8" s="144">
        <f>SUM(G8:AD8)</f>
        <v>98.636252439443524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57.5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24.5</v>
      </c>
      <c r="H18" s="158">
        <f>G18/G17</f>
        <v>0.42608695652173911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20</v>
      </c>
      <c r="H19" s="158">
        <f>G19/G17</f>
        <v>0.34782608695652173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9.5652173913043481E-2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topLeftCell="A5" zoomScale="80" zoomScaleNormal="80" workbookViewId="0">
      <selection activeCell="N19" sqref="N1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6" t="s">
        <v>250</v>
      </c>
      <c r="AT2" s="296"/>
      <c r="AU2" s="295" t="s">
        <v>251</v>
      </c>
      <c r="AV2" s="295"/>
      <c r="AW2" s="295" t="s">
        <v>252</v>
      </c>
      <c r="AX2" s="295"/>
      <c r="AY2" s="295" t="s">
        <v>253</v>
      </c>
      <c r="AZ2" s="295"/>
      <c r="BA2" s="295" t="s">
        <v>254</v>
      </c>
      <c r="BB2" s="295"/>
      <c r="BC2" s="295" t="s">
        <v>255</v>
      </c>
      <c r="BD2" s="295"/>
      <c r="BE2" s="295" t="s">
        <v>256</v>
      </c>
      <c r="BF2" s="295"/>
      <c r="BG2" s="295" t="s">
        <v>257</v>
      </c>
      <c r="BH2" s="295"/>
      <c r="BI2" s="295" t="s">
        <v>258</v>
      </c>
      <c r="BJ2" s="295"/>
      <c r="BK2" s="295" t="s">
        <v>259</v>
      </c>
      <c r="BL2" s="295"/>
      <c r="BM2" s="295" t="s">
        <v>260</v>
      </c>
      <c r="BN2" s="295"/>
      <c r="BO2" s="295" t="s">
        <v>261</v>
      </c>
      <c r="BP2" s="295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1.1921981217391306</v>
      </c>
      <c r="AV5" s="13">
        <f>'Conduite Trp'!J8</f>
        <v>1.1921981217391306</v>
      </c>
      <c r="AW5" s="13">
        <f>'Conduite Trp'!K8</f>
        <v>2.6063096347826087</v>
      </c>
      <c r="AX5" s="13">
        <f>'Conduite Trp'!L8</f>
        <v>8.0371668233043483</v>
      </c>
      <c r="AY5" s="13">
        <f>'Conduite Trp'!M8</f>
        <v>10.153678792173917</v>
      </c>
      <c r="AZ5" s="13">
        <f>'Conduite Trp'!N8</f>
        <v>10.130825806956524</v>
      </c>
      <c r="BA5" s="13">
        <f>'Conduite Trp'!O8</f>
        <v>10.833251694695653</v>
      </c>
      <c r="BB5" s="13">
        <f>'Conduite Trp'!P8</f>
        <v>9.2066012780000008</v>
      </c>
      <c r="BC5" s="13">
        <f>'Conduite Trp'!Q8</f>
        <v>6.6542666400000012</v>
      </c>
      <c r="BD5" s="13">
        <f>'Conduite Trp'!R8</f>
        <v>2.338660434782609</v>
      </c>
      <c r="BE5" s="13">
        <f>'Conduite Trp'!S8</f>
        <v>2.4166157826086958</v>
      </c>
      <c r="BF5" s="13">
        <f>'Conduite Trp'!T8</f>
        <v>2.4166157826086958</v>
      </c>
      <c r="BG5" s="13">
        <f>'Conduite Trp'!U8</f>
        <v>2.4166157826086958</v>
      </c>
      <c r="BH5" s="13">
        <f>'Conduite Trp'!V8</f>
        <v>2.4166157826086958</v>
      </c>
      <c r="BI5" s="13">
        <f>'Conduite Trp'!W8</f>
        <v>2.338660434782609</v>
      </c>
      <c r="BJ5" s="13">
        <f>'Conduite Trp'!X8</f>
        <v>2.338660434782609</v>
      </c>
      <c r="BK5" s="13">
        <f>'Conduite Trp'!Y8</f>
        <v>4.4825016507478264</v>
      </c>
      <c r="BL5" s="13">
        <f>'Conduite Trp'!Z8</f>
        <v>6.5412800405217402</v>
      </c>
      <c r="BM5" s="13">
        <f>'Conduite Trp'!AA8</f>
        <v>3.596773356521739</v>
      </c>
      <c r="BN5" s="13">
        <f>'Conduite Trp'!AB8</f>
        <v>3.5981299565217393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1.7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5.6099999999999994</v>
      </c>
      <c r="AF7" s="61">
        <f t="shared" ref="AF7:AF26" si="1">$R7*W7</f>
        <v>5.0999999999999996</v>
      </c>
      <c r="AG7" s="61">
        <f t="shared" ref="AG7:AG26" si="2">$R7*X7</f>
        <v>3.9099999999999997</v>
      </c>
      <c r="AH7" s="61">
        <f t="shared" ref="AH7:AH26" si="3">$R7*Y7</f>
        <v>0.85</v>
      </c>
      <c r="AI7" s="61">
        <f t="shared" ref="AI7:AI26" si="4">$R7*Z7</f>
        <v>1.19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10.153678792173917</v>
      </c>
      <c r="AZ7" s="61">
        <f t="shared" si="7"/>
        <v>10.130825806956524</v>
      </c>
      <c r="BA7" s="61">
        <f t="shared" si="7"/>
        <v>10.833251694695653</v>
      </c>
      <c r="BB7" s="61">
        <f t="shared" si="7"/>
        <v>9.2066012780000008</v>
      </c>
      <c r="BC7" s="61">
        <f t="shared" si="7"/>
        <v>6.6542666400000012</v>
      </c>
      <c r="BD7" s="61">
        <f t="shared" si="7"/>
        <v>2.338660434782609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49.317284646608712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50.231799999999993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</v>
      </c>
      <c r="P8">
        <v>2</v>
      </c>
      <c r="Q8" s="39">
        <v>241</v>
      </c>
      <c r="R8" s="39">
        <v>11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16.5</v>
      </c>
      <c r="AF8" s="61">
        <f t="shared" si="1"/>
        <v>0</v>
      </c>
      <c r="AG8" s="61">
        <f t="shared" si="2"/>
        <v>8.25</v>
      </c>
      <c r="AH8" s="61">
        <f t="shared" si="3"/>
        <v>8.25</v>
      </c>
      <c r="AI8" s="61">
        <f t="shared" si="4"/>
        <v>11</v>
      </c>
      <c r="AJ8" s="61">
        <f t="shared" si="5"/>
        <v>0</v>
      </c>
      <c r="AK8" s="141"/>
      <c r="AL8" s="61">
        <f t="shared" si="6"/>
        <v>55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2.4166157826086958</v>
      </c>
      <c r="BF8" s="61">
        <f t="shared" si="8"/>
        <v>2.4166157826086958</v>
      </c>
      <c r="BG8" s="61">
        <f t="shared" si="8"/>
        <v>2.4166157826086958</v>
      </c>
      <c r="BH8" s="61">
        <f t="shared" si="8"/>
        <v>2.4166157826086958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9.6664631304347832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50.231799999999993</v>
      </c>
      <c r="G9" s="81"/>
      <c r="H9" s="61">
        <f>SUM(L34:L43)</f>
        <v>0</v>
      </c>
      <c r="I9" s="81"/>
      <c r="J9" s="81"/>
      <c r="K9" s="93">
        <f>H9-F9</f>
        <v>-50.231799999999993</v>
      </c>
      <c r="L9" s="81"/>
      <c r="M9" s="100"/>
      <c r="P9">
        <v>3</v>
      </c>
      <c r="Q9" s="39">
        <v>290</v>
      </c>
      <c r="R9" s="39">
        <v>1</v>
      </c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3.5</v>
      </c>
      <c r="AF9" s="61">
        <f t="shared" si="1"/>
        <v>0</v>
      </c>
      <c r="AG9" s="61">
        <f t="shared" si="2"/>
        <v>1</v>
      </c>
      <c r="AH9" s="61">
        <f t="shared" si="3"/>
        <v>0.7</v>
      </c>
      <c r="AI9" s="61">
        <f t="shared" si="4"/>
        <v>0.5</v>
      </c>
      <c r="AJ9" s="61">
        <f t="shared" si="5"/>
        <v>0</v>
      </c>
      <c r="AK9" s="141"/>
      <c r="AL9" s="61">
        <f t="shared" si="6"/>
        <v>3.8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2.338660434782609</v>
      </c>
      <c r="BJ9" s="61">
        <f t="shared" si="10"/>
        <v>2.338660434782609</v>
      </c>
      <c r="BK9" s="61">
        <f t="shared" si="10"/>
        <v>4.4825016507478264</v>
      </c>
      <c r="BL9" s="61">
        <f t="shared" si="10"/>
        <v>6.5412800405217402</v>
      </c>
      <c r="BM9" s="61">
        <f t="shared" si="10"/>
        <v>3.596773356521739</v>
      </c>
      <c r="BN9" s="61">
        <f t="shared" si="10"/>
        <v>3.5981299565217393</v>
      </c>
      <c r="BO9" s="61">
        <f t="shared" si="10"/>
        <v>0</v>
      </c>
      <c r="BP9" s="61">
        <f t="shared" si="10"/>
        <v>0</v>
      </c>
      <c r="BR9" s="61">
        <f t="shared" si="9"/>
        <v>22.896005873878259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0.93215652173913055</v>
      </c>
      <c r="AT10" s="61">
        <f t="shared" ref="AT10:BP10" si="11">IF(AT$4=4,AT$5,0)</f>
        <v>0.93215652173913055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0.93215652173913055</v>
      </c>
      <c r="BP10" s="61">
        <f t="shared" si="11"/>
        <v>0.93215652173913055</v>
      </c>
      <c r="BR10" s="61">
        <f t="shared" si="9"/>
        <v>3.7286260869565222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91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1"/>
        <v>0</v>
      </c>
      <c r="AG11" s="61">
        <f t="shared" si="2"/>
        <v>0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1.1921981217391306</v>
      </c>
      <c r="AV11" s="61">
        <f t="shared" si="12"/>
        <v>1.1921981217391306</v>
      </c>
      <c r="AW11" s="61">
        <f t="shared" si="12"/>
        <v>2.6063096347826087</v>
      </c>
      <c r="AX11" s="61">
        <f t="shared" si="12"/>
        <v>8.0371668233043483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13.027872701565219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0.35025029565217397</v>
      </c>
      <c r="AV15" s="13">
        <f>'Conduite Trp'!J5</f>
        <v>0.35025029565217397</v>
      </c>
      <c r="AW15" s="13">
        <f>'Conduite Trp'!K5</f>
        <v>0.38777711304347828</v>
      </c>
      <c r="AX15" s="13">
        <f>'Conduite Trp'!L5</f>
        <v>5.8186343015652184</v>
      </c>
      <c r="AY15" s="13">
        <f>'Conduite Trp'!M5</f>
        <v>8.006711835652176</v>
      </c>
      <c r="AZ15" s="13">
        <f>'Conduite Trp'!N5</f>
        <v>5.6807510504347833</v>
      </c>
      <c r="BA15" s="13">
        <f>'Conduite Trp'!O5</f>
        <v>6.5079109881739141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1.1302397826086958</v>
      </c>
      <c r="BG15" s="13">
        <f>'Conduite Trp'!U5</f>
        <v>1.1302397826086958</v>
      </c>
      <c r="BH15" s="13">
        <f>'Conduite Trp'!V5</f>
        <v>1.1302397826086958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1.8988649307478269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1.5100935652173912</v>
      </c>
      <c r="AX16" s="13">
        <f>'Conduite Trp'!L6</f>
        <v>1.5100935652173912</v>
      </c>
      <c r="AY16" s="13">
        <f>'Conduite Trp'!M6</f>
        <v>1.4613808695652175</v>
      </c>
      <c r="AZ16" s="13">
        <f>'Conduite Trp'!N6</f>
        <v>3.764488669565218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1.24488</v>
      </c>
      <c r="BD16" s="13">
        <f>'Conduite Trp'!R6</f>
        <v>1.24488</v>
      </c>
      <c r="BE16" s="13">
        <f>'Conduite Trp'!S6</f>
        <v>1.286376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1.24488</v>
      </c>
      <c r="BJ16" s="13">
        <f>'Conduite Trp'!X6</f>
        <v>1.24488</v>
      </c>
      <c r="BK16" s="13">
        <f>'Conduite Trp'!Y6</f>
        <v>1.286376</v>
      </c>
      <c r="BL16" s="13">
        <f>'Conduite Trp'!Z6</f>
        <v>0.22371756521739136</v>
      </c>
      <c r="BM16" s="13">
        <f>'Conduite Trp'!AA6</f>
        <v>1.6144372695652174</v>
      </c>
      <c r="BN16" s="13">
        <f>'Conduite Trp'!AB6</f>
        <v>1.6417288695652175</v>
      </c>
      <c r="BO16" s="13">
        <f>'Conduite Trp'!AC6</f>
        <v>0.22371756521739136</v>
      </c>
      <c r="BP16" s="13">
        <f>'Conduite Trp'!AD6</f>
        <v>0.93215652173913055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1.2972607199999999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8.006711835652176</v>
      </c>
      <c r="AZ19" s="61">
        <f t="shared" si="15"/>
        <v>5.6807510504347833</v>
      </c>
      <c r="BA19" s="61">
        <f t="shared" si="15"/>
        <v>6.5079109881739141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32.288240477043487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1.1302397826086958</v>
      </c>
      <c r="BG20" s="61">
        <f t="shared" si="16"/>
        <v>1.1302397826086958</v>
      </c>
      <c r="BH20" s="61">
        <f t="shared" si="16"/>
        <v>1.1302397826086958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4.5209591304347834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1.8988649307478269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10.930230879095655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0.35025029565217397</v>
      </c>
      <c r="AV23" s="61">
        <f t="shared" si="20"/>
        <v>0.35025029565217397</v>
      </c>
      <c r="AW23" s="61">
        <f t="shared" si="20"/>
        <v>0.38777711304347828</v>
      </c>
      <c r="AX23" s="61">
        <f t="shared" si="20"/>
        <v>5.8186343015652184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6.9069120059130444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50.309999999999995</v>
      </c>
      <c r="E24" s="61">
        <f t="shared" si="21"/>
        <v>11.774999999999999</v>
      </c>
      <c r="F24" s="61">
        <f t="shared" si="21"/>
        <v>32.765000000000001</v>
      </c>
      <c r="G24" s="61">
        <f t="shared" si="21"/>
        <v>18.056000000000001</v>
      </c>
      <c r="H24" s="61">
        <f t="shared" si="21"/>
        <v>27.101000000000003</v>
      </c>
      <c r="I24" s="61">
        <f t="shared" si="21"/>
        <v>0</v>
      </c>
      <c r="J24" s="63"/>
      <c r="K24" s="61">
        <f>AL27+AL49+AL71</f>
        <v>113.80500000000001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49.317284646608712</v>
      </c>
      <c r="E25" s="61">
        <f>BR8</f>
        <v>9.6664631304347832</v>
      </c>
      <c r="F25" s="61">
        <f>BR9</f>
        <v>22.896005873878259</v>
      </c>
      <c r="G25" s="61">
        <f>BR10</f>
        <v>3.7286260869565222</v>
      </c>
      <c r="H25" s="61">
        <f>BR11</f>
        <v>13.027872701565219</v>
      </c>
      <c r="I25" s="61">
        <f>BR12</f>
        <v>0</v>
      </c>
      <c r="J25" s="63"/>
      <c r="K25" s="76">
        <f>'Conduite Trp'!C7</f>
        <v>144.9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0.99271535339128292</v>
      </c>
      <c r="E27" s="93">
        <f t="shared" si="23"/>
        <v>2.1085368695652154</v>
      </c>
      <c r="F27" s="93">
        <f t="shared" si="23"/>
        <v>9.8689941261217413</v>
      </c>
      <c r="G27" s="93">
        <f t="shared" si="23"/>
        <v>14.327373913043479</v>
      </c>
      <c r="H27" s="93">
        <f t="shared" si="23"/>
        <v>14.073127298434784</v>
      </c>
      <c r="I27" s="93">
        <f t="shared" si="23"/>
        <v>0</v>
      </c>
      <c r="J27" s="63"/>
      <c r="K27" s="93">
        <f>K24-K25</f>
        <v>-31.094999999999999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33.11</v>
      </c>
      <c r="AF27" s="75">
        <f t="shared" ref="AF27:AJ27" si="24">SUM(AF7:AF26)</f>
        <v>5.0999999999999996</v>
      </c>
      <c r="AG27" s="75">
        <f t="shared" si="24"/>
        <v>16.91</v>
      </c>
      <c r="AH27" s="75">
        <f t="shared" si="24"/>
        <v>13.549999999999999</v>
      </c>
      <c r="AI27" s="75">
        <f t="shared" si="24"/>
        <v>17.990000000000002</v>
      </c>
      <c r="AJ27" s="75">
        <f t="shared" si="24"/>
        <v>0</v>
      </c>
      <c r="AK27"/>
      <c r="AL27" s="75">
        <f>SUM(AL7:AL26)</f>
        <v>75.150000000000006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1.4613808695652175</v>
      </c>
      <c r="AZ27" s="61">
        <f t="shared" si="25"/>
        <v>3.764488669565218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1.24488</v>
      </c>
      <c r="BD27" s="61">
        <f t="shared" si="25"/>
        <v>1.24488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14.949433039130437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1.286376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5.1455039999999999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2.8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8.3999999999999986</v>
      </c>
      <c r="AF29" s="61">
        <f t="shared" ref="AF29:AF48" si="29">$R29*W29</f>
        <v>5.6</v>
      </c>
      <c r="AG29" s="61">
        <f t="shared" ref="AG29:AG48" si="30">$R29*X29</f>
        <v>4.1999999999999993</v>
      </c>
      <c r="AH29" s="61">
        <f t="shared" ref="AH29:AH48" si="31">$R29*Y29</f>
        <v>1.4</v>
      </c>
      <c r="AI29" s="61">
        <f t="shared" ref="AI29:AI48" si="32">$R29*Z29</f>
        <v>1.4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1.24488</v>
      </c>
      <c r="BJ29" s="61">
        <f t="shared" si="35"/>
        <v>1.24488</v>
      </c>
      <c r="BK29" s="61">
        <f t="shared" si="35"/>
        <v>1.286376</v>
      </c>
      <c r="BL29" s="61">
        <f t="shared" si="35"/>
        <v>0.22371756521739136</v>
      </c>
      <c r="BM29" s="61">
        <f t="shared" si="35"/>
        <v>1.6144372695652174</v>
      </c>
      <c r="BN29" s="61">
        <f t="shared" si="35"/>
        <v>1.6417288695652175</v>
      </c>
      <c r="BO29" s="61">
        <f t="shared" si="35"/>
        <v>0</v>
      </c>
      <c r="BP29" s="61">
        <f t="shared" si="35"/>
        <v>0</v>
      </c>
      <c r="BR29" s="61">
        <f t="shared" si="27"/>
        <v>7.2560197043478265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>
        <v>1.5</v>
      </c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2.25</v>
      </c>
      <c r="AF30" s="61">
        <f t="shared" si="29"/>
        <v>0</v>
      </c>
      <c r="AG30" s="61">
        <f t="shared" si="30"/>
        <v>1.125</v>
      </c>
      <c r="AH30" s="61">
        <f t="shared" si="31"/>
        <v>1.125</v>
      </c>
      <c r="AI30" s="61">
        <f t="shared" si="32"/>
        <v>1.59</v>
      </c>
      <c r="AJ30" s="61">
        <f t="shared" si="33"/>
        <v>0</v>
      </c>
      <c r="AK30"/>
      <c r="AL30" s="61">
        <f t="shared" si="34"/>
        <v>4.9050000000000002</v>
      </c>
      <c r="AR30" s="70">
        <v>4</v>
      </c>
      <c r="AS30" s="61">
        <f>IF(AS$4=4,AS$16,0)</f>
        <v>0.93215652173913055</v>
      </c>
      <c r="AT30" s="61">
        <f t="shared" ref="AT30:BP30" si="36">IF(AT$4=4,AT$16,0)</f>
        <v>0.93215652173913055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0.22371756521739136</v>
      </c>
      <c r="BP30" s="61">
        <f t="shared" si="36"/>
        <v>0.93215652173913055</v>
      </c>
      <c r="BR30" s="61">
        <f t="shared" si="27"/>
        <v>3.0201871304347829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0.84194782608695662</v>
      </c>
      <c r="AV31" s="61">
        <f t="shared" si="37"/>
        <v>0.84194782608695662</v>
      </c>
      <c r="AW31" s="61">
        <f t="shared" si="37"/>
        <v>1.5100935652173912</v>
      </c>
      <c r="AX31" s="61">
        <f t="shared" si="37"/>
        <v>1.5100935652173912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4.7040827826086957</v>
      </c>
    </row>
    <row r="32" spans="2:72" x14ac:dyDescent="0.25">
      <c r="D32" s="68" t="s">
        <v>267</v>
      </c>
      <c r="E32" s="68" t="s">
        <v>18</v>
      </c>
      <c r="F32" s="295" t="s">
        <v>276</v>
      </c>
      <c r="G32" s="295"/>
      <c r="H32" s="82"/>
      <c r="I32" s="68" t="s">
        <v>280</v>
      </c>
      <c r="J32" s="82" t="s">
        <v>280</v>
      </c>
      <c r="K32" s="295" t="s">
        <v>278</v>
      </c>
      <c r="L32" s="295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1.2972607199999999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4.7097552904347824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0.70843895652173916</v>
      </c>
      <c r="BP38" s="61">
        <f t="shared" si="47"/>
        <v>0</v>
      </c>
      <c r="BR38" s="61">
        <f t="shared" si="45"/>
        <v>0.70843895652173916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15.049999999999999</v>
      </c>
      <c r="AF49" s="75">
        <f t="shared" ref="AF49" si="50">SUM(AF29:AF48)</f>
        <v>5.6</v>
      </c>
      <c r="AG49" s="75">
        <f t="shared" ref="AG49" si="51">SUM(AG29:AG48)</f>
        <v>9.4649999999999999</v>
      </c>
      <c r="AH49" s="75">
        <f t="shared" ref="AH49" si="52">SUM(AH29:AH48)</f>
        <v>3.5599999999999996</v>
      </c>
      <c r="AI49" s="75">
        <f t="shared" ref="AI49" si="53">SUM(AI29:AI48)</f>
        <v>8.1649999999999991</v>
      </c>
      <c r="AJ49" s="75">
        <f t="shared" ref="AJ49" si="54">SUM(AJ29:AJ48)</f>
        <v>0</v>
      </c>
      <c r="AK49"/>
      <c r="AL49" s="75">
        <f>SUM(AL29:AL48)</f>
        <v>38.655000000000001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33.11</v>
      </c>
      <c r="E72" s="61">
        <f t="shared" ref="E72:H72" si="69">AF27</f>
        <v>5.0999999999999996</v>
      </c>
      <c r="F72" s="61">
        <f t="shared" si="69"/>
        <v>16.91</v>
      </c>
      <c r="G72" s="61">
        <f t="shared" si="69"/>
        <v>13.549999999999999</v>
      </c>
      <c r="H72" s="61">
        <f t="shared" si="69"/>
        <v>17.990000000000002</v>
      </c>
      <c r="I72" s="61">
        <f t="shared" ref="I72" si="70">AJ75+AJ97+AJ119</f>
        <v>0</v>
      </c>
      <c r="J72" s="63"/>
      <c r="K72" s="61">
        <f>+K24</f>
        <v>113.80500000000001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32.288240477043487</v>
      </c>
      <c r="E73" s="61">
        <f>BR20</f>
        <v>4.5209591304347834</v>
      </c>
      <c r="F73" s="61">
        <f>BR21</f>
        <v>10.930230879095655</v>
      </c>
      <c r="G73" s="61">
        <f>BR22</f>
        <v>0</v>
      </c>
      <c r="H73" s="61">
        <f>BR23</f>
        <v>6.9069120059130444</v>
      </c>
      <c r="I73" s="61">
        <f>BR60</f>
        <v>0</v>
      </c>
      <c r="J73" s="63"/>
      <c r="K73" s="76">
        <f>+K25</f>
        <v>144.9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0.821759522956512</v>
      </c>
      <c r="E75" s="93">
        <f t="shared" ref="E75:I75" si="71">E72-E73</f>
        <v>0.57904086956521628</v>
      </c>
      <c r="F75" s="93">
        <f t="shared" si="71"/>
        <v>5.9797691209043453</v>
      </c>
      <c r="G75" s="93">
        <f t="shared" si="71"/>
        <v>13.549999999999999</v>
      </c>
      <c r="H75" s="93">
        <f t="shared" si="71"/>
        <v>11.083087994086958</v>
      </c>
      <c r="I75" s="93">
        <f t="shared" si="71"/>
        <v>0</v>
      </c>
      <c r="J75" s="63"/>
      <c r="K75" s="93">
        <f>+K27</f>
        <v>-31.094999999999999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15.049999999999999</v>
      </c>
      <c r="E82" s="61">
        <f t="shared" ref="E82:H82" si="72">AF49</f>
        <v>5.6</v>
      </c>
      <c r="F82" s="61">
        <f t="shared" si="72"/>
        <v>9.4649999999999999</v>
      </c>
      <c r="G82" s="61">
        <f t="shared" si="72"/>
        <v>3.5599999999999996</v>
      </c>
      <c r="H82" s="61">
        <f t="shared" si="72"/>
        <v>8.1649999999999991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14.949433039130437</v>
      </c>
      <c r="E83" s="61">
        <f>BR28</f>
        <v>5.1455039999999999</v>
      </c>
      <c r="F83" s="61">
        <f>BR29</f>
        <v>7.2560197043478265</v>
      </c>
      <c r="G83" s="61">
        <f>BR30</f>
        <v>3.0201871304347829</v>
      </c>
      <c r="H83" s="61">
        <f>BR31</f>
        <v>4.7040827826086957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0.10056696086956229</v>
      </c>
      <c r="E85" s="93">
        <f t="shared" ref="E85:H85" si="73">E82-E83</f>
        <v>0.45449599999999979</v>
      </c>
      <c r="F85" s="93">
        <f t="shared" si="73"/>
        <v>2.2089802956521734</v>
      </c>
      <c r="G85" s="93">
        <f t="shared" si="73"/>
        <v>0.53981286956521668</v>
      </c>
      <c r="H85" s="93">
        <f t="shared" si="73"/>
        <v>3.4609172173913034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4.7097552904347824</v>
      </c>
      <c r="G93" s="61">
        <f>BR38</f>
        <v>0.70843895652173916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1.6802447095652173</v>
      </c>
      <c r="G95" s="93">
        <f t="shared" si="75"/>
        <v>0.23756104347826079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22" sqref="B22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0.8</v>
      </c>
      <c r="L2" s="8">
        <f t="shared" ref="L2:L33" si="0">IF(J2=$Y$6,K2*$AA$6,IF(J2=$Y$7,K2*$AA$7,IF(J2=$Y$8,K2*$AA$8,"")))</f>
        <v>0.88000000000000012</v>
      </c>
      <c r="M2" s="10">
        <f>IF(I2=$Y$11,SQRT(L2*10000),SQRT(Parcellaire!L2*10000)/$AC$12)</f>
        <v>66.332495807108003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298.49623113198606</v>
      </c>
      <c r="U2" s="10">
        <f t="shared" ref="U2:U39" si="5">IF(C2=2,Q2*M2,0)</f>
        <v>198.99748742132402</v>
      </c>
      <c r="V2" s="27">
        <f t="shared" ref="V2:V39" si="6">O2*M2</f>
        <v>397.99497484264805</v>
      </c>
      <c r="W2" s="3"/>
      <c r="X2" s="3"/>
    </row>
    <row r="3" spans="1:29" ht="15" customHeight="1" x14ac:dyDescent="0.25">
      <c r="A3" s="8">
        <v>2</v>
      </c>
      <c r="B3" s="9">
        <v>1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0.9900000000000001</v>
      </c>
      <c r="L3" s="8">
        <f t="shared" ref="L3:L24" si="8">IF(J3=$Y$6,K3*$AA$6,IF(J3=$Y$7,K3*$AA$7,IF(J3=$Y$8,K3*$AA$8,"")))</f>
        <v>1.0890000000000002</v>
      </c>
      <c r="M3" s="10">
        <f>IF(I3=$Y$11,SQRT(L3*10000),SQRT(Parcellaire!L3*10000)/$AC$12)</f>
        <v>73.79024325749306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332.05609465871879</v>
      </c>
      <c r="U3" s="10">
        <f>IF(C3=2,Q3*M3,0)</f>
        <v>221.37072977247919</v>
      </c>
      <c r="V3" s="27">
        <f t="shared" si="6"/>
        <v>442.74145954495839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1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1.2100000000000002</v>
      </c>
      <c r="L6" s="8">
        <f t="shared" si="8"/>
        <v>1.3310000000000004</v>
      </c>
      <c r="M6" s="10">
        <f>IF(I6=$Y$11,SQRT(L6*10000),SQRT(Parcellaire!L6*10000)/$AC$12)</f>
        <v>81.5781833580523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367.10182511123537</v>
      </c>
      <c r="U6" s="10">
        <f t="shared" si="5"/>
        <v>244.73455007415691</v>
      </c>
      <c r="V6" s="27">
        <f t="shared" si="6"/>
        <v>489.46910014831383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1.6500000000000001</v>
      </c>
      <c r="L7" s="8">
        <f t="shared" si="8"/>
        <v>1.8150000000000004</v>
      </c>
      <c r="M7" s="10">
        <f>IF(I7=$Y$11,SQRT(L7*10000),SQRT(Parcellaire!L7*10000)/$AC$12)</f>
        <v>95.262794416288244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428.68257487329714</v>
      </c>
      <c r="U7" s="10">
        <f t="shared" si="5"/>
        <v>285.78838324886476</v>
      </c>
      <c r="V7" s="27">
        <f t="shared" si="6"/>
        <v>571.57676649772952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9365.1215451202352</v>
      </c>
      <c r="AB18" t="s">
        <v>42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1.1000000000000001</v>
      </c>
      <c r="L19" s="8">
        <f t="shared" si="8"/>
        <v>1.2100000000000002</v>
      </c>
      <c r="M19" s="10">
        <f>IF(I19=$Y$11,SQRT(L19*10000),SQRT(Parcellaire!L19*10000)/$AC$12)</f>
        <v>77.781745930520231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350.01785668734101</v>
      </c>
      <c r="U19" s="10">
        <f t="shared" si="5"/>
        <v>233.34523779156069</v>
      </c>
      <c r="V19" s="27">
        <f t="shared" si="6"/>
        <v>466.69047558312138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si="2"/>
        <v>0</v>
      </c>
      <c r="S20" s="10">
        <f t="shared" si="3"/>
        <v>0</v>
      </c>
      <c r="T20" s="10">
        <f t="shared" si="4"/>
        <v>1010.7818755794941</v>
      </c>
      <c r="U20" s="10">
        <f t="shared" si="5"/>
        <v>0</v>
      </c>
      <c r="V20" s="27">
        <f t="shared" si="6"/>
        <v>1010.7818755794941</v>
      </c>
      <c r="W20" s="3"/>
      <c r="X20" s="3"/>
      <c r="Z20" s="20"/>
      <c r="AA20" s="136">
        <f>AA18+AA19</f>
        <v>9365.1215451202352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2"/>
        <v>0</v>
      </c>
      <c r="S21" s="10">
        <f t="shared" si="3"/>
        <v>0</v>
      </c>
      <c r="T21" s="10">
        <f t="shared" si="4"/>
        <v>1271.0940169790747</v>
      </c>
      <c r="U21" s="10">
        <f t="shared" si="5"/>
        <v>0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2.2000000000000002</v>
      </c>
      <c r="L22" s="8">
        <f t="shared" si="8"/>
        <v>2.4200000000000004</v>
      </c>
      <c r="M22" s="10">
        <f>IF(I22=$Y$11,SQRT(L22*10000),SQRT(Parcellaire!L22*10000)/$AC$12)</f>
        <v>110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495</v>
      </c>
      <c r="U22" s="10">
        <f t="shared" si="5"/>
        <v>330</v>
      </c>
      <c r="V22" s="27">
        <f t="shared" si="6"/>
        <v>660</v>
      </c>
      <c r="W22" s="3"/>
      <c r="X22" s="3"/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2.2000000000000002</v>
      </c>
      <c r="L23" s="8">
        <f t="shared" si="8"/>
        <v>2.4200000000000004</v>
      </c>
      <c r="M23" s="10">
        <f>IF(I23=$Y$11,SQRT(L23*10000),SQRT(Parcellaire!L23*10000)/$AC$12)</f>
        <v>110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495</v>
      </c>
      <c r="U23" s="10">
        <f t="shared" si="5"/>
        <v>330</v>
      </c>
      <c r="V23" s="27">
        <f t="shared" si="6"/>
        <v>660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ref="Q20:Q65" si="15">O24-P24</f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39.1</v>
      </c>
      <c r="H66" s="170"/>
      <c r="I66" s="170">
        <f>SUMIF(Parcellaire!$B$2:$B$65,1,Parcellaire!I2:I65)</f>
        <v>54</v>
      </c>
      <c r="J66" s="170">
        <f>SUMIF(Parcellaire!$B$2:$B$65,1,Parcellaire!J2:J65)</f>
        <v>11.5</v>
      </c>
      <c r="K66" s="170">
        <f>SUMIF(Parcellaire!$B$2:$B$65,1,Parcellaire!K2:K65)</f>
        <v>42.160000000000011</v>
      </c>
      <c r="L66" s="170">
        <f>SUMIF(Parcellaire!$B$2:$B$65,1,Parcellaire!L2:L65)</f>
        <v>47.297000000000011</v>
      </c>
      <c r="M66" s="170">
        <f>SUMIF(Parcellaire!$B$2:$B$65,1,Parcellaire!M2:M65)</f>
        <v>1954.3672382179097</v>
      </c>
      <c r="N66" s="170">
        <f>SUMIF(Parcellaire!$B$2:$B$65,1,Parcellaire!N2:N65)</f>
        <v>120</v>
      </c>
      <c r="O66" s="170">
        <f>SUMIF(Parcellaire!$B$2:$B$65,1,Parcellaire!O2:O65)</f>
        <v>114</v>
      </c>
      <c r="P66" s="170">
        <f>SUMIF(Parcellaire!$B$2:$B$65,1,Parcellaire!P2:P65)</f>
        <v>0</v>
      </c>
      <c r="Q66" s="170">
        <f>SUMIF(Parcellaire!$B$2:$B$65,1,Parcellaire!Q2:Q65)</f>
        <v>51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9365.1215451202352</v>
      </c>
      <c r="U66" s="170">
        <f>SUMIF(Parcellaire!$B$2:$B$65,1,Parcellaire!U2:U65)</f>
        <v>4722.1637683744448</v>
      </c>
      <c r="V66" s="170">
        <f>SUMIF(Parcellaire!$B$2:$B$65,1,Parcellaire!V2:V65)</f>
        <v>11726.203429307458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5" t="s">
        <v>2</v>
      </c>
      <c r="C64" s="295"/>
      <c r="D64" s="295" t="s">
        <v>0</v>
      </c>
      <c r="E64" s="295"/>
      <c r="F64" s="295" t="s">
        <v>1</v>
      </c>
      <c r="G64" s="295"/>
      <c r="H64" s="295" t="s">
        <v>3</v>
      </c>
      <c r="I64" s="295"/>
      <c r="J64" s="295" t="s">
        <v>4</v>
      </c>
      <c r="K64" s="295"/>
      <c r="L64" s="295" t="s">
        <v>5</v>
      </c>
      <c r="M64" s="295"/>
      <c r="N64" s="295" t="s">
        <v>6</v>
      </c>
      <c r="O64" s="295"/>
      <c r="P64" s="295" t="s">
        <v>7</v>
      </c>
      <c r="Q64" s="295"/>
      <c r="R64" s="295" t="s">
        <v>8</v>
      </c>
      <c r="S64" s="295"/>
      <c r="T64" s="295" t="s">
        <v>9</v>
      </c>
      <c r="U64" s="295"/>
      <c r="V64" s="295" t="s">
        <v>10</v>
      </c>
      <c r="W64" s="295"/>
      <c r="X64" s="295" t="s">
        <v>11</v>
      </c>
      <c r="Y64" s="295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5" t="s">
        <v>2</v>
      </c>
      <c r="C90" s="295"/>
      <c r="D90" s="295" t="s">
        <v>0</v>
      </c>
      <c r="E90" s="295"/>
      <c r="F90" s="295" t="s">
        <v>1</v>
      </c>
      <c r="G90" s="295"/>
      <c r="H90" s="295" t="s">
        <v>3</v>
      </c>
      <c r="I90" s="295"/>
      <c r="J90" s="295" t="s">
        <v>4</v>
      </c>
      <c r="K90" s="295"/>
      <c r="L90" s="295" t="s">
        <v>5</v>
      </c>
      <c r="M90" s="295"/>
      <c r="N90" s="295" t="s">
        <v>6</v>
      </c>
      <c r="O90" s="295"/>
      <c r="P90" s="295" t="s">
        <v>7</v>
      </c>
      <c r="Q90" s="295"/>
      <c r="R90" s="295" t="s">
        <v>8</v>
      </c>
      <c r="S90" s="295"/>
      <c r="T90" s="295" t="s">
        <v>9</v>
      </c>
      <c r="U90" s="295"/>
      <c r="V90" s="295" t="s">
        <v>10</v>
      </c>
      <c r="W90" s="295"/>
      <c r="X90" s="295" t="s">
        <v>11</v>
      </c>
      <c r="Y90" s="295"/>
      <c r="AC90" t="s">
        <v>429</v>
      </c>
      <c r="AD90" s="295" t="s">
        <v>2</v>
      </c>
      <c r="AE90" s="295"/>
      <c r="AF90" s="295" t="s">
        <v>0</v>
      </c>
      <c r="AG90" s="295"/>
      <c r="AH90" s="295" t="s">
        <v>1</v>
      </c>
      <c r="AI90" s="295"/>
      <c r="AJ90" s="295" t="s">
        <v>3</v>
      </c>
      <c r="AK90" s="295"/>
      <c r="AL90" s="295" t="s">
        <v>4</v>
      </c>
      <c r="AM90" s="295"/>
      <c r="AN90" s="295" t="s">
        <v>5</v>
      </c>
      <c r="AO90" s="295"/>
      <c r="AP90" s="295" t="s">
        <v>6</v>
      </c>
      <c r="AQ90" s="295"/>
      <c r="AR90" s="295" t="s">
        <v>7</v>
      </c>
      <c r="AS90" s="295"/>
      <c r="AT90" s="295" t="s">
        <v>8</v>
      </c>
      <c r="AU90" s="295"/>
      <c r="AV90" s="295" t="s">
        <v>9</v>
      </c>
      <c r="AW90" s="295"/>
      <c r="AX90" s="295" t="s">
        <v>10</v>
      </c>
      <c r="AY90" s="295"/>
      <c r="AZ90" s="295" t="s">
        <v>11</v>
      </c>
      <c r="BA90" s="295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5" t="s">
        <v>2</v>
      </c>
      <c r="C117" s="295"/>
      <c r="D117" s="295" t="s">
        <v>0</v>
      </c>
      <c r="E117" s="295"/>
      <c r="F117" s="295" t="s">
        <v>1</v>
      </c>
      <c r="G117" s="295"/>
      <c r="H117" s="295" t="s">
        <v>3</v>
      </c>
      <c r="I117" s="295"/>
      <c r="J117" s="295" t="s">
        <v>4</v>
      </c>
      <c r="K117" s="295"/>
      <c r="L117" s="295" t="s">
        <v>5</v>
      </c>
      <c r="M117" s="295"/>
      <c r="N117" s="295" t="s">
        <v>6</v>
      </c>
      <c r="O117" s="295"/>
      <c r="P117" s="295" t="s">
        <v>7</v>
      </c>
      <c r="Q117" s="295"/>
      <c r="R117" s="295" t="s">
        <v>8</v>
      </c>
      <c r="S117" s="295"/>
      <c r="T117" s="295" t="s">
        <v>9</v>
      </c>
      <c r="U117" s="295"/>
      <c r="V117" s="295" t="s">
        <v>10</v>
      </c>
      <c r="W117" s="295"/>
      <c r="X117" s="295" t="s">
        <v>11</v>
      </c>
      <c r="Y117" s="295"/>
      <c r="AD117" s="295" t="s">
        <v>2</v>
      </c>
      <c r="AE117" s="295"/>
      <c r="AF117" s="295" t="s">
        <v>0</v>
      </c>
      <c r="AG117" s="295"/>
      <c r="AH117" s="295" t="s">
        <v>1</v>
      </c>
      <c r="AI117" s="295"/>
      <c r="AJ117" s="295" t="s">
        <v>3</v>
      </c>
      <c r="AK117" s="295"/>
      <c r="AL117" s="295" t="s">
        <v>4</v>
      </c>
      <c r="AM117" s="295"/>
      <c r="AN117" s="295" t="s">
        <v>5</v>
      </c>
      <c r="AO117" s="295"/>
      <c r="AP117" s="295" t="s">
        <v>6</v>
      </c>
      <c r="AQ117" s="295"/>
      <c r="AR117" s="295" t="s">
        <v>7</v>
      </c>
      <c r="AS117" s="295"/>
      <c r="AT117" s="295" t="s">
        <v>8</v>
      </c>
      <c r="AU117" s="295"/>
      <c r="AV117" s="295" t="s">
        <v>9</v>
      </c>
      <c r="AW117" s="295"/>
      <c r="AX117" s="295" t="s">
        <v>10</v>
      </c>
      <c r="AY117" s="295"/>
      <c r="AZ117" s="295" t="s">
        <v>11</v>
      </c>
      <c r="BA117" s="295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61" zoomScale="80" zoomScaleNormal="80" workbookViewId="0">
      <selection activeCell="K96" sqref="K96:K9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23.5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2.35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5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2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>
        <v>4</v>
      </c>
      <c r="P61" t="s">
        <v>583</v>
      </c>
    </row>
    <row r="62" spans="10:16" x14ac:dyDescent="0.25">
      <c r="J62" s="14" t="s">
        <v>584</v>
      </c>
      <c r="K62" s="80">
        <v>12</v>
      </c>
    </row>
    <row r="63" spans="10:16" x14ac:dyDescent="0.25">
      <c r="J63"/>
      <c r="K63" s="80">
        <v>1</v>
      </c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48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48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13">
        <v>1</v>
      </c>
      <c r="V76" s="13" t="s">
        <v>598</v>
      </c>
    </row>
    <row r="77" spans="10:22" x14ac:dyDescent="0.25">
      <c r="J77" s="14" t="s">
        <v>599</v>
      </c>
      <c r="K77" s="80"/>
      <c r="R77">
        <v>2</v>
      </c>
      <c r="U77" s="13">
        <v>2</v>
      </c>
      <c r="V77" s="13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1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2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10">IF($T165&gt;0,$S165,0)</f>
        <v>11</v>
      </c>
      <c r="V165" s="173">
        <f t="shared" ref="V165:V207" si="11">IF($T165&gt;1,$S165,0)</f>
        <v>11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11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11</v>
      </c>
      <c r="AL165" s="5"/>
      <c r="AN165" s="32" t="s">
        <v>659</v>
      </c>
      <c r="AO165" s="173">
        <f>SUM(AD164:AD183)</f>
        <v>18.7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10"/>
        <v>1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1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1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10"/>
        <v>0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0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0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2.8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2.8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10"/>
        <v>1.5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1.5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1.5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</v>
      </c>
      <c r="U228" s="62">
        <f>SUM(U164:U227)</f>
        <v>23.5</v>
      </c>
      <c r="V228" s="62">
        <f t="shared" ref="V228:W228" si="22">SUM(V164:V227)</f>
        <v>16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4.5</v>
      </c>
      <c r="AI228" s="62">
        <f t="shared" si="24"/>
        <v>7.5</v>
      </c>
      <c r="AJ228" s="62">
        <f t="shared" si="24"/>
        <v>11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V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0</v>
      </c>
      <c r="D3" s="177">
        <f t="shared" si="0"/>
        <v>0</v>
      </c>
      <c r="E3" s="177">
        <f t="shared" si="0"/>
        <v>1</v>
      </c>
      <c r="F3" s="177">
        <f t="shared" si="0"/>
        <v>2</v>
      </c>
      <c r="G3" s="177">
        <f t="shared" si="0"/>
        <v>2</v>
      </c>
      <c r="H3" s="177">
        <f t="shared" si="0"/>
        <v>2</v>
      </c>
      <c r="I3" s="177">
        <f t="shared" si="0"/>
        <v>2</v>
      </c>
      <c r="J3" s="177">
        <f t="shared" si="0"/>
        <v>2</v>
      </c>
      <c r="K3" s="177">
        <f t="shared" si="0"/>
        <v>3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0</v>
      </c>
      <c r="Z3" s="177">
        <f t="shared" si="0"/>
        <v>0</v>
      </c>
      <c r="AB3" s="32"/>
      <c r="AC3" s="5"/>
      <c r="AD3" s="276"/>
      <c r="AE3" s="276"/>
      <c r="AF3" s="276"/>
      <c r="AO3" s="14" t="s">
        <v>681</v>
      </c>
      <c r="AP3" s="30">
        <f>BG31</f>
        <v>2282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2</v>
      </c>
      <c r="D4" s="177">
        <f t="shared" ref="D4:Z4" si="1">COUNTIF(D81:D90,2)</f>
        <v>2</v>
      </c>
      <c r="E4" s="177">
        <f t="shared" si="1"/>
        <v>2</v>
      </c>
      <c r="F4" s="177">
        <f t="shared" si="1"/>
        <v>2</v>
      </c>
      <c r="G4" s="177">
        <f t="shared" si="1"/>
        <v>1</v>
      </c>
      <c r="H4" s="177">
        <f t="shared" si="1"/>
        <v>1</v>
      </c>
      <c r="I4" s="177">
        <f t="shared" si="1"/>
        <v>1</v>
      </c>
      <c r="J4" s="177">
        <f t="shared" si="1"/>
        <v>1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1</v>
      </c>
      <c r="W4" s="177">
        <f t="shared" si="1"/>
        <v>1</v>
      </c>
      <c r="X4" s="177">
        <f t="shared" si="1"/>
        <v>1</v>
      </c>
      <c r="Y4" s="177">
        <f t="shared" si="1"/>
        <v>1</v>
      </c>
      <c r="Z4" s="177">
        <f t="shared" si="1"/>
        <v>2</v>
      </c>
      <c r="AB4" s="32"/>
      <c r="AC4" s="5"/>
      <c r="AD4" s="276"/>
      <c r="AE4" s="276"/>
      <c r="AF4" s="276"/>
      <c r="AO4" s="14" t="s">
        <v>683</v>
      </c>
      <c r="AP4" s="30">
        <f>SUM(BG31:BI31)</f>
        <v>9365</v>
      </c>
      <c r="AQ4">
        <f>SUM(BJ31:BL31)</f>
        <v>39.099999999999994</v>
      </c>
      <c r="AV4" s="30">
        <f>Parcellaire!A2</f>
        <v>1</v>
      </c>
      <c r="AW4" s="30">
        <f>Parcellaire!B2</f>
        <v>1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298</v>
      </c>
      <c r="BC4" s="30">
        <f>ROUND(Parcellaire!U2,0)</f>
        <v>199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298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0.8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1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10</v>
      </c>
      <c r="AO5" s="14" t="s">
        <v>685</v>
      </c>
      <c r="AP5" s="30">
        <f>BI31</f>
        <v>2766</v>
      </c>
      <c r="AV5" s="30">
        <f>Parcellaire!A3</f>
        <v>2</v>
      </c>
      <c r="AW5" s="30">
        <f>Parcellaire!B3</f>
        <v>1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332</v>
      </c>
      <c r="BC5" s="30">
        <f>ROUND(Parcellaire!U3,0)</f>
        <v>221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332</v>
      </c>
      <c r="BJ5" s="173">
        <f t="shared" si="6"/>
        <v>0</v>
      </c>
      <c r="BK5" s="173">
        <f t="shared" si="7"/>
        <v>0</v>
      </c>
      <c r="BL5" s="173">
        <f t="shared" si="8"/>
        <v>0.9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2</v>
      </c>
      <c r="O7" s="177">
        <f t="shared" si="13"/>
        <v>2</v>
      </c>
      <c r="P7" s="177">
        <f t="shared" si="13"/>
        <v>2</v>
      </c>
      <c r="Q7" s="177">
        <f t="shared" si="13"/>
        <v>2</v>
      </c>
      <c r="R7" s="177">
        <f t="shared" si="13"/>
        <v>2</v>
      </c>
      <c r="S7" s="177">
        <f t="shared" si="13"/>
        <v>2</v>
      </c>
      <c r="T7" s="177">
        <f t="shared" si="13"/>
        <v>2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3792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4</v>
      </c>
      <c r="D8" s="177">
        <f>(D3+D4)*[1]Protect!$B$12</f>
        <v>4</v>
      </c>
      <c r="E8" s="177">
        <f>(E3+E4)*[1]Protect!$B$12</f>
        <v>6</v>
      </c>
      <c r="F8" s="177">
        <f>(F3+F4)*[1]Protect!$B$12</f>
        <v>8</v>
      </c>
      <c r="G8" s="177">
        <f>(G3+G4)*[1]Protect!$B$12</f>
        <v>6</v>
      </c>
      <c r="H8" s="177">
        <f>(H3+H4)*[1]Protect!$B$12</f>
        <v>6</v>
      </c>
      <c r="I8" s="177">
        <f>(I3+I4)*[1]Protect!$B$12</f>
        <v>6</v>
      </c>
      <c r="J8" s="177">
        <f>(J3+J4)*[1]Protect!$B$12</f>
        <v>6</v>
      </c>
      <c r="K8" s="177">
        <f>(K3+K4)*[1]Protect!$B$12</f>
        <v>6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4</v>
      </c>
      <c r="W8" s="177">
        <f>(W3+W4)*[1]Protect!$B$12</f>
        <v>2</v>
      </c>
      <c r="X8" s="177">
        <f>(X3+X4)*[1]Protect!$B$12</f>
        <v>2</v>
      </c>
      <c r="Y8" s="177">
        <f>(Y3+Y4)*[1]Protect!$B$12</f>
        <v>2</v>
      </c>
      <c r="Z8" s="177">
        <f>(Z3+Z4)*[1]Protect!$B$12</f>
        <v>4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10</v>
      </c>
      <c r="AO8" s="14"/>
      <c r="AV8" s="30">
        <f>Parcellaire!A6</f>
        <v>5</v>
      </c>
      <c r="AW8" s="30">
        <f>Parcellaire!B6</f>
        <v>1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367</v>
      </c>
      <c r="BC8" s="30">
        <f>ROUND(Parcellaire!U6,0)</f>
        <v>245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3">
        <f t="shared" si="11"/>
        <v>0</v>
      </c>
      <c r="BH8" s="173">
        <f t="shared" si="4"/>
        <v>0</v>
      </c>
      <c r="BI8" s="173">
        <f t="shared" si="5"/>
        <v>367</v>
      </c>
      <c r="BJ8" s="173">
        <f t="shared" si="6"/>
        <v>0</v>
      </c>
      <c r="BK8" s="173">
        <f t="shared" si="7"/>
        <v>0</v>
      </c>
      <c r="BL8" s="173">
        <f t="shared" si="8"/>
        <v>1.1000000000000001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3</v>
      </c>
      <c r="Z9" s="177">
        <f>Z5*[1]Protect!$B$13</f>
        <v>0</v>
      </c>
      <c r="AV9" s="30">
        <f>Parcellaire!A7</f>
        <v>6</v>
      </c>
      <c r="AW9" s="30">
        <f>Parcellaire!B7</f>
        <v>1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429</v>
      </c>
      <c r="BC9" s="30">
        <f>ROUND(Parcellaire!U7,0)</f>
        <v>286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PE</v>
      </c>
      <c r="BG9" s="173">
        <f t="shared" si="11"/>
        <v>0</v>
      </c>
      <c r="BH9" s="173">
        <f t="shared" si="4"/>
        <v>0</v>
      </c>
      <c r="BI9" s="173">
        <f t="shared" si="5"/>
        <v>429</v>
      </c>
      <c r="BJ9" s="173">
        <f t="shared" si="6"/>
        <v>0</v>
      </c>
      <c r="BK9" s="173">
        <f t="shared" si="7"/>
        <v>0</v>
      </c>
      <c r="BL9" s="173">
        <f t="shared" si="8"/>
        <v>1.5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4</v>
      </c>
      <c r="D11" s="177">
        <f t="shared" ref="D11:Z11" si="14">SUM(D8:D10)</f>
        <v>4</v>
      </c>
      <c r="E11" s="177">
        <f t="shared" si="14"/>
        <v>6</v>
      </c>
      <c r="F11" s="177">
        <f t="shared" si="14"/>
        <v>8</v>
      </c>
      <c r="G11" s="177">
        <f t="shared" si="14"/>
        <v>9</v>
      </c>
      <c r="H11" s="177">
        <f t="shared" si="14"/>
        <v>9</v>
      </c>
      <c r="I11" s="177">
        <f t="shared" si="14"/>
        <v>9</v>
      </c>
      <c r="J11" s="177">
        <f t="shared" si="14"/>
        <v>9</v>
      </c>
      <c r="K11" s="177">
        <f t="shared" si="14"/>
        <v>9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7</v>
      </c>
      <c r="W11" s="177">
        <f t="shared" si="14"/>
        <v>5</v>
      </c>
      <c r="X11" s="177">
        <f t="shared" si="14"/>
        <v>5</v>
      </c>
      <c r="Y11" s="177">
        <f t="shared" si="14"/>
        <v>5</v>
      </c>
      <c r="Z11" s="177">
        <f t="shared" si="14"/>
        <v>4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8</v>
      </c>
      <c r="O12" s="177">
        <f>O7*[1]Protect!$B$15</f>
        <v>8</v>
      </c>
      <c r="P12" s="177">
        <f>P7*[1]Protect!$B$15</f>
        <v>8</v>
      </c>
      <c r="Q12" s="177">
        <f>Q7*[1]Protect!$B$15</f>
        <v>8</v>
      </c>
      <c r="R12" s="177">
        <f>R7*[1]Protect!$B$15</f>
        <v>8</v>
      </c>
      <c r="S12" s="177">
        <f>S7*[1]Protect!$B$15</f>
        <v>8</v>
      </c>
      <c r="T12" s="177">
        <f>T7*[1]Protect!$B$15</f>
        <v>8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4</v>
      </c>
      <c r="D13" s="177">
        <f t="shared" ref="D13:Z13" si="15">D11+D12</f>
        <v>4</v>
      </c>
      <c r="E13" s="177">
        <f t="shared" si="15"/>
        <v>6</v>
      </c>
      <c r="F13" s="177">
        <f t="shared" si="15"/>
        <v>8</v>
      </c>
      <c r="G13" s="177">
        <f t="shared" si="15"/>
        <v>9</v>
      </c>
      <c r="H13" s="177">
        <f t="shared" si="15"/>
        <v>9</v>
      </c>
      <c r="I13" s="177">
        <f t="shared" si="15"/>
        <v>9</v>
      </c>
      <c r="J13" s="177">
        <f t="shared" si="15"/>
        <v>9</v>
      </c>
      <c r="K13" s="177">
        <f t="shared" si="15"/>
        <v>9</v>
      </c>
      <c r="L13" s="177">
        <f t="shared" si="15"/>
        <v>4</v>
      </c>
      <c r="M13" s="177">
        <f t="shared" si="15"/>
        <v>4</v>
      </c>
      <c r="N13" s="177">
        <f t="shared" si="15"/>
        <v>10</v>
      </c>
      <c r="O13" s="177">
        <f t="shared" si="15"/>
        <v>10</v>
      </c>
      <c r="P13" s="177">
        <f t="shared" si="15"/>
        <v>10</v>
      </c>
      <c r="Q13" s="177">
        <f t="shared" si="15"/>
        <v>10</v>
      </c>
      <c r="R13" s="177">
        <f t="shared" si="15"/>
        <v>10</v>
      </c>
      <c r="S13" s="177">
        <f t="shared" si="15"/>
        <v>10</v>
      </c>
      <c r="T13" s="177">
        <f t="shared" si="15"/>
        <v>10</v>
      </c>
      <c r="U13" s="177">
        <f t="shared" si="15"/>
        <v>4</v>
      </c>
      <c r="V13" s="177">
        <f t="shared" si="15"/>
        <v>7</v>
      </c>
      <c r="W13" s="177">
        <f t="shared" si="15"/>
        <v>5</v>
      </c>
      <c r="X13" s="177">
        <f t="shared" si="15"/>
        <v>5</v>
      </c>
      <c r="Y13" s="177">
        <f t="shared" si="15"/>
        <v>5</v>
      </c>
      <c r="Z13" s="177">
        <f t="shared" si="15"/>
        <v>4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1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2</v>
      </c>
      <c r="D16" s="173">
        <f t="shared" si="17"/>
        <v>2</v>
      </c>
      <c r="E16" s="173">
        <f t="shared" si="17"/>
        <v>2</v>
      </c>
      <c r="F16" s="173">
        <f t="shared" si="17"/>
        <v>1</v>
      </c>
      <c r="G16" s="173">
        <f t="shared" si="17"/>
        <v>1</v>
      </c>
      <c r="H16" s="173">
        <f t="shared" si="17"/>
        <v>0</v>
      </c>
      <c r="I16" s="173">
        <f t="shared" si="17"/>
        <v>0</v>
      </c>
      <c r="J16" s="173">
        <f t="shared" si="17"/>
        <v>0</v>
      </c>
      <c r="K16" s="173">
        <f t="shared" si="17"/>
        <v>0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0</v>
      </c>
      <c r="W16" s="173">
        <f t="shared" si="17"/>
        <v>1</v>
      </c>
      <c r="X16" s="173">
        <f t="shared" si="17"/>
        <v>2</v>
      </c>
      <c r="Y16" s="173">
        <f t="shared" si="17"/>
        <v>2</v>
      </c>
      <c r="Z16" s="173">
        <f t="shared" si="17"/>
        <v>2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2</v>
      </c>
      <c r="D17" s="173">
        <f t="shared" si="18"/>
        <v>2</v>
      </c>
      <c r="E17" s="173">
        <f t="shared" si="18"/>
        <v>2</v>
      </c>
      <c r="F17" s="173">
        <f t="shared" si="18"/>
        <v>3</v>
      </c>
      <c r="G17" s="173">
        <f t="shared" si="18"/>
        <v>3</v>
      </c>
      <c r="H17" s="173">
        <f t="shared" si="18"/>
        <v>4</v>
      </c>
      <c r="I17" s="173">
        <f t="shared" si="18"/>
        <v>4</v>
      </c>
      <c r="J17" s="173">
        <f t="shared" si="18"/>
        <v>4</v>
      </c>
      <c r="K17" s="173">
        <f t="shared" si="18"/>
        <v>4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2</v>
      </c>
      <c r="X17" s="173">
        <f t="shared" si="18"/>
        <v>2</v>
      </c>
      <c r="Y17" s="173">
        <f t="shared" si="18"/>
        <v>2</v>
      </c>
      <c r="Z17" s="173">
        <f t="shared" si="18"/>
        <v>2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2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9365</v>
      </c>
      <c r="AE20" s="64">
        <v>0</v>
      </c>
      <c r="AF20" s="64">
        <f>SUM(AD20:AE20)</f>
        <v>9365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2</v>
      </c>
      <c r="O21" s="62">
        <f>IF(Protection!O20&gt;0,Scénario!$K$58,0)</f>
        <v>2</v>
      </c>
      <c r="P21" s="62">
        <f>IF(Protection!P20&gt;0,Scénario!$K$58,0)</f>
        <v>2</v>
      </c>
      <c r="Q21" s="62">
        <f>IF(Protection!Q20&gt;0,Scénario!$K$58,0)</f>
        <v>2</v>
      </c>
      <c r="R21" s="62">
        <f>IF(Protection!R20&gt;0,Scénario!$K$58,0)</f>
        <v>2</v>
      </c>
      <c r="S21" s="62">
        <f>IF(Protection!S20&gt;0,Scénario!$K$58,0)</f>
        <v>2</v>
      </c>
      <c r="T21" s="62">
        <f>IF(Protection!T20&gt;0,Scénario!$K$58,0)</f>
        <v>2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9365</v>
      </c>
      <c r="AV21" s="30">
        <f>Parcellaire!A19</f>
        <v>18</v>
      </c>
      <c r="AW21" s="30">
        <f>Parcellaire!B19</f>
        <v>1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350</v>
      </c>
      <c r="BC21" s="30">
        <f>ROUND(Parcellaire!U19,0)</f>
        <v>233</v>
      </c>
      <c r="BD21" s="30" t="str">
        <f>IF(AW21=2,"",VLOOKUP(AY21,[1]MEP!$X$5:$AA$250,4))</f>
        <v>PT</v>
      </c>
      <c r="BE21" s="30" t="str">
        <f>IF(AW21=2,"",VLOOKUP(BD21,[1]MEP!$AC$5:$AD$10,2))</f>
        <v>P</v>
      </c>
      <c r="BF21" s="30" t="str">
        <f t="shared" si="10"/>
        <v>PE</v>
      </c>
      <c r="BG21" s="173">
        <f t="shared" si="11"/>
        <v>0</v>
      </c>
      <c r="BH21" s="173">
        <f t="shared" si="4"/>
        <v>0</v>
      </c>
      <c r="BI21" s="173">
        <f t="shared" si="5"/>
        <v>350</v>
      </c>
      <c r="BJ21" s="173">
        <f t="shared" si="6"/>
        <v>0</v>
      </c>
      <c r="BK21" s="173">
        <f t="shared" si="7"/>
        <v>0</v>
      </c>
      <c r="BL21" s="173">
        <f t="shared" si="8"/>
        <v>1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3</v>
      </c>
      <c r="O22" s="62">
        <f t="shared" si="22"/>
        <v>3</v>
      </c>
      <c r="P22" s="62">
        <f t="shared" si="22"/>
        <v>3</v>
      </c>
      <c r="Q22" s="62">
        <f t="shared" si="22"/>
        <v>3</v>
      </c>
      <c r="R22" s="62">
        <f t="shared" si="22"/>
        <v>3</v>
      </c>
      <c r="S22" s="62">
        <f t="shared" si="22"/>
        <v>3</v>
      </c>
      <c r="T22" s="62">
        <f t="shared" si="22"/>
        <v>3</v>
      </c>
      <c r="U22" s="62">
        <f t="shared" si="22"/>
        <v>1</v>
      </c>
      <c r="V22" s="62">
        <f t="shared" si="22"/>
        <v>2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1011</v>
      </c>
      <c r="BC22" s="30">
        <f>ROUND(Parcellaire!U20,0)</f>
        <v>0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1011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1271</v>
      </c>
      <c r="BC23" s="30">
        <f>ROUND(Parcellaire!U21,0)</f>
        <v>0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1271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1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495</v>
      </c>
      <c r="BC24" s="30">
        <f>ROUND(Parcellaire!U22,0)</f>
        <v>330</v>
      </c>
      <c r="BD24" s="30" t="str">
        <f>IF(AW24=2,"",VLOOKUP(AY24,[1]MEP!$X$5:$AA$250,4))</f>
        <v>PT</v>
      </c>
      <c r="BE24" s="30" t="str">
        <f>IF(AW24=2,"",VLOOKUP(BD24,[1]MEP!$AC$5:$AD$10,2))</f>
        <v>P</v>
      </c>
      <c r="BF24" s="30" t="str">
        <f t="shared" si="10"/>
        <v>PE</v>
      </c>
      <c r="BG24" s="173">
        <f t="shared" si="11"/>
        <v>0</v>
      </c>
      <c r="BH24" s="173">
        <f t="shared" si="4"/>
        <v>0</v>
      </c>
      <c r="BI24" s="173">
        <f t="shared" si="5"/>
        <v>495</v>
      </c>
      <c r="BJ24" s="173">
        <f t="shared" si="6"/>
        <v>0</v>
      </c>
      <c r="BK24" s="173">
        <f t="shared" si="7"/>
        <v>0</v>
      </c>
      <c r="BL24" s="173">
        <f t="shared" si="8"/>
        <v>2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2</v>
      </c>
      <c r="N25" s="177">
        <f t="shared" si="23"/>
        <v>2</v>
      </c>
      <c r="O25" s="177">
        <f t="shared" si="23"/>
        <v>2</v>
      </c>
      <c r="P25" s="177">
        <f t="shared" si="23"/>
        <v>2</v>
      </c>
      <c r="Q25" s="177">
        <f t="shared" si="23"/>
        <v>2</v>
      </c>
      <c r="R25" s="177">
        <f t="shared" si="23"/>
        <v>2</v>
      </c>
      <c r="S25" s="177">
        <f t="shared" si="23"/>
        <v>2</v>
      </c>
      <c r="T25" s="177">
        <f t="shared" si="23"/>
        <v>2</v>
      </c>
      <c r="U25" s="177">
        <f t="shared" si="23"/>
        <v>2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9365</v>
      </c>
      <c r="AV25" s="30">
        <f>Parcellaire!A23</f>
        <v>22</v>
      </c>
      <c r="AW25" s="30">
        <f>Parcellaire!B23</f>
        <v>1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495</v>
      </c>
      <c r="BC25" s="30">
        <f>ROUND(Parcellaire!U23,0)</f>
        <v>330</v>
      </c>
      <c r="BD25" s="30" t="str">
        <f>IF(AW25=2,"",VLOOKUP(AY25,[1]MEP!$X$5:$AA$250,4))</f>
        <v>PT</v>
      </c>
      <c r="BE25" s="30" t="str">
        <f>IF(AW25=2,"",VLOOKUP(BD25,[1]MEP!$AC$5:$AD$10,2))</f>
        <v>P</v>
      </c>
      <c r="BF25" s="30" t="str">
        <f t="shared" si="10"/>
        <v>PE</v>
      </c>
      <c r="BG25" s="173">
        <f t="shared" si="11"/>
        <v>0</v>
      </c>
      <c r="BH25" s="173">
        <f t="shared" si="4"/>
        <v>0</v>
      </c>
      <c r="BI25" s="173">
        <f t="shared" si="5"/>
        <v>495</v>
      </c>
      <c r="BJ25" s="173">
        <f t="shared" si="6"/>
        <v>0</v>
      </c>
      <c r="BK25" s="173">
        <f t="shared" si="7"/>
        <v>0</v>
      </c>
      <c r="BL25" s="173">
        <f t="shared" si="8"/>
        <v>2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1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39.099999999999994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2</v>
      </c>
      <c r="N28" s="177">
        <f t="shared" si="26"/>
        <v>2</v>
      </c>
      <c r="O28" s="177">
        <f t="shared" si="26"/>
        <v>2</v>
      </c>
      <c r="P28" s="177">
        <f t="shared" si="26"/>
        <v>2</v>
      </c>
      <c r="Q28" s="177">
        <f t="shared" si="26"/>
        <v>2</v>
      </c>
      <c r="R28" s="177">
        <f t="shared" si="26"/>
        <v>2</v>
      </c>
      <c r="S28" s="177">
        <f t="shared" si="26"/>
        <v>2</v>
      </c>
      <c r="T28" s="177">
        <f t="shared" si="26"/>
        <v>2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4</v>
      </c>
      <c r="N29" s="177">
        <f>N25*[1]Protect!$B$12</f>
        <v>4</v>
      </c>
      <c r="O29" s="177">
        <f>O25*[1]Protect!$B$12</f>
        <v>4</v>
      </c>
      <c r="P29" s="177">
        <f>P25*[1]Protect!$B$12</f>
        <v>4</v>
      </c>
      <c r="Q29" s="177">
        <f>Q25*[1]Protect!$B$12</f>
        <v>4</v>
      </c>
      <c r="R29" s="177">
        <f>R25*[1]Protect!$B$12</f>
        <v>4</v>
      </c>
      <c r="S29" s="177">
        <f>S25*[1]Protect!$B$12</f>
        <v>4</v>
      </c>
      <c r="T29" s="177">
        <f>T25*[1]Protect!$B$12</f>
        <v>4</v>
      </c>
      <c r="U29" s="177">
        <f>U25*[1]Protect!$B$12</f>
        <v>4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3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2282</v>
      </c>
      <c r="BH31" s="62">
        <f t="shared" ref="BH31:BK31" si="27">SUM(BH3:BH30)</f>
        <v>4317</v>
      </c>
      <c r="BI31" s="62">
        <f t="shared" si="27"/>
        <v>2766</v>
      </c>
      <c r="BJ31" s="62">
        <f t="shared" si="27"/>
        <v>11.1</v>
      </c>
      <c r="BK31" s="62">
        <f t="shared" si="27"/>
        <v>18.7</v>
      </c>
      <c r="BL31" s="62">
        <f>SUM(BL3:BL30)</f>
        <v>9.3000000000000007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4</v>
      </c>
      <c r="N32" s="177">
        <f t="shared" si="28"/>
        <v>4</v>
      </c>
      <c r="O32" s="177">
        <f t="shared" si="28"/>
        <v>4</v>
      </c>
      <c r="P32" s="177">
        <f t="shared" si="28"/>
        <v>4</v>
      </c>
      <c r="Q32" s="177">
        <f t="shared" si="28"/>
        <v>4</v>
      </c>
      <c r="R32" s="177">
        <f t="shared" si="28"/>
        <v>4</v>
      </c>
      <c r="S32" s="177">
        <f t="shared" si="28"/>
        <v>4</v>
      </c>
      <c r="T32" s="177">
        <f t="shared" si="28"/>
        <v>4</v>
      </c>
      <c r="U32" s="177">
        <f t="shared" si="28"/>
        <v>7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8</v>
      </c>
      <c r="N33" s="177">
        <f>N28*[1]Protect!$B$15</f>
        <v>8</v>
      </c>
      <c r="O33" s="177">
        <f>O28*[1]Protect!$B$15</f>
        <v>8</v>
      </c>
      <c r="P33" s="177">
        <f>P28*[1]Protect!$B$15</f>
        <v>8</v>
      </c>
      <c r="Q33" s="177">
        <f>Q28*[1]Protect!$B$15</f>
        <v>8</v>
      </c>
      <c r="R33" s="177">
        <f>R28*[1]Protect!$B$15</f>
        <v>8</v>
      </c>
      <c r="S33" s="177">
        <f>S28*[1]Protect!$B$15</f>
        <v>8</v>
      </c>
      <c r="T33" s="177">
        <f>T28*[1]Protect!$B$15</f>
        <v>8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3792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16</v>
      </c>
      <c r="N34" s="177">
        <f t="shared" si="29"/>
        <v>16</v>
      </c>
      <c r="O34" s="177">
        <f t="shared" si="29"/>
        <v>16</v>
      </c>
      <c r="P34" s="177">
        <f t="shared" si="29"/>
        <v>16</v>
      </c>
      <c r="Q34" s="177">
        <f t="shared" si="29"/>
        <v>16</v>
      </c>
      <c r="R34" s="177">
        <f t="shared" si="29"/>
        <v>16</v>
      </c>
      <c r="S34" s="177">
        <f t="shared" si="29"/>
        <v>16</v>
      </c>
      <c r="T34" s="177">
        <f t="shared" si="29"/>
        <v>16</v>
      </c>
      <c r="U34" s="177">
        <f t="shared" si="29"/>
        <v>14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2</v>
      </c>
      <c r="N36" s="173">
        <f t="shared" si="30"/>
        <v>2</v>
      </c>
      <c r="O36" s="173">
        <f t="shared" si="30"/>
        <v>2</v>
      </c>
      <c r="P36" s="173">
        <f t="shared" si="30"/>
        <v>2</v>
      </c>
      <c r="Q36" s="173">
        <f t="shared" si="30"/>
        <v>2</v>
      </c>
      <c r="R36" s="173">
        <f t="shared" si="30"/>
        <v>2</v>
      </c>
      <c r="S36" s="173">
        <f t="shared" si="30"/>
        <v>2</v>
      </c>
      <c r="T36" s="173">
        <f t="shared" si="30"/>
        <v>2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2</v>
      </c>
      <c r="N39" s="62">
        <f t="shared" si="33"/>
        <v>2</v>
      </c>
      <c r="O39" s="62">
        <f t="shared" si="33"/>
        <v>2</v>
      </c>
      <c r="P39" s="62">
        <f t="shared" si="33"/>
        <v>2</v>
      </c>
      <c r="Q39" s="62">
        <f t="shared" si="33"/>
        <v>2</v>
      </c>
      <c r="R39" s="62">
        <f t="shared" si="33"/>
        <v>2</v>
      </c>
      <c r="S39" s="62">
        <f t="shared" si="33"/>
        <v>2</v>
      </c>
      <c r="T39" s="62">
        <f t="shared" si="33"/>
        <v>2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1</v>
      </c>
      <c r="N41" s="173">
        <f t="shared" si="35"/>
        <v>1</v>
      </c>
      <c r="O41" s="173">
        <f t="shared" si="35"/>
        <v>1</v>
      </c>
      <c r="P41" s="173">
        <f t="shared" si="35"/>
        <v>1</v>
      </c>
      <c r="Q41" s="173">
        <f t="shared" si="35"/>
        <v>1</v>
      </c>
      <c r="R41" s="173">
        <f t="shared" si="35"/>
        <v>1</v>
      </c>
      <c r="S41" s="173">
        <f t="shared" si="35"/>
        <v>1</v>
      </c>
      <c r="T41" s="173">
        <f t="shared" si="35"/>
        <v>1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2</v>
      </c>
      <c r="N42" s="62">
        <f>IF(Protection!N41&gt;0,Scénario!$K$58,0)</f>
        <v>2</v>
      </c>
      <c r="O42" s="62">
        <f>IF(Protection!O41&gt;0,Scénario!$K$58,0)</f>
        <v>2</v>
      </c>
      <c r="P42" s="62">
        <f>IF(Protection!P41&gt;0,Scénario!$K$58,0)</f>
        <v>2</v>
      </c>
      <c r="Q42" s="62">
        <f>IF(Protection!Q41&gt;0,Scénario!$K$58,0)</f>
        <v>2</v>
      </c>
      <c r="R42" s="62">
        <f>IF(Protection!R41&gt;0,Scénario!$K$58,0)</f>
        <v>2</v>
      </c>
      <c r="S42" s="62">
        <f>IF(Protection!S41&gt;0,Scénario!$K$58,0)</f>
        <v>2</v>
      </c>
      <c r="T42" s="62">
        <f>IF(Protection!T41&gt;0,Scénario!$K$58,0)</f>
        <v>2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4</v>
      </c>
      <c r="N43" s="62">
        <f t="shared" si="36"/>
        <v>4</v>
      </c>
      <c r="O43" s="62">
        <f t="shared" si="36"/>
        <v>4</v>
      </c>
      <c r="P43" s="62">
        <f t="shared" si="36"/>
        <v>4</v>
      </c>
      <c r="Q43" s="62">
        <f t="shared" si="36"/>
        <v>4</v>
      </c>
      <c r="R43" s="62">
        <f t="shared" si="36"/>
        <v>4</v>
      </c>
      <c r="S43" s="62">
        <f t="shared" si="36"/>
        <v>4</v>
      </c>
      <c r="T43" s="62">
        <f t="shared" si="36"/>
        <v>4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0.5</v>
      </c>
      <c r="I70" s="173">
        <f>IF($AA70=0,99,IF(I83&gt;3,CdTrp1!H78,CdTrp1!H54))</f>
        <v>0.5</v>
      </c>
      <c r="J70" s="173">
        <f>IF($AA70=0,99,IF(J83&gt;3,CdTrp1!I78,CdTrp1!I54))</f>
        <v>0.5</v>
      </c>
      <c r="K70" s="173">
        <f>IF($AA70=0,99,IF(K83&gt;3,CdTrp1!J78,CdTrp1!J54))</f>
        <v>0.5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0.5</v>
      </c>
      <c r="D71" s="173">
        <f>IF($AA71=0,99,IF(D84&gt;3,CdTrp1!C79,CdTrp1!C55))</f>
        <v>0.5</v>
      </c>
      <c r="E71" s="173">
        <f>IF($AA71=0,99,IF(E84&gt;3,CdTrp1!D79,CdTrp1!D55))</f>
        <v>0.5</v>
      </c>
      <c r="F71" s="173">
        <f>IF($AA71=0,99,IF(F84&gt;3,CdTrp1!E79,CdTrp1!E55))</f>
        <v>0.5</v>
      </c>
      <c r="G71" s="173">
        <f>IF($AA71=0,99,IF(G84&gt;3,CdTrp1!F79,CdTrp1!F55))</f>
        <v>0.5</v>
      </c>
      <c r="H71" s="173">
        <f>IF($AA71=0,99,IF(H84&gt;3,CdTrp1!G79,CdTrp1!G55))</f>
        <v>0.5</v>
      </c>
      <c r="I71" s="173">
        <f>IF($AA71=0,99,IF(I84&gt;3,CdTrp1!H79,CdTrp1!H55))</f>
        <v>0.5</v>
      </c>
      <c r="J71" s="173">
        <f>IF($AA71=0,99,IF(J84&gt;3,CdTrp1!I79,CdTrp1!I55))</f>
        <v>0.5</v>
      </c>
      <c r="K71" s="173">
        <f>IF($AA71=0,99,IF(K84&gt;3,CdTrp1!J79,CdTrp1!J55))</f>
        <v>0.5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0</v>
      </c>
      <c r="W71" s="173">
        <f>IF($AA71=0,99,IF(W84&gt;3,CdTrp1!V79,CdTrp1!V55))</f>
        <v>0.5</v>
      </c>
      <c r="X71" s="173">
        <f>IF($AA71=0,99,IF(X84&gt;3,CdTrp1!W79,CdTrp1!W55))</f>
        <v>0.5</v>
      </c>
      <c r="Y71" s="173">
        <f>IF($AA71=0,99,IF(Y84&gt;3,CdTrp1!X79,CdTrp1!X55))</f>
        <v>0.5</v>
      </c>
      <c r="Z71" s="173">
        <f>IF($AA71=0,99,IF(Z84&gt;3,CdTrp1!Y79,CdTrp1!Y55))</f>
        <v>0.5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2</v>
      </c>
      <c r="D82" s="173">
        <f>CdTrp1!C77</f>
        <v>2</v>
      </c>
      <c r="E82" s="173">
        <f>CdTrp1!D77</f>
        <v>2</v>
      </c>
      <c r="F82" s="173">
        <f>CdTrp1!E77</f>
        <v>2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3</v>
      </c>
      <c r="Z82" s="173">
        <f>CdTrp1!Y77</f>
        <v>2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1</v>
      </c>
      <c r="F83" s="173">
        <f>CdTrp1!E78</f>
        <v>1</v>
      </c>
      <c r="G83" s="173">
        <f>CdTrp1!F78</f>
        <v>1</v>
      </c>
      <c r="H83" s="173">
        <f>CdTrp1!G78</f>
        <v>1</v>
      </c>
      <c r="I83" s="173">
        <f>CdTrp1!H78</f>
        <v>1</v>
      </c>
      <c r="J83" s="173">
        <f>CdTrp1!I78</f>
        <v>1</v>
      </c>
      <c r="K83" s="173">
        <f>CdTrp1!J78</f>
        <v>1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2</v>
      </c>
      <c r="D84" s="173">
        <f>CdTrp1!C79</f>
        <v>2</v>
      </c>
      <c r="E84" s="173">
        <f>CdTrp1!D79</f>
        <v>2</v>
      </c>
      <c r="F84" s="173">
        <f>CdTrp1!E79</f>
        <v>2</v>
      </c>
      <c r="G84" s="173">
        <f>CdTrp1!F79</f>
        <v>2</v>
      </c>
      <c r="H84" s="173">
        <f>CdTrp1!G79</f>
        <v>2</v>
      </c>
      <c r="I84" s="173">
        <f>CdTrp1!H79</f>
        <v>2</v>
      </c>
      <c r="J84" s="173">
        <f>CdTrp1!I79</f>
        <v>2</v>
      </c>
      <c r="K84" s="173">
        <f>CdTrp1!J79</f>
        <v>1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2</v>
      </c>
      <c r="W84" s="173">
        <f>CdTrp1!V79</f>
        <v>2</v>
      </c>
      <c r="X84" s="173">
        <f>CdTrp1!W79</f>
        <v>2</v>
      </c>
      <c r="Y84" s="173">
        <f>CdTrp1!X79</f>
        <v>2</v>
      </c>
      <c r="Z84" s="173">
        <f>CdTrp1!Y79</f>
        <v>2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5</v>
      </c>
      <c r="N110" s="173">
        <f>IF($AA110=0,99,IF(N123&gt;3,CdTrp2!M76,CdTrp2!M52))</f>
        <v>5</v>
      </c>
      <c r="O110" s="173">
        <f>IF($AA110=0,99,IF(O123&gt;3,CdTrp2!N76,CdTrp2!N52))</f>
        <v>5</v>
      </c>
      <c r="P110" s="173">
        <f>IF($AA110=0,99,IF(P123&gt;3,CdTrp2!O76,CdTrp2!O52))</f>
        <v>5</v>
      </c>
      <c r="Q110" s="173">
        <f>IF($AA110=0,99,IF(Q123&gt;3,CdTrp2!P76,CdTrp2!P52))</f>
        <v>5</v>
      </c>
      <c r="R110" s="173">
        <f>IF($AA110=0,99,IF(R123&gt;3,CdTrp2!Q76,CdTrp2!Q52))</f>
        <v>5</v>
      </c>
      <c r="S110" s="173">
        <f>IF($AA110=0,99,IF(S123&gt;3,CdTrp2!R76,CdTrp2!R52))</f>
        <v>5</v>
      </c>
      <c r="T110" s="173">
        <f>IF($AA110=0,99,IF(T123&gt;3,CdTrp2!S76,CdTrp2!S52))</f>
        <v>5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3</v>
      </c>
      <c r="D111" s="173">
        <f>IF($AA111=0,99,IF(D124&gt;3,CdTrp2!C77,CdTrp2!C53))</f>
        <v>3</v>
      </c>
      <c r="E111" s="173">
        <f>IF($AA111=0,99,IF(E124&gt;3,CdTrp2!D77,CdTrp2!D53))</f>
        <v>3</v>
      </c>
      <c r="F111" s="173">
        <f>IF($AA111=0,99,IF(F124&gt;3,CdTrp2!E77,CdTrp2!E53))</f>
        <v>3</v>
      </c>
      <c r="G111" s="173">
        <f>IF($AA111=0,99,IF(G124&gt;3,CdTrp2!F77,CdTrp2!F53))</f>
        <v>3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2</v>
      </c>
      <c r="K123" s="30">
        <f>CdTrp2!J76</f>
        <v>2</v>
      </c>
      <c r="L123" s="30">
        <f>CdTrp2!K76</f>
        <v>2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2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2</v>
      </c>
      <c r="O181" s="173">
        <f>IF(Troupeau!$B$3="OL",Protection!O19+O21,0)</f>
        <v>2</v>
      </c>
      <c r="P181" s="173">
        <f>IF(Troupeau!$B$3="OL",Protection!P19+P21,0)</f>
        <v>2</v>
      </c>
      <c r="Q181" s="173">
        <f>IF(Troupeau!$B$3="OL",Protection!Q19+Q21,0)</f>
        <v>2</v>
      </c>
      <c r="R181" s="173">
        <f>IF(Troupeau!$B$3="OL",Protection!R19+R21,0)</f>
        <v>2</v>
      </c>
      <c r="S181" s="173">
        <f>IF(Troupeau!$B$3="OL",Protection!S19+S21,0)</f>
        <v>2</v>
      </c>
      <c r="T181" s="173">
        <f>IF(Troupeau!$B$3="OL",Protection!T19+T21,0)</f>
        <v>2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2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2</v>
      </c>
      <c r="O196" s="173">
        <f t="shared" si="50"/>
        <v>2</v>
      </c>
      <c r="P196" s="173">
        <f t="shared" si="50"/>
        <v>2</v>
      </c>
      <c r="Q196" s="173">
        <f t="shared" si="50"/>
        <v>2</v>
      </c>
      <c r="R196" s="173">
        <f t="shared" si="50"/>
        <v>2</v>
      </c>
      <c r="S196" s="173">
        <f t="shared" si="50"/>
        <v>2</v>
      </c>
      <c r="T196" s="173">
        <f t="shared" si="50"/>
        <v>2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4</v>
      </c>
      <c r="D201" s="173">
        <f>IF(Troupeau!$B$3="OL",D8+D9,0)</f>
        <v>4</v>
      </c>
      <c r="E201" s="173">
        <f>IF(Troupeau!$B$3="OL",E8+E9,0)</f>
        <v>6</v>
      </c>
      <c r="F201" s="173">
        <f>IF(Troupeau!$B$3="OL",F8+F9,0)</f>
        <v>8</v>
      </c>
      <c r="G201" s="173">
        <f>IF(Troupeau!$B$3="OL",G8+G9,0)</f>
        <v>9</v>
      </c>
      <c r="H201" s="173">
        <f>IF(Troupeau!$B$3="OL",H8+H9,0)</f>
        <v>9</v>
      </c>
      <c r="I201" s="173">
        <f>IF(Troupeau!$B$3="OL",I8+I9,0)</f>
        <v>9</v>
      </c>
      <c r="J201" s="173">
        <f>IF(Troupeau!$B$3="OL",J8+J9,0)</f>
        <v>9</v>
      </c>
      <c r="K201" s="173">
        <f>IF(Troupeau!$B$3="OL",K8+K9,0)</f>
        <v>9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7</v>
      </c>
      <c r="W201" s="173">
        <f>IF(Troupeau!$B$3="OL",W8+W9,0)</f>
        <v>5</v>
      </c>
      <c r="X201" s="173">
        <f>IF(Troupeau!$B$3="OL",X8+X9,0)</f>
        <v>5</v>
      </c>
      <c r="Y201" s="173">
        <f>IF(Troupeau!$B$3="OL",Y8+Y9,0)</f>
        <v>5</v>
      </c>
      <c r="Z201" s="173">
        <f>IF(Troupeau!$B$3="OL",Z8+Z9,0)</f>
        <v>4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8</v>
      </c>
      <c r="O202" s="173">
        <f>IF(Troupeau!$B$3="OL",O10+O12,0)</f>
        <v>8</v>
      </c>
      <c r="P202" s="173">
        <f>IF(Troupeau!$B$3="OL",P10+P12,0)</f>
        <v>8</v>
      </c>
      <c r="Q202" s="173">
        <f>IF(Troupeau!$B$3="OL",Q10+Q12,0)</f>
        <v>8</v>
      </c>
      <c r="R202" s="173">
        <f>IF(Troupeau!$B$3="OL",R10+R12,0)</f>
        <v>8</v>
      </c>
      <c r="S202" s="173">
        <f>IF(Troupeau!$B$3="OL",S10+S12,0)</f>
        <v>8</v>
      </c>
      <c r="T202" s="173">
        <f>IF(Troupeau!$B$3="OL",T10+T12,0)</f>
        <v>8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4</v>
      </c>
      <c r="D203" s="173">
        <f t="shared" ref="D203:Z203" si="51">SUM(D201:D202)</f>
        <v>4</v>
      </c>
      <c r="E203" s="173">
        <f t="shared" si="51"/>
        <v>6</v>
      </c>
      <c r="F203" s="173">
        <f t="shared" si="51"/>
        <v>8</v>
      </c>
      <c r="G203" s="173">
        <f t="shared" si="51"/>
        <v>9</v>
      </c>
      <c r="H203" s="173">
        <f t="shared" si="51"/>
        <v>9</v>
      </c>
      <c r="I203" s="173">
        <f t="shared" si="51"/>
        <v>9</v>
      </c>
      <c r="J203" s="173">
        <f t="shared" si="51"/>
        <v>9</v>
      </c>
      <c r="K203" s="173">
        <f t="shared" si="51"/>
        <v>9</v>
      </c>
      <c r="L203" s="173">
        <f t="shared" si="51"/>
        <v>4</v>
      </c>
      <c r="M203" s="173">
        <f t="shared" si="51"/>
        <v>4</v>
      </c>
      <c r="N203" s="173">
        <f t="shared" si="51"/>
        <v>10</v>
      </c>
      <c r="O203" s="173">
        <f t="shared" si="51"/>
        <v>10</v>
      </c>
      <c r="P203" s="173">
        <f t="shared" si="51"/>
        <v>10</v>
      </c>
      <c r="Q203" s="173">
        <f t="shared" si="51"/>
        <v>10</v>
      </c>
      <c r="R203" s="173">
        <f t="shared" si="51"/>
        <v>10</v>
      </c>
      <c r="S203" s="173">
        <f t="shared" si="51"/>
        <v>10</v>
      </c>
      <c r="T203" s="173">
        <f t="shared" si="51"/>
        <v>10</v>
      </c>
      <c r="U203" s="173">
        <f t="shared" si="51"/>
        <v>4</v>
      </c>
      <c r="V203" s="173">
        <f t="shared" si="51"/>
        <v>7</v>
      </c>
      <c r="W203" s="173">
        <f t="shared" si="51"/>
        <v>5</v>
      </c>
      <c r="X203" s="173">
        <f t="shared" si="51"/>
        <v>5</v>
      </c>
      <c r="Y203" s="173">
        <f t="shared" si="51"/>
        <v>5</v>
      </c>
      <c r="Z203" s="173">
        <f t="shared" si="51"/>
        <v>4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4</v>
      </c>
      <c r="D212" s="173">
        <f t="shared" ref="D212:Z213" si="52">D201+D204+D206+D208</f>
        <v>4</v>
      </c>
      <c r="E212" s="173">
        <f t="shared" si="52"/>
        <v>6</v>
      </c>
      <c r="F212" s="173">
        <f t="shared" si="52"/>
        <v>8</v>
      </c>
      <c r="G212" s="173">
        <f t="shared" si="52"/>
        <v>9</v>
      </c>
      <c r="H212" s="173">
        <f t="shared" si="52"/>
        <v>9</v>
      </c>
      <c r="I212" s="173">
        <f t="shared" si="52"/>
        <v>9</v>
      </c>
      <c r="J212" s="173">
        <f t="shared" si="52"/>
        <v>9</v>
      </c>
      <c r="K212" s="173">
        <f t="shared" si="52"/>
        <v>9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7</v>
      </c>
      <c r="W212" s="173">
        <f t="shared" si="52"/>
        <v>5</v>
      </c>
      <c r="X212" s="173">
        <f t="shared" si="52"/>
        <v>5</v>
      </c>
      <c r="Y212" s="173">
        <f t="shared" si="52"/>
        <v>5</v>
      </c>
      <c r="Z212" s="173">
        <f t="shared" si="52"/>
        <v>4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8</v>
      </c>
      <c r="O213" s="173">
        <f t="shared" si="52"/>
        <v>8</v>
      </c>
      <c r="P213" s="173">
        <f t="shared" si="52"/>
        <v>8</v>
      </c>
      <c r="Q213" s="173">
        <f t="shared" si="52"/>
        <v>8</v>
      </c>
      <c r="R213" s="173">
        <f t="shared" si="52"/>
        <v>8</v>
      </c>
      <c r="S213" s="173">
        <f t="shared" si="52"/>
        <v>8</v>
      </c>
      <c r="T213" s="173">
        <f t="shared" si="52"/>
        <v>8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4</v>
      </c>
      <c r="D214" s="173">
        <f t="shared" ref="D214:Z214" si="53">D212+D213</f>
        <v>4</v>
      </c>
      <c r="E214" s="173">
        <f t="shared" si="53"/>
        <v>6</v>
      </c>
      <c r="F214" s="173">
        <f t="shared" si="53"/>
        <v>8</v>
      </c>
      <c r="G214" s="173">
        <f t="shared" si="53"/>
        <v>9</v>
      </c>
      <c r="H214" s="173">
        <f t="shared" si="53"/>
        <v>9</v>
      </c>
      <c r="I214" s="173">
        <f t="shared" si="53"/>
        <v>9</v>
      </c>
      <c r="J214" s="173">
        <f t="shared" si="53"/>
        <v>9</v>
      </c>
      <c r="K214" s="173">
        <f t="shared" si="53"/>
        <v>9</v>
      </c>
      <c r="L214" s="173">
        <f t="shared" si="53"/>
        <v>4</v>
      </c>
      <c r="M214" s="173">
        <f t="shared" si="53"/>
        <v>4</v>
      </c>
      <c r="N214" s="173">
        <f t="shared" si="53"/>
        <v>10</v>
      </c>
      <c r="O214" s="173">
        <f t="shared" si="53"/>
        <v>10</v>
      </c>
      <c r="P214" s="173">
        <f t="shared" si="53"/>
        <v>10</v>
      </c>
      <c r="Q214" s="173">
        <f t="shared" si="53"/>
        <v>10</v>
      </c>
      <c r="R214" s="173">
        <f t="shared" si="53"/>
        <v>10</v>
      </c>
      <c r="S214" s="173">
        <f t="shared" si="53"/>
        <v>10</v>
      </c>
      <c r="T214" s="173">
        <f t="shared" si="53"/>
        <v>10</v>
      </c>
      <c r="U214" s="173">
        <f t="shared" si="53"/>
        <v>4</v>
      </c>
      <c r="V214" s="173">
        <f t="shared" si="53"/>
        <v>7</v>
      </c>
      <c r="W214" s="173">
        <f t="shared" si="53"/>
        <v>5</v>
      </c>
      <c r="X214" s="173">
        <f t="shared" si="53"/>
        <v>5</v>
      </c>
      <c r="Y214" s="173">
        <f t="shared" si="53"/>
        <v>5</v>
      </c>
      <c r="Z214" s="173">
        <f t="shared" si="53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5" t="s">
        <v>2</v>
      </c>
      <c r="H1" s="295"/>
      <c r="I1" s="295" t="s">
        <v>0</v>
      </c>
      <c r="J1" s="295"/>
      <c r="K1" s="295" t="s">
        <v>1</v>
      </c>
      <c r="L1" s="295"/>
      <c r="M1" s="295" t="s">
        <v>3</v>
      </c>
      <c r="N1" s="295"/>
      <c r="O1" s="295" t="s">
        <v>4</v>
      </c>
      <c r="P1" s="295"/>
      <c r="Q1" s="295" t="s">
        <v>5</v>
      </c>
      <c r="R1" s="295"/>
      <c r="S1" s="295" t="s">
        <v>6</v>
      </c>
      <c r="T1" s="295"/>
      <c r="U1" s="295" t="s">
        <v>7</v>
      </c>
      <c r="V1" s="295"/>
      <c r="W1" s="295" t="s">
        <v>8</v>
      </c>
      <c r="X1" s="295"/>
      <c r="Y1" s="295" t="s">
        <v>9</v>
      </c>
      <c r="Z1" s="295"/>
      <c r="AA1" s="295" t="s">
        <v>10</v>
      </c>
      <c r="AB1" s="295"/>
      <c r="AC1" s="295" t="s">
        <v>11</v>
      </c>
      <c r="AD1" s="295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924</v>
      </c>
      <c r="G5" s="173">
        <f>AV117</f>
        <v>42</v>
      </c>
      <c r="H5" s="173">
        <f t="shared" ref="H5:AD5" si="0">AW117</f>
        <v>42</v>
      </c>
      <c r="I5" s="173">
        <f t="shared" si="0"/>
        <v>42</v>
      </c>
      <c r="J5" s="173">
        <f t="shared" si="0"/>
        <v>56</v>
      </c>
      <c r="K5" s="173">
        <f t="shared" si="0"/>
        <v>56</v>
      </c>
      <c r="L5" s="173">
        <f t="shared" si="0"/>
        <v>70</v>
      </c>
      <c r="M5" s="173">
        <f t="shared" si="0"/>
        <v>70</v>
      </c>
      <c r="N5" s="173">
        <f t="shared" si="0"/>
        <v>70</v>
      </c>
      <c r="O5" s="173">
        <f t="shared" si="0"/>
        <v>63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63</v>
      </c>
      <c r="AA5" s="173">
        <f t="shared" si="0"/>
        <v>42</v>
      </c>
      <c r="AB5" s="173">
        <f t="shared" si="0"/>
        <v>42</v>
      </c>
      <c r="AC5" s="173">
        <f t="shared" si="0"/>
        <v>42</v>
      </c>
      <c r="AD5" s="173">
        <f t="shared" si="0"/>
        <v>42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169.04999999999998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22.75</v>
      </c>
      <c r="O6" s="173">
        <f t="shared" si="2"/>
        <v>22.75</v>
      </c>
      <c r="P6" s="173">
        <f t="shared" si="2"/>
        <v>22.75</v>
      </c>
      <c r="Q6" s="173">
        <f t="shared" si="2"/>
        <v>8.75</v>
      </c>
      <c r="R6" s="173">
        <f t="shared" si="2"/>
        <v>8.75</v>
      </c>
      <c r="S6" s="173">
        <f t="shared" si="2"/>
        <v>8.75</v>
      </c>
      <c r="T6" s="173">
        <f t="shared" si="2"/>
        <v>8.75</v>
      </c>
      <c r="U6" s="173">
        <f t="shared" si="2"/>
        <v>8.75</v>
      </c>
      <c r="V6" s="173">
        <f t="shared" si="2"/>
        <v>8.75</v>
      </c>
      <c r="W6" s="173">
        <f t="shared" si="2"/>
        <v>8.75</v>
      </c>
      <c r="X6" s="173">
        <f t="shared" si="2"/>
        <v>8.75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874.76382608695656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31.740434782608695</v>
      </c>
      <c r="M9" s="30">
        <f t="shared" si="4"/>
        <v>31.694173913043478</v>
      </c>
      <c r="N9" s="30">
        <f t="shared" si="4"/>
        <v>31.647913043478262</v>
      </c>
      <c r="O9" s="30">
        <f t="shared" si="4"/>
        <v>31.555391304347829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29.89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2584.5138260869567</v>
      </c>
      <c r="G13" s="30">
        <f>SUM(G5:G11)</f>
        <v>137.0642608695652</v>
      </c>
      <c r="H13" s="30">
        <f t="shared" ref="H13:AD13" si="8">SUM(H5:H11)</f>
        <v>136.9717391304348</v>
      </c>
      <c r="I13" s="30">
        <f t="shared" si="8"/>
        <v>142.12921739130434</v>
      </c>
      <c r="J13" s="30">
        <f t="shared" si="8"/>
        <v>156.08295652173913</v>
      </c>
      <c r="K13" s="30">
        <f t="shared" si="8"/>
        <v>156.0366956521739</v>
      </c>
      <c r="L13" s="30">
        <f t="shared" si="8"/>
        <v>152.4904347826087</v>
      </c>
      <c r="M13" s="30">
        <f t="shared" si="8"/>
        <v>141.94417391304347</v>
      </c>
      <c r="N13" s="30">
        <f t="shared" si="8"/>
        <v>145.39791304347827</v>
      </c>
      <c r="O13" s="30">
        <f t="shared" si="8"/>
        <v>138.30539130434784</v>
      </c>
      <c r="P13" s="30">
        <f t="shared" si="8"/>
        <v>102.33391304347826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102.33391304347826</v>
      </c>
      <c r="Z13" s="30">
        <f t="shared" si="8"/>
        <v>134.88999999999999</v>
      </c>
      <c r="AA13" s="30">
        <f t="shared" si="8"/>
        <v>142.16756521739131</v>
      </c>
      <c r="AB13" s="30">
        <f t="shared" si="8"/>
        <v>144.0642608695652</v>
      </c>
      <c r="AC13" s="30">
        <f t="shared" si="8"/>
        <v>137.0642608695652</v>
      </c>
      <c r="AD13" s="30">
        <f t="shared" si="8"/>
        <v>137.0642608695652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5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156.80000000000001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1</v>
      </c>
      <c r="C17" s="190">
        <f>VALUE(LEFT(Scénario!K64,1))</f>
        <v>1</v>
      </c>
      <c r="D17" s="190">
        <f>IF(B17&gt;0,VLOOKUP(C17,[1]Trav!$A$86:$D$90,4),0)</f>
        <v>12</v>
      </c>
      <c r="E17" s="190">
        <f>Scénario!K61*2</f>
        <v>8</v>
      </c>
      <c r="F17" s="173">
        <f t="shared" ref="F17:F18" si="15">IF(B17&gt;0,D17*E17/B17,0)</f>
        <v>96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2</v>
      </c>
      <c r="BB39" s="173">
        <f>IF(CdTrp1!H54=1,3,IF(CdTrp1!H54=0.5,2,IF(CdTrp1!H54=0,1,0)))</f>
        <v>2</v>
      </c>
      <c r="BC39" s="173">
        <f>IF(CdTrp1!I54=1,3,IF(CdTrp1!I54=0.5,2,IF(CdTrp1!I54=0,1,0)))</f>
        <v>2</v>
      </c>
      <c r="BD39" s="173">
        <f>IF(CdTrp1!J54=1,3,IF(CdTrp1!J54=0.5,2,IF(CdTrp1!J54=0,1,0)))</f>
        <v>2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2</v>
      </c>
      <c r="AW40" s="173">
        <f>IF(CdTrp1!C55=1,3,IF(CdTrp1!C55=0.5,2,IF(CdTrp1!C55=0,1,0)))</f>
        <v>2</v>
      </c>
      <c r="AX40" s="173">
        <f>IF(CdTrp1!D55=1,3,IF(CdTrp1!D55=0.5,2,IF(CdTrp1!D55=0,1,0)))</f>
        <v>2</v>
      </c>
      <c r="AY40" s="173">
        <f>IF(CdTrp1!E55=1,3,IF(CdTrp1!E55=0.5,2,IF(CdTrp1!E55=0,1,0)))</f>
        <v>2</v>
      </c>
      <c r="AZ40" s="173">
        <f>IF(CdTrp1!F55=1,3,IF(CdTrp1!F55=0.5,2,IF(CdTrp1!F55=0,1,0)))</f>
        <v>2</v>
      </c>
      <c r="BA40" s="173">
        <f>IF(CdTrp1!G55=1,3,IF(CdTrp1!G55=0.5,2,IF(CdTrp1!G55=0,1,0)))</f>
        <v>2</v>
      </c>
      <c r="BB40" s="173">
        <f>IF(CdTrp1!H55=1,3,IF(CdTrp1!H55=0.5,2,IF(CdTrp1!H55=0,1,0)))</f>
        <v>2</v>
      </c>
      <c r="BC40" s="173">
        <f>IF(CdTrp1!I55=1,3,IF(CdTrp1!I55=0.5,2,IF(CdTrp1!I55=0,1,0)))</f>
        <v>2</v>
      </c>
      <c r="BD40" s="173">
        <f>IF(CdTrp1!J55=1,3,IF(CdTrp1!J55=0.5,2,IF(CdTrp1!J55=0,1,0)))</f>
        <v>2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1</v>
      </c>
      <c r="BP40" s="173">
        <f>IF(CdTrp1!V55=1,3,IF(CdTrp1!V55=0.5,2,IF(CdTrp1!V55=0,1,0)))</f>
        <v>2</v>
      </c>
      <c r="BQ40" s="173">
        <f>IF(CdTrp1!W55=1,3,IF(CdTrp1!W55=0.5,2,IF(CdTrp1!W55=0,1,0)))</f>
        <v>2</v>
      </c>
      <c r="BR40" s="173">
        <f>IF(CdTrp1!X55=1,3,IF(CdTrp1!X55=0.5,2,IF(CdTrp1!X55=0,1,0)))</f>
        <v>2</v>
      </c>
      <c r="BS40" s="173">
        <f>IF(CdTrp1!Y55=1,3,IF(CdTrp1!Y55=0.5,2,IF(CdTrp1!Y55=0,1,0)))</f>
        <v>2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2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0</v>
      </c>
      <c r="CM48" s="173">
        <f>IF(CdTrp2!M76=1,1,IF(CdTrp2!M76=2,2,IF(CdTrp2!M76=3,2,0)))</f>
        <v>0</v>
      </c>
      <c r="CN48" s="173">
        <f>IF(CdTrp2!N76=1,1,IF(CdTrp2!N76=2,2,IF(CdTrp2!N76=3,2,0)))</f>
        <v>0</v>
      </c>
      <c r="CO48" s="173">
        <f>IF(CdTrp2!O76=1,1,IF(CdTrp2!O76=2,2,IF(CdTrp2!O76=3,2,0)))</f>
        <v>0</v>
      </c>
      <c r="CP48" s="173">
        <f>IF(CdTrp2!P76=1,1,IF(CdTrp2!P76=2,2,IF(CdTrp2!P76=3,2,0)))</f>
        <v>0</v>
      </c>
      <c r="CQ48" s="173">
        <f>IF(CdTrp2!Q76=1,1,IF(CdTrp2!Q76=2,2,IF(CdTrp2!Q76=3,2,0)))</f>
        <v>0</v>
      </c>
      <c r="CR48" s="173">
        <f>IF(CdTrp2!R76=1,1,IF(CdTrp2!R76=2,2,IF(CdTrp2!R76=3,2,0)))</f>
        <v>0</v>
      </c>
      <c r="CS48" s="173">
        <f>IF(CdTrp2!S76=1,1,IF(CdTrp2!S76=2,2,IF(CdTrp2!S76=3,2,0)))</f>
        <v>0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2</v>
      </c>
      <c r="AW49" s="173">
        <f>IF(CdTrp1!C77=1,1,IF(CdTrp1!C77=2,2,IF(CdTrp1!C77=3,2,0)))</f>
        <v>2</v>
      </c>
      <c r="AX49" s="173">
        <f>IF(CdTrp1!D77=1,1,IF(CdTrp1!D77=2,2,IF(CdTrp1!D77=3,2,0)))</f>
        <v>2</v>
      </c>
      <c r="AY49" s="173">
        <f>IF(CdTrp1!E77=1,1,IF(CdTrp1!E77=2,2,IF(CdTrp1!E77=3,2,0)))</f>
        <v>2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2</v>
      </c>
      <c r="BS49" s="173">
        <f>IF(CdTrp1!Y77=1,1,IF(CdTrp1!Y77=2,2,IF(CdTrp1!Y77=3,2,0)))</f>
        <v>2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1</v>
      </c>
      <c r="AY50" s="173">
        <f>IF(CdTrp1!E78=1,1,IF(CdTrp1!E78=2,2,IF(CdTrp1!E78=3,2,0)))</f>
        <v>1</v>
      </c>
      <c r="AZ50" s="173">
        <f>IF(CdTrp1!F78=1,1,IF(CdTrp1!F78=2,2,IF(CdTrp1!F78=3,2,0)))</f>
        <v>1</v>
      </c>
      <c r="BA50" s="173">
        <f>IF(CdTrp1!G78=1,1,IF(CdTrp1!G78=2,2,IF(CdTrp1!G78=3,2,0)))</f>
        <v>1</v>
      </c>
      <c r="BB50" s="173">
        <f>IF(CdTrp1!H78=1,1,IF(CdTrp1!H78=2,2,IF(CdTrp1!H78=3,2,0)))</f>
        <v>1</v>
      </c>
      <c r="BC50" s="173">
        <f>IF(CdTrp1!I78=1,1,IF(CdTrp1!I78=2,2,IF(CdTrp1!I78=3,2,0)))</f>
        <v>1</v>
      </c>
      <c r="BD50" s="173">
        <f>IF(CdTrp1!J78=1,1,IF(CdTrp1!J78=2,2,IF(CdTrp1!J78=3,2,0)))</f>
        <v>1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2</v>
      </c>
      <c r="AW51" s="173">
        <f>IF(CdTrp1!C79=1,1,IF(CdTrp1!C79=2,2,IF(CdTrp1!C79=3,2,0)))</f>
        <v>2</v>
      </c>
      <c r="AX51" s="173">
        <f>IF(CdTrp1!D79=1,1,IF(CdTrp1!D79=2,2,IF(CdTrp1!D79=3,2,0)))</f>
        <v>2</v>
      </c>
      <c r="AY51" s="173">
        <f>IF(CdTrp1!E79=1,1,IF(CdTrp1!E79=2,2,IF(CdTrp1!E79=3,2,0)))</f>
        <v>2</v>
      </c>
      <c r="AZ51" s="173">
        <f>IF(CdTrp1!F79=1,1,IF(CdTrp1!F79=2,2,IF(CdTrp1!F79=3,2,0)))</f>
        <v>2</v>
      </c>
      <c r="BA51" s="173">
        <f>IF(CdTrp1!G79=1,1,IF(CdTrp1!G79=2,2,IF(CdTrp1!G79=3,2,0)))</f>
        <v>2</v>
      </c>
      <c r="BB51" s="173">
        <f>IF(CdTrp1!H79=1,1,IF(CdTrp1!H79=2,2,IF(CdTrp1!H79=3,2,0)))</f>
        <v>2</v>
      </c>
      <c r="BC51" s="173">
        <f>IF(CdTrp1!I79=1,1,IF(CdTrp1!I79=2,2,IF(CdTrp1!I79=3,2,0)))</f>
        <v>2</v>
      </c>
      <c r="BD51" s="173">
        <f>IF(CdTrp1!J79=1,1,IF(CdTrp1!J79=2,2,IF(CdTrp1!J79=3,2,0)))</f>
        <v>1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2</v>
      </c>
      <c r="BP51" s="173">
        <f>IF(CdTrp1!V79=1,1,IF(CdTrp1!V79=2,2,IF(CdTrp1!V79=3,2,0)))</f>
        <v>2</v>
      </c>
      <c r="BQ51" s="173">
        <f>IF(CdTrp1!W79=1,1,IF(CdTrp1!W79=2,2,IF(CdTrp1!W79=3,2,0)))</f>
        <v>2</v>
      </c>
      <c r="BR51" s="173">
        <f>IF(CdTrp1!X79=1,1,IF(CdTrp1!X79=2,2,IF(CdTrp1!X79=3,2,0)))</f>
        <v>2</v>
      </c>
      <c r="BS51" s="173">
        <f>IF(CdTrp1!Y79=1,1,IF(CdTrp1!Y79=2,2,IF(CdTrp1!Y79=3,2,0)))</f>
        <v>2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21.150000000000002</v>
      </c>
      <c r="C55" s="190">
        <f>IF(B55&gt;[1]Trav!E121,[1]Trav!C121,[1]Trav!B121)</f>
        <v>7.2</v>
      </c>
      <c r="D55"/>
      <c r="E55" s="172"/>
      <c r="F55" s="173">
        <f t="shared" si="32"/>
        <v>152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16</v>
      </c>
      <c r="C56" s="190">
        <f>IF(B56&gt;[1]Trav!E121,[1]Trav!C121,[1]Trav!B121)</f>
        <v>7.2</v>
      </c>
      <c r="D56"/>
      <c r="E56" s="172"/>
      <c r="F56" s="173">
        <f t="shared" si="32"/>
        <v>115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2.3499999999999979</v>
      </c>
      <c r="C58" s="190">
        <f>IF(B58&gt;[1]Trav!E122,[1]Trav!C122,[1]Trav!B122)</f>
        <v>4.4000000000000004</v>
      </c>
      <c r="E58" s="172"/>
      <c r="F58" s="173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222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210</v>
      </c>
      <c r="CM60" s="173">
        <f>IF(CM15=0,0,IF(CM37=3,0,VALUE(CONCATENATE(Travail!CM26,Travail!CM37,Travail!CM48))))</f>
        <v>210</v>
      </c>
      <c r="CN60" s="173">
        <f>IF(CN15=0,0,IF(CN37=3,0,VALUE(CONCATENATE(Travail!CN26,Travail!CN37,Travail!CN48))))</f>
        <v>210</v>
      </c>
      <c r="CO60" s="173">
        <f>IF(CO15=0,0,IF(CO37=3,0,VALUE(CONCATENATE(Travail!CO26,Travail!CO37,Travail!CO48))))</f>
        <v>210</v>
      </c>
      <c r="CP60" s="173">
        <f>IF(CP15=0,0,IF(CP37=3,0,VALUE(CONCATENATE(Travail!CP26,Travail!CP37,Travail!CP48))))</f>
        <v>210</v>
      </c>
      <c r="CQ60" s="173">
        <f>IF(CQ15=0,0,IF(CQ37=3,0,VALUE(CONCATENATE(Travail!CQ26,Travail!CQ37,Travail!CQ48))))</f>
        <v>210</v>
      </c>
      <c r="CR60" s="173">
        <f>IF(CR15=0,0,IF(CR37=3,0,VALUE(CONCATENATE(Travail!CR26,Travail!CR37,Travail!CR48))))</f>
        <v>210</v>
      </c>
      <c r="CS60" s="173">
        <f>IF(CS15=0,0,IF(CS37=3,0,VALUE(CONCATENATE(Travail!CS26,Travail!CS37,Travail!CS48))))</f>
        <v>210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222</v>
      </c>
      <c r="AW61" s="173">
        <f>IF(AW16=0,0,IF(AW38=3,0,VALUE(CONCATENATE(Travail!AW27,Travail!AW38,Travail!AW49))))</f>
        <v>222</v>
      </c>
      <c r="AX61" s="173">
        <f>IF(AX16=0,0,IF(AX38=3,0,VALUE(CONCATENATE(Travail!AX27,Travail!AX38,Travail!AX49))))</f>
        <v>222</v>
      </c>
      <c r="AY61" s="173">
        <f>IF(AY16=0,0,IF(AY38=3,0,VALUE(CONCATENATE(Travail!AY27,Travail!AY38,Travail!AY49))))</f>
        <v>222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222</v>
      </c>
      <c r="BS61" s="173">
        <f>IF(BS16=0,0,IF(BS38=3,0,VALUE(CONCATENATE(Travail!BS27,Travail!BS38,Travail!BS49))))</f>
        <v>222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221</v>
      </c>
      <c r="BB62" s="173">
        <f>IF(BB17=0,0,IF(BB39=3,0,VALUE(CONCATENATE(Travail!BB28,Travail!BB39,Travail!BB50))))</f>
        <v>221</v>
      </c>
      <c r="BC62" s="173">
        <f>IF(BC17=0,0,IF(BC39=3,0,VALUE(CONCATENATE(Travail!BC28,Travail!BC39,Travail!BC50))))</f>
        <v>221</v>
      </c>
      <c r="BD62" s="173">
        <f>IF(BD17=0,0,IF(BD39=3,0,VALUE(CONCATENATE(Travail!BD28,Travail!BD39,Travail!BD50))))</f>
        <v>221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222</v>
      </c>
      <c r="AW63" s="173">
        <f>IF(AW18=0,0,IF(AW40=3,0,VALUE(CONCATENATE(Travail!AW29,Travail!AW40,Travail!AW51))))</f>
        <v>222</v>
      </c>
      <c r="AX63" s="173">
        <f>IF(AX18=0,0,IF(AX40=3,0,VALUE(CONCATENATE(Travail!AX29,Travail!AX40,Travail!AX51))))</f>
        <v>222</v>
      </c>
      <c r="AY63" s="173">
        <f>IF(AY18=0,0,IF(AY40=3,0,VALUE(CONCATENATE(Travail!AY29,Travail!AY40,Travail!AY51))))</f>
        <v>222</v>
      </c>
      <c r="AZ63" s="173">
        <f>IF(AZ18=0,0,IF(AZ40=3,0,VALUE(CONCATENATE(Travail!AZ29,Travail!AZ40,Travail!AZ51))))</f>
        <v>222</v>
      </c>
      <c r="BA63" s="173">
        <f>IF(BA18=0,0,IF(BA40=3,0,VALUE(CONCATENATE(Travail!BA29,Travail!BA40,Travail!BA51))))</f>
        <v>222</v>
      </c>
      <c r="BB63" s="173">
        <f>IF(BB18=0,0,IF(BB40=3,0,VALUE(CONCATENATE(Travail!BB29,Travail!BB40,Travail!BB51))))</f>
        <v>222</v>
      </c>
      <c r="BC63" s="173">
        <f>IF(BC18=0,0,IF(BC40=3,0,VALUE(CONCATENATE(Travail!BC29,Travail!BC40,Travail!BC51))))</f>
        <v>222</v>
      </c>
      <c r="BD63" s="173">
        <f>IF(BD18=0,0,IF(BD40=3,0,VALUE(CONCATENATE(Travail!BD29,Travail!BD40,Travail!BD51))))</f>
        <v>221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212</v>
      </c>
      <c r="BP63" s="173">
        <f>IF(BP18=0,0,IF(BP40=3,0,VALUE(CONCATENATE(Travail!BP29,Travail!BP40,Travail!BP51))))</f>
        <v>222</v>
      </c>
      <c r="BQ63" s="173">
        <f>IF(BQ18=0,0,IF(BQ40=3,0,VALUE(CONCATENATE(Travail!BQ29,Travail!BQ40,Travail!BQ51))))</f>
        <v>222</v>
      </c>
      <c r="BR63" s="173">
        <f>IF(BR18=0,0,IF(BR40=3,0,VALUE(CONCATENATE(Travail!BR29,Travail!BR40,Travail!BR51))))</f>
        <v>222</v>
      </c>
      <c r="BS63" s="173">
        <f>IF(BS18=0,0,IF(BS40=3,0,VALUE(CONCATENATE(Travail!BS29,Travail!BS40,Travail!BS51))))</f>
        <v>222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275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20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20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20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20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20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20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15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22</v>
      </c>
      <c r="BB73" s="173">
        <f t="shared" si="36"/>
        <v>22</v>
      </c>
      <c r="BC73" s="173">
        <f t="shared" si="36"/>
        <v>22</v>
      </c>
      <c r="BD73" s="173">
        <f t="shared" si="36"/>
        <v>22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22</v>
      </c>
      <c r="AW74" s="173">
        <f t="shared" si="36"/>
        <v>22</v>
      </c>
      <c r="AX74" s="173">
        <f t="shared" si="36"/>
        <v>22</v>
      </c>
      <c r="AY74" s="173">
        <f t="shared" si="36"/>
        <v>22</v>
      </c>
      <c r="AZ74" s="173">
        <f t="shared" si="36"/>
        <v>22</v>
      </c>
      <c r="BA74" s="173">
        <f t="shared" si="36"/>
        <v>22</v>
      </c>
      <c r="BB74" s="173">
        <f t="shared" si="36"/>
        <v>22</v>
      </c>
      <c r="BC74" s="173">
        <f t="shared" si="36"/>
        <v>22</v>
      </c>
      <c r="BD74" s="173">
        <f t="shared" si="36"/>
        <v>22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21</v>
      </c>
      <c r="BP74" s="173">
        <f t="shared" si="36"/>
        <v>22</v>
      </c>
      <c r="BQ74" s="173">
        <f t="shared" si="36"/>
        <v>22</v>
      </c>
      <c r="BR74" s="173">
        <f t="shared" si="36"/>
        <v>22</v>
      </c>
      <c r="BS74" s="173">
        <f t="shared" si="36"/>
        <v>22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87.5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7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49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7</v>
      </c>
      <c r="S76" s="198">
        <f>IF(Protection!O196=0,0,[1]Protect!$B$9*Protection!O196*14)</f>
        <v>7</v>
      </c>
      <c r="T76" s="198">
        <f>IF(Protection!P196=0,0,[1]Protect!$B$9*Protection!P196*14)</f>
        <v>7</v>
      </c>
      <c r="U76" s="198">
        <f>IF(Protection!Q196=0,0,[1]Protect!$B$9*Protection!Q196*14)</f>
        <v>7</v>
      </c>
      <c r="V76" s="198">
        <f>IF(Protection!R196=0,0,[1]Protect!$B$9*Protection!R196*14)</f>
        <v>7</v>
      </c>
      <c r="W76" s="198">
        <f>IF(Protection!S196=0,0,[1]Protect!$B$9*Protection!S196*14)</f>
        <v>7</v>
      </c>
      <c r="X76" s="198">
        <f>IF(Protection!T196=0,0,[1]Protect!$B$9*Protection!T196*14)</f>
        <v>7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411.5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18.5</v>
      </c>
      <c r="J77" s="46">
        <f t="shared" si="43"/>
        <v>23.5</v>
      </c>
      <c r="K77" s="46">
        <f t="shared" si="43"/>
        <v>23.5</v>
      </c>
      <c r="L77" s="46">
        <f t="shared" si="43"/>
        <v>23.5</v>
      </c>
      <c r="M77" s="46">
        <f t="shared" si="43"/>
        <v>23.5</v>
      </c>
      <c r="N77" s="46">
        <f t="shared" si="43"/>
        <v>23.5</v>
      </c>
      <c r="O77" s="46">
        <f t="shared" si="43"/>
        <v>23.5</v>
      </c>
      <c r="P77" s="46">
        <f t="shared" si="43"/>
        <v>13.5</v>
      </c>
      <c r="Q77" s="46">
        <f t="shared" si="43"/>
        <v>13.5</v>
      </c>
      <c r="R77" s="46">
        <f t="shared" si="43"/>
        <v>15.5</v>
      </c>
      <c r="S77" s="46">
        <f t="shared" si="43"/>
        <v>15.5</v>
      </c>
      <c r="T77" s="46">
        <f t="shared" si="43"/>
        <v>15.5</v>
      </c>
      <c r="U77" s="46">
        <f t="shared" si="43"/>
        <v>15.5</v>
      </c>
      <c r="V77" s="46">
        <f t="shared" si="43"/>
        <v>15.5</v>
      </c>
      <c r="W77" s="46">
        <f t="shared" si="43"/>
        <v>15.5</v>
      </c>
      <c r="X77" s="46">
        <f t="shared" si="43"/>
        <v>15.5</v>
      </c>
      <c r="Y77" s="46">
        <f t="shared" si="43"/>
        <v>13.5</v>
      </c>
      <c r="Z77" s="46">
        <f t="shared" si="43"/>
        <v>22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1.43</v>
      </c>
      <c r="C81" s="190">
        <f>[1]Protect!$B$10</f>
        <v>4</v>
      </c>
      <c r="D81" s="172"/>
      <c r="E81" s="172"/>
      <c r="F81" s="173">
        <f>ROUND(C81*B81*8,0)</f>
        <v>46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2</v>
      </c>
      <c r="AW81" s="173">
        <f t="shared" ref="AW81:BS81" si="44">COUNTIF(AW$71:AW$80,23)</f>
        <v>2</v>
      </c>
      <c r="AX81" s="173">
        <f t="shared" si="44"/>
        <v>2</v>
      </c>
      <c r="AY81" s="173">
        <f t="shared" si="44"/>
        <v>1</v>
      </c>
      <c r="AZ81" s="173">
        <f t="shared" si="44"/>
        <v>1</v>
      </c>
      <c r="BA81" s="173">
        <f t="shared" si="44"/>
        <v>0</v>
      </c>
      <c r="BB81" s="173">
        <f t="shared" si="44"/>
        <v>0</v>
      </c>
      <c r="BC81" s="173">
        <f t="shared" si="44"/>
        <v>0</v>
      </c>
      <c r="BD81" s="173">
        <f t="shared" si="44"/>
        <v>0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0</v>
      </c>
      <c r="BP81" s="173">
        <f t="shared" si="44"/>
        <v>1</v>
      </c>
      <c r="BQ81" s="173">
        <f t="shared" si="44"/>
        <v>2</v>
      </c>
      <c r="BR81" s="173">
        <f t="shared" si="44"/>
        <v>2</v>
      </c>
      <c r="BS81" s="173">
        <f t="shared" si="44"/>
        <v>2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9.3650000000000002</v>
      </c>
      <c r="C83" s="190">
        <f>[1]Protect!$B$24+[1]Protect!$B$26</f>
        <v>0.33</v>
      </c>
      <c r="D83" s="172"/>
      <c r="E83" s="172"/>
      <c r="F83" s="173">
        <f>ROUND(B83*C83,1)</f>
        <v>3.1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2</v>
      </c>
      <c r="AW83" s="173">
        <f t="shared" ref="AW83:BS83" si="50">COUNTIF(AW$71:AW$80,22)</f>
        <v>2</v>
      </c>
      <c r="AX83" s="173">
        <f t="shared" si="50"/>
        <v>2</v>
      </c>
      <c r="AY83" s="173">
        <f t="shared" si="50"/>
        <v>3</v>
      </c>
      <c r="AZ83" s="173">
        <f t="shared" si="50"/>
        <v>3</v>
      </c>
      <c r="BA83" s="173">
        <f t="shared" si="50"/>
        <v>4</v>
      </c>
      <c r="BB83" s="173">
        <f t="shared" si="50"/>
        <v>4</v>
      </c>
      <c r="BC83" s="173">
        <f t="shared" si="50"/>
        <v>4</v>
      </c>
      <c r="BD83" s="173">
        <f t="shared" si="50"/>
        <v>4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2</v>
      </c>
      <c r="BQ83" s="173">
        <f t="shared" si="50"/>
        <v>2</v>
      </c>
      <c r="BR83" s="173">
        <f t="shared" si="50"/>
        <v>2</v>
      </c>
      <c r="BS83" s="173">
        <f t="shared" si="50"/>
        <v>2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7.5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22</v>
      </c>
      <c r="BB85" s="62">
        <f t="shared" si="56"/>
        <v>22</v>
      </c>
      <c r="BC85" s="62">
        <f t="shared" si="56"/>
        <v>22</v>
      </c>
      <c r="BD85" s="62">
        <f t="shared" si="56"/>
        <v>22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1.4000000000000001</v>
      </c>
      <c r="C86" s="176"/>
      <c r="D86" s="176"/>
      <c r="E86" s="176"/>
      <c r="F86" s="173">
        <f>B86*[1]Eco!$B$108*[1]Eco!$B$109</f>
        <v>336.00000000000006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21</v>
      </c>
      <c r="BB86" s="190">
        <f>IF(BB85=0,0,HLOOKUP(BB85,[1]Trav!$C$39:$G$59,$AU$105))</f>
        <v>21</v>
      </c>
      <c r="BC86" s="190">
        <f>IF(BC85=0,0,HLOOKUP(BC85,[1]Trav!$C$39:$G$59,$AU$105))</f>
        <v>21</v>
      </c>
      <c r="BD86" s="190">
        <f>IF(BD85=0,0,HLOOKUP(BD85,[1]Trav!$C$39:$G$59,$AU$105))</f>
        <v>21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21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1798.7638260869567</v>
      </c>
      <c r="C91" s="5"/>
      <c r="D91" s="202">
        <f>B91/Troupeau!$B$17</f>
        <v>5.9169862700228837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673.05</v>
      </c>
      <c r="C92" s="5"/>
      <c r="D92" s="202">
        <f>IF(B92=0,0,B92/Troupeau!$C$17)</f>
        <v>35.423684210526311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0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2471.8138260869564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156.80000000000001</v>
      </c>
      <c r="C95" s="5"/>
      <c r="D95" s="202">
        <f>B95/Troupeau!$B$17</f>
        <v>0.51578947368421058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96</v>
      </c>
      <c r="C96" s="5"/>
      <c r="D96" s="202">
        <f>IF(B96=0,0,B96/Troupeau!$C$17)</f>
        <v>5.0526315789473681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252.8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304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6.08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5.08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31.740434782608695</v>
      </c>
      <c r="BB102" s="62">
        <f t="shared" si="77"/>
        <v>31.694173913043478</v>
      </c>
      <c r="BC102" s="62">
        <f t="shared" si="77"/>
        <v>31.647913043478262</v>
      </c>
      <c r="BD102" s="62">
        <f t="shared" si="77"/>
        <v>31.555391304347829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29.89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14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0</v>
      </c>
      <c r="CM106" s="190">
        <f>IF(CM60&gt;0,HLOOKUP(CM60,[1]Trav!$C$11:$O$31,$CA$105),0)</f>
        <v>0</v>
      </c>
      <c r="CN106" s="190">
        <f>IF(CN60&gt;0,HLOOKUP(CN60,[1]Trav!$C$11:$O$31,$CA$105),0)</f>
        <v>0</v>
      </c>
      <c r="CO106" s="190">
        <f>IF(CO60&gt;0,HLOOKUP(CO60,[1]Trav!$C$11:$O$31,$CA$105),0)</f>
        <v>0</v>
      </c>
      <c r="CP106" s="190">
        <f>IF(CP60&gt;0,HLOOKUP(CP60,[1]Trav!$C$11:$O$31,$CA$105),0)</f>
        <v>0</v>
      </c>
      <c r="CQ106" s="190">
        <f>IF(CQ60&gt;0,HLOOKUP(CQ60,[1]Trav!$C$11:$O$31,$CA$105),0)</f>
        <v>0</v>
      </c>
      <c r="CR106" s="190">
        <f>IF(CR60&gt;0,HLOOKUP(CR60,[1]Trav!$C$11:$O$31,$CA$105),0)</f>
        <v>0</v>
      </c>
      <c r="CS106" s="190">
        <f>IF(CS60&gt;0,HLOOKUP(CS60,[1]Trav!$C$11:$O$31,$CA$105),0)</f>
        <v>0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21</v>
      </c>
      <c r="AW107" s="190">
        <f>IF(AW61&gt;0,HLOOKUP(AW61,[1]Trav!$C$11:$O$31,$AU$105),0)</f>
        <v>21</v>
      </c>
      <c r="AX107" s="190">
        <f>IF(AX61&gt;0,HLOOKUP(AX61,[1]Trav!$C$11:$O$31,$AU$105),0)</f>
        <v>21</v>
      </c>
      <c r="AY107" s="190">
        <f>IF(AY61&gt;0,HLOOKUP(AY61,[1]Trav!$C$11:$O$31,$AU$105),0)</f>
        <v>21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21</v>
      </c>
      <c r="BS107" s="190">
        <f>IF(BS61&gt;0,HLOOKUP(BS61,[1]Trav!$C$11:$O$31,$AU$105),0)</f>
        <v>21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333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14</v>
      </c>
      <c r="BB108" s="190">
        <f>IF(BB62&gt;0,HLOOKUP(BB62,[1]Trav!$C$11:$O$31,$AU$105),0)</f>
        <v>14</v>
      </c>
      <c r="BC108" s="190">
        <f>IF(BC62&gt;0,HLOOKUP(BC62,[1]Trav!$C$11:$O$31,$AU$105),0)</f>
        <v>14</v>
      </c>
      <c r="BD108" s="190">
        <f>IF(BD62&gt;0,HLOOKUP(BD62,[1]Trav!$C$11:$O$31,$AU$105),0)</f>
        <v>14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275</v>
      </c>
      <c r="D109" s="197"/>
      <c r="AT109" s="189" t="str">
        <f t="shared" si="80"/>
        <v>beliers</v>
      </c>
      <c r="AV109" s="190">
        <f>IF(AV63&gt;0,HLOOKUP(AV63,[1]Trav!$C$11:$O$31,$AU$105),0)</f>
        <v>21</v>
      </c>
      <c r="AW109" s="190">
        <f>IF(AW63&gt;0,HLOOKUP(AW63,[1]Trav!$C$11:$O$31,$AU$105),0)</f>
        <v>21</v>
      </c>
      <c r="AX109" s="190">
        <f>IF(AX63&gt;0,HLOOKUP(AX63,[1]Trav!$C$11:$O$31,$AU$105),0)</f>
        <v>21</v>
      </c>
      <c r="AY109" s="190">
        <f>IF(AY63&gt;0,HLOOKUP(AY63,[1]Trav!$C$11:$O$31,$AU$105),0)</f>
        <v>21</v>
      </c>
      <c r="AZ109" s="190">
        <f>IF(AZ63&gt;0,HLOOKUP(AZ63,[1]Trav!$C$11:$O$31,$AU$105),0)</f>
        <v>21</v>
      </c>
      <c r="BA109" s="190">
        <f>IF(BA63&gt;0,HLOOKUP(BA63,[1]Trav!$C$11:$O$31,$AU$105),0)</f>
        <v>21</v>
      </c>
      <c r="BB109" s="190">
        <f>IF(BB63&gt;0,HLOOKUP(BB63,[1]Trav!$C$11:$O$31,$AU$105),0)</f>
        <v>21</v>
      </c>
      <c r="BC109" s="190">
        <f>IF(BC63&gt;0,HLOOKUP(BC63,[1]Trav!$C$11:$O$31,$AU$105),0)</f>
        <v>21</v>
      </c>
      <c r="BD109" s="190">
        <f>IF(BD63&gt;0,HLOOKUP(BD63,[1]Trav!$C$11:$O$31,$AU$105),0)</f>
        <v>14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28</v>
      </c>
      <c r="BP109" s="190">
        <f>IF(BP63&gt;0,HLOOKUP(BP63,[1]Trav!$C$11:$O$31,$AU$105),0)</f>
        <v>21</v>
      </c>
      <c r="BQ109" s="190">
        <f>IF(BQ63&gt;0,HLOOKUP(BQ63,[1]Trav!$C$11:$O$31,$AU$105),0)</f>
        <v>21</v>
      </c>
      <c r="BR109" s="190">
        <f>IF(BR63&gt;0,HLOOKUP(BR63,[1]Trav!$C$11:$O$31,$AU$105),0)</f>
        <v>21</v>
      </c>
      <c r="BS109" s="190">
        <f>IF(BS63&gt;0,HLOOKUP(BS63,[1]Trav!$C$11:$O$31,$AU$105),0)</f>
        <v>21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275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49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46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10.6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336.00000000000006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42</v>
      </c>
      <c r="AW117" s="173">
        <f t="shared" ref="AW117:BS117" si="83">SUM(AW106:AW115)</f>
        <v>42</v>
      </c>
      <c r="AX117" s="173">
        <f t="shared" si="83"/>
        <v>42</v>
      </c>
      <c r="AY117" s="173">
        <f t="shared" si="83"/>
        <v>56</v>
      </c>
      <c r="AZ117" s="173">
        <f t="shared" si="83"/>
        <v>56</v>
      </c>
      <c r="BA117" s="173">
        <f t="shared" si="83"/>
        <v>70</v>
      </c>
      <c r="BB117" s="173">
        <f t="shared" si="83"/>
        <v>70</v>
      </c>
      <c r="BC117" s="173">
        <f t="shared" si="83"/>
        <v>70</v>
      </c>
      <c r="BD117" s="173">
        <f t="shared" si="83"/>
        <v>63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63</v>
      </c>
      <c r="BP117" s="173">
        <f t="shared" si="83"/>
        <v>42</v>
      </c>
      <c r="BQ117" s="173">
        <f t="shared" si="83"/>
        <v>42</v>
      </c>
      <c r="BR117" s="173">
        <f t="shared" si="83"/>
        <v>42</v>
      </c>
      <c r="BS117" s="173">
        <f t="shared" si="83"/>
        <v>42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22.75</v>
      </c>
      <c r="CJ117" s="173">
        <f t="shared" si="84"/>
        <v>22.75</v>
      </c>
      <c r="CK117" s="173">
        <f t="shared" si="84"/>
        <v>22.75</v>
      </c>
      <c r="CL117" s="173">
        <f t="shared" si="84"/>
        <v>8.75</v>
      </c>
      <c r="CM117" s="173">
        <f t="shared" si="84"/>
        <v>8.75</v>
      </c>
      <c r="CN117" s="173">
        <f t="shared" si="84"/>
        <v>8.75</v>
      </c>
      <c r="CO117" s="173">
        <f t="shared" si="84"/>
        <v>8.75</v>
      </c>
      <c r="CP117" s="173">
        <f t="shared" si="84"/>
        <v>8.75</v>
      </c>
      <c r="CQ117" s="173">
        <f t="shared" si="84"/>
        <v>8.75</v>
      </c>
      <c r="CR117" s="173">
        <f t="shared" si="84"/>
        <v>8.75</v>
      </c>
      <c r="CS117" s="173">
        <f t="shared" si="84"/>
        <v>8.75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4825.3338260869568</v>
      </c>
      <c r="D118" s="202">
        <f>B118/Troupeau!$B$17</f>
        <v>15.872808638443937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853.05</v>
      </c>
      <c r="D119" s="202">
        <f>IF(B119=0,0,B119/Troupeau!$C$17)</f>
        <v>44.897368421052626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5678.383826086957</v>
      </c>
    </row>
    <row r="123" spans="1:132" x14ac:dyDescent="0.25">
      <c r="A123" s="2" t="s">
        <v>856</v>
      </c>
      <c r="B123" s="30">
        <f>B108</f>
        <v>333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324</v>
      </c>
    </row>
    <row r="126" spans="1:132" x14ac:dyDescent="0.25">
      <c r="A126" s="2" t="s">
        <v>872</v>
      </c>
      <c r="B126" s="30">
        <f>B114+B115+B116</f>
        <v>392.60000000000008</v>
      </c>
    </row>
    <row r="128" spans="1:132" x14ac:dyDescent="0.25">
      <c r="A128" s="2" t="s">
        <v>873</v>
      </c>
      <c r="B128" s="201">
        <f>SUM(B122:B126)</f>
        <v>7327.9838260869574</v>
      </c>
    </row>
    <row r="129" spans="1:2" x14ac:dyDescent="0.25">
      <c r="A129" s="2" t="s">
        <v>874</v>
      </c>
      <c r="B129" s="30">
        <f>IF(Scénario!K129=1,Travail!F77+Travail!F86,F86)</f>
        <v>747.5</v>
      </c>
    </row>
    <row r="130" spans="1:2" x14ac:dyDescent="0.25">
      <c r="A130" s="2" t="s">
        <v>875</v>
      </c>
      <c r="B130" s="201">
        <f>ROUND((B128-B129)/(Scénario!K4+Scénario!K6),0)</f>
        <v>3290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0.59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117.44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117.44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117.44</v>
      </c>
      <c r="C42" s="215">
        <f>[1]Eco!$B$24</f>
        <v>97</v>
      </c>
      <c r="J42" s="173">
        <f>B42*C42</f>
        <v>11391.68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117.44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7868.48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81.78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10535.2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117.44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161220.56000000003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48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174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81.78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31.094999999999999</v>
      </c>
      <c r="C118" s="190">
        <f>IF(Scénario!$K$12="BV",[1]Eco!$B$78,IF(Scénario!$K$12="BL",[1]Eco!$B$77,[1]Eco!$B$76))</f>
        <v>223</v>
      </c>
      <c r="J118" s="173">
        <f>B118*C118</f>
        <v>6934.1849999999995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50.231799999999993</v>
      </c>
      <c r="C119" s="190">
        <f>[1]Eco!$B$79</f>
        <v>80</v>
      </c>
      <c r="J119" s="173">
        <f>B119*C119</f>
        <v>4018.5439999999994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4.5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202.5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7.5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453.82499999999999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11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745.25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9043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882.84999999999991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55615.653999999995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945.40000000000009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23.5</v>
      </c>
      <c r="X153" t="s">
        <v>52</v>
      </c>
      <c r="Y153" s="173">
        <f>W153-Scénario!K28</f>
        <v>0</v>
      </c>
      <c r="Z153" s="173">
        <f>Y153-Y156</f>
        <v>0</v>
      </c>
    </row>
    <row r="154" spans="1:39" x14ac:dyDescent="0.25">
      <c r="A154" t="s">
        <v>1076</v>
      </c>
      <c r="B154" s="173">
        <f>Scénario!K48</f>
        <v>29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8430.2999999999993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16</v>
      </c>
      <c r="X154" t="s">
        <v>52</v>
      </c>
      <c r="Y154" s="173">
        <f>W154-Scénario!K29</f>
        <v>0</v>
      </c>
      <c r="Z154" s="173">
        <f>Y154</f>
        <v>0</v>
      </c>
    </row>
    <row r="155" spans="1:39" x14ac:dyDescent="0.25">
      <c r="A155" s="17" t="s">
        <v>1078</v>
      </c>
      <c r="B155" s="239">
        <f>B154</f>
        <v>29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0</v>
      </c>
      <c r="Z156" s="173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0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0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0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0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0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0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1.7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1.7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1.7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11</v>
      </c>
      <c r="T165" s="173">
        <f>VLOOKUP(R165,[1]MEP!$A$4:$M$300,13)</f>
        <v>2</v>
      </c>
      <c r="U165" s="173">
        <f t="shared" ref="U165:U207" si="72">IF($T165&gt;0,$S165,0)</f>
        <v>11</v>
      </c>
      <c r="V165" s="173">
        <f t="shared" ref="V165:V207" si="73">IF($T165&gt;1,$S165,0)</f>
        <v>11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11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11</v>
      </c>
      <c r="AN165" s="32" t="s">
        <v>659</v>
      </c>
      <c r="AO165" s="173">
        <f>SUM(AD164:AD183)</f>
        <v>18.7</v>
      </c>
    </row>
    <row r="166" spans="1:41" x14ac:dyDescent="0.25">
      <c r="A166" s="5" t="s">
        <v>1423</v>
      </c>
      <c r="B166" s="30">
        <f>T246*[1]Eco!$B$108*[1]Eco!$B$109</f>
        <v>336.00000000000006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3571.6800000000007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1</v>
      </c>
      <c r="T166" s="173">
        <f>VLOOKUP(R166,[1]MEP!$A$4:$M$300,13)</f>
        <v>1</v>
      </c>
      <c r="U166" s="173">
        <f t="shared" si="72"/>
        <v>1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1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1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419.1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4455.0330000000004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0</v>
      </c>
      <c r="S168" s="173">
        <f>Alim_Surf!R11</f>
        <v>0</v>
      </c>
      <c r="T168" s="173">
        <f>VLOOKUP(R168,[1]MEP!$A$4:$M$300,13)</f>
        <v>0</v>
      </c>
      <c r="U168" s="173">
        <f t="shared" si="72"/>
        <v>0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0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0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54084.413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51520.493000000031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25760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5066.0249025253097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35454.468097474724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17727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2.8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2.8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2.8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1.5</v>
      </c>
      <c r="T187" s="173">
        <f>VLOOKUP(R187,[1]MEP!$A$4:$M$300,13)</f>
        <v>1</v>
      </c>
      <c r="U187" s="173">
        <f t="shared" si="72"/>
        <v>1.5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1.5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1.5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</v>
      </c>
      <c r="U228" s="62">
        <f>SUM(U164:U227)</f>
        <v>23.5</v>
      </c>
      <c r="V228" s="62">
        <f t="shared" ref="V228:W228" si="84">SUM(V164:V227)</f>
        <v>16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4.5</v>
      </c>
      <c r="AI228" s="62">
        <f t="shared" si="86"/>
        <v>7.5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9365</v>
      </c>
      <c r="U234" t="s">
        <v>1101</v>
      </c>
      <c r="V234" s="173"/>
      <c r="W234" s="173">
        <f>[1]Protect!$B$4</f>
        <v>6</v>
      </c>
      <c r="X234" s="173">
        <f>T234*W234</f>
        <v>56190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0.2</v>
      </c>
      <c r="W235" s="173">
        <f>[1]Protect!$B$83</f>
        <v>2000</v>
      </c>
      <c r="X235" s="173">
        <f t="shared" ref="X235:X236" si="87">T235*W235</f>
        <v>400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56590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41090</v>
      </c>
      <c r="AB237" s="30">
        <f>(Scénario!K127/100)*AA237</f>
        <v>0</v>
      </c>
      <c r="AC237" s="30">
        <f>AA237-AB237</f>
        <v>41090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5066.0249025253097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10</v>
      </c>
      <c r="X245" s="173">
        <f>ROUND((([1]Protect!$B$5/[1]Protect!$B$11)+[1]Protect!$B$8)*T245,0)</f>
        <v>9043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1.4000000000000001</v>
      </c>
      <c r="W246" s="173">
        <f>[1]Eco!$B$106*[1]Eco!$B$108*[1]Eco!$B$109</f>
        <v>2551.2000000000003</v>
      </c>
      <c r="X246" s="173">
        <f>T246*W246</f>
        <v>3571.6800000000007</v>
      </c>
    </row>
    <row r="247" spans="17:31" x14ac:dyDescent="0.25">
      <c r="S247" s="14" t="s">
        <v>1116</v>
      </c>
      <c r="T247" s="30">
        <f>Travail!F16/8</f>
        <v>19.600000000000001</v>
      </c>
      <c r="W247" s="173">
        <f>[1]Eco!$B$111</f>
        <v>28.3</v>
      </c>
      <c r="X247" s="173">
        <f>T247*W247</f>
        <v>554.68000000000006</v>
      </c>
    </row>
    <row r="248" spans="17:31" x14ac:dyDescent="0.25">
      <c r="W248" s="14" t="s">
        <v>1117</v>
      </c>
      <c r="X248" s="173">
        <f>SUM(X245:X247)</f>
        <v>13169.36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13169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1200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3">
        <f>IF(T257=0,0,[1]Protect!$B77)</f>
        <v>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3">
        <f>IF(T258=0,0,[1]Protect!$B78)</f>
        <v>20000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10535.2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10535.2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140.47499999999999</v>
      </c>
      <c r="U272" s="173"/>
      <c r="V272" s="173"/>
      <c r="W272" s="173">
        <f>W234</f>
        <v>6</v>
      </c>
      <c r="X272" s="173">
        <f>T272*W272</f>
        <v>842.84999999999991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0.4</v>
      </c>
      <c r="U274" s="173"/>
      <c r="V274" s="173"/>
      <c r="W274" s="173">
        <f>W271</f>
        <v>100</v>
      </c>
      <c r="X274" s="173">
        <f>T274*W274</f>
        <v>40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Z1_OLBV_T3F_SC1s1</v>
      </c>
      <c r="D1" s="275" t="str">
        <f>CONCATENATE(C1,"_corr")</f>
        <v>Z1_OLBV_T3F_SC1s1_corr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5</v>
      </c>
      <c r="D25" s="177">
        <f t="shared" si="0"/>
        <v>5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2</v>
      </c>
      <c r="D27" s="177">
        <f t="shared" si="0"/>
        <v>2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4</v>
      </c>
      <c r="D31" s="177">
        <f t="shared" si="0"/>
        <v>4</v>
      </c>
    </row>
    <row r="32" spans="2:5" x14ac:dyDescent="0.25">
      <c r="B32" s="14" t="s">
        <v>584</v>
      </c>
      <c r="C32" s="177">
        <f>Scénario!K62</f>
        <v>12</v>
      </c>
      <c r="D32" s="177">
        <f t="shared" si="0"/>
        <v>12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48</v>
      </c>
      <c r="D39" s="177">
        <f t="shared" si="0"/>
        <v>48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48</v>
      </c>
      <c r="D41" s="177">
        <f t="shared" si="0"/>
        <v>48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1</v>
      </c>
      <c r="D51" s="177">
        <f t="shared" si="0"/>
        <v>1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2</v>
      </c>
      <c r="D59" s="177">
        <f t="shared" si="0"/>
        <v>2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23.5</v>
      </c>
      <c r="D85" s="261">
        <f>ROUND(C85*$D$82/$C$82,3)</f>
        <v>22.562000000000001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16</v>
      </c>
      <c r="D86" s="261">
        <f t="shared" ref="D86:D97" si="14">ROUND(C86*$D$82/$C$82,3)</f>
        <v>15.362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2.35</v>
      </c>
      <c r="D88" s="261">
        <f t="shared" si="14"/>
        <v>2.2559999999999998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2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1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4</v>
      </c>
      <c r="D98" s="173">
        <f>C98</f>
        <v>4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2</v>
      </c>
      <c r="BB100" s="173">
        <f>IF(CdTrp1!H54=1,3,IF(CdTrp1!H54=0.5,2,IF(CdTrp1!H54=0,1,0)))</f>
        <v>2</v>
      </c>
      <c r="BC100" s="173">
        <f>IF(CdTrp1!I54=1,3,IF(CdTrp1!I54=0.5,2,IF(CdTrp1!I54=0,1,0)))</f>
        <v>2</v>
      </c>
      <c r="BD100" s="173">
        <f>IF(CdTrp1!J54=1,3,IF(CdTrp1!J54=0.5,2,IF(CdTrp1!J54=0,1,0)))</f>
        <v>2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7</v>
      </c>
      <c r="D101" s="173">
        <f t="shared" si="25"/>
        <v>7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2</v>
      </c>
      <c r="AW101" s="173">
        <f>IF(CdTrp1!C55=1,3,IF(CdTrp1!C55=0.5,2,IF(CdTrp1!C55=0,1,0)))</f>
        <v>2</v>
      </c>
      <c r="AX101" s="173">
        <f>IF(CdTrp1!D55=1,3,IF(CdTrp1!D55=0.5,2,IF(CdTrp1!D55=0,1,0)))</f>
        <v>2</v>
      </c>
      <c r="AY101" s="173">
        <f>IF(CdTrp1!E55=1,3,IF(CdTrp1!E55=0.5,2,IF(CdTrp1!E55=0,1,0)))</f>
        <v>2</v>
      </c>
      <c r="AZ101" s="173">
        <f>IF(CdTrp1!F55=1,3,IF(CdTrp1!F55=0.5,2,IF(CdTrp1!F55=0,1,0)))</f>
        <v>2</v>
      </c>
      <c r="BA101" s="173">
        <f>IF(CdTrp1!G55=1,3,IF(CdTrp1!G55=0.5,2,IF(CdTrp1!G55=0,1,0)))</f>
        <v>2</v>
      </c>
      <c r="BB101" s="173">
        <f>IF(CdTrp1!H55=1,3,IF(CdTrp1!H55=0.5,2,IF(CdTrp1!H55=0,1,0)))</f>
        <v>2</v>
      </c>
      <c r="BC101" s="173">
        <f>IF(CdTrp1!I55=1,3,IF(CdTrp1!I55=0.5,2,IF(CdTrp1!I55=0,1,0)))</f>
        <v>2</v>
      </c>
      <c r="BD101" s="173">
        <f>IF(CdTrp1!J55=1,3,IF(CdTrp1!J55=0.5,2,IF(CdTrp1!J55=0,1,0)))</f>
        <v>2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1</v>
      </c>
      <c r="BP101" s="173">
        <f>IF(CdTrp1!V55=1,3,IF(CdTrp1!V55=0.5,2,IF(CdTrp1!V55=0,1,0)))</f>
        <v>2</v>
      </c>
      <c r="BQ101" s="173">
        <f>IF(CdTrp1!W55=1,3,IF(CdTrp1!W55=0.5,2,IF(CdTrp1!W55=0,1,0)))</f>
        <v>2</v>
      </c>
      <c r="BR101" s="173">
        <f>IF(CdTrp1!X55=1,3,IF(CdTrp1!X55=0.5,2,IF(CdTrp1!X55=0,1,0)))</f>
        <v>2</v>
      </c>
      <c r="BS101" s="173">
        <f>IF(CdTrp1!Y55=1,3,IF(CdTrp1!Y55=0.5,2,IF(CdTrp1!Y55=0,1,0)))</f>
        <v>2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2</v>
      </c>
      <c r="P105" s="30">
        <f>CdTrp2!J76</f>
        <v>2</v>
      </c>
      <c r="Q105" s="30">
        <f>CdTrp2!K76</f>
        <v>2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31</v>
      </c>
      <c r="D106" s="173">
        <f t="shared" si="25"/>
        <v>31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57.5</v>
      </c>
      <c r="D109" s="173">
        <f t="shared" si="25"/>
        <v>57.5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2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0</v>
      </c>
      <c r="CM109" s="173">
        <f>IF(CdTrp2!M76=1,1,IF(CdTrp2!M76=2,2,IF(CdTrp2!M76=3,2,IF(CdTrp2!M76=4,4,0))))</f>
        <v>0</v>
      </c>
      <c r="CN109" s="173">
        <f>IF(CdTrp2!N76=1,1,IF(CdTrp2!N76=2,2,IF(CdTrp2!N76=3,2,IF(CdTrp2!N76=4,4,0))))</f>
        <v>0</v>
      </c>
      <c r="CO109" s="173">
        <f>IF(CdTrp2!O76=1,1,IF(CdTrp2!O76=2,2,IF(CdTrp2!O76=3,2,IF(CdTrp2!O76=4,4,0))))</f>
        <v>0</v>
      </c>
      <c r="CP109" s="173">
        <f>IF(CdTrp2!P76=1,1,IF(CdTrp2!P76=2,2,IF(CdTrp2!P76=3,2,IF(CdTrp2!P76=4,4,0))))</f>
        <v>0</v>
      </c>
      <c r="CQ109" s="173">
        <f>IF(CdTrp2!Q76=1,1,IF(CdTrp2!Q76=2,2,IF(CdTrp2!Q76=3,2,IF(CdTrp2!Q76=4,4,0))))</f>
        <v>0</v>
      </c>
      <c r="CR109" s="173">
        <f>IF(CdTrp2!R76=1,1,IF(CdTrp2!R76=2,2,IF(CdTrp2!R76=3,2,IF(CdTrp2!R76=4,4,0))))</f>
        <v>0</v>
      </c>
      <c r="CS109" s="173">
        <f>IF(CdTrp2!S76=1,1,IF(CdTrp2!S76=2,2,IF(CdTrp2!S76=3,2,IF(CdTrp2!S76=4,4,0))))</f>
        <v>0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14</v>
      </c>
      <c r="D110" s="173">
        <f t="shared" si="25"/>
        <v>14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2</v>
      </c>
      <c r="AW110" s="173">
        <f>IF(CdTrp1!C77=1,1,IF(CdTrp1!C77=2,2,IF(CdTrp1!C77=3,2,IF(CdTrp1!C77=4,4,0))))</f>
        <v>2</v>
      </c>
      <c r="AX110" s="173">
        <f>IF(CdTrp1!D77=1,1,IF(CdTrp1!D77=2,2,IF(CdTrp1!D77=3,2,IF(CdTrp1!D77=4,4,0))))</f>
        <v>2</v>
      </c>
      <c r="AY110" s="173">
        <f>IF(CdTrp1!E77=1,1,IF(CdTrp1!E77=2,2,IF(CdTrp1!E77=3,2,IF(CdTrp1!E77=4,4,0))))</f>
        <v>2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2</v>
      </c>
      <c r="BS110" s="173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10.5</v>
      </c>
      <c r="D111" s="173">
        <f t="shared" si="25"/>
        <v>10.5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1</v>
      </c>
      <c r="AY111" s="173">
        <f>IF(CdTrp1!E78=1,1,IF(CdTrp1!E78=2,2,IF(CdTrp1!E78=3,2,IF(CdTrp1!E78=4,4,0))))</f>
        <v>1</v>
      </c>
      <c r="AZ111" s="173">
        <f>IF(CdTrp1!F78=1,1,IF(CdTrp1!F78=2,2,IF(CdTrp1!F78=3,2,IF(CdTrp1!F78=4,4,0))))</f>
        <v>1</v>
      </c>
      <c r="BA111" s="173">
        <f>IF(CdTrp1!G78=1,1,IF(CdTrp1!G78=2,2,IF(CdTrp1!G78=3,2,IF(CdTrp1!G78=4,4,0))))</f>
        <v>1</v>
      </c>
      <c r="BB111" s="173">
        <f>IF(CdTrp1!H78=1,1,IF(CdTrp1!H78=2,2,IF(CdTrp1!H78=3,2,IF(CdTrp1!H78=4,4,0))))</f>
        <v>1</v>
      </c>
      <c r="BC111" s="173">
        <f>IF(CdTrp1!I78=1,1,IF(CdTrp1!I78=2,2,IF(CdTrp1!I78=3,2,IF(CdTrp1!I78=4,4,0))))</f>
        <v>1</v>
      </c>
      <c r="BD111" s="173">
        <f>IF(CdTrp1!J78=1,1,IF(CdTrp1!J78=2,2,IF(CdTrp1!J78=3,2,IF(CdTrp1!J78=4,4,0))))</f>
        <v>1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2</v>
      </c>
      <c r="AW112" s="173">
        <f>IF(CdTrp1!C79=1,1,IF(CdTrp1!C79=2,2,IF(CdTrp1!C79=3,2,IF(CdTrp1!C79=4,4,0))))</f>
        <v>2</v>
      </c>
      <c r="AX112" s="173">
        <f>IF(CdTrp1!D79=1,1,IF(CdTrp1!D79=2,2,IF(CdTrp1!D79=3,2,IF(CdTrp1!D79=4,4,0))))</f>
        <v>2</v>
      </c>
      <c r="AY112" s="173">
        <f>IF(CdTrp1!E79=1,1,IF(CdTrp1!E79=2,2,IF(CdTrp1!E79=3,2,IF(CdTrp1!E79=4,4,0))))</f>
        <v>2</v>
      </c>
      <c r="AZ112" s="173">
        <f>IF(CdTrp1!F79=1,1,IF(CdTrp1!F79=2,2,IF(CdTrp1!F79=3,2,IF(CdTrp1!F79=4,4,0))))</f>
        <v>2</v>
      </c>
      <c r="BA112" s="173">
        <f>IF(CdTrp1!G79=1,1,IF(CdTrp1!G79=2,2,IF(CdTrp1!G79=3,2,IF(CdTrp1!G79=4,4,0))))</f>
        <v>2</v>
      </c>
      <c r="BB112" s="173">
        <f>IF(CdTrp1!H79=1,1,IF(CdTrp1!H79=2,2,IF(CdTrp1!H79=3,2,IF(CdTrp1!H79=4,4,0))))</f>
        <v>2</v>
      </c>
      <c r="BC112" s="173">
        <f>IF(CdTrp1!I79=1,1,IF(CdTrp1!I79=2,2,IF(CdTrp1!I79=3,2,IF(CdTrp1!I79=4,4,0))))</f>
        <v>2</v>
      </c>
      <c r="BD112" s="173">
        <f>IF(CdTrp1!J79=1,1,IF(CdTrp1!J79=2,2,IF(CdTrp1!J79=3,2,IF(CdTrp1!J79=4,4,0))))</f>
        <v>1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2</v>
      </c>
      <c r="BP112" s="173">
        <f>IF(CdTrp1!V79=1,1,IF(CdTrp1!V79=2,2,IF(CdTrp1!V79=3,2,IF(CdTrp1!V79=4,4,0))))</f>
        <v>2</v>
      </c>
      <c r="BQ112" s="173">
        <f>IF(CdTrp1!W79=1,1,IF(CdTrp1!W79=2,2,IF(CdTrp1!W79=3,2,IF(CdTrp1!W79=4,4,0))))</f>
        <v>2</v>
      </c>
      <c r="BR112" s="173">
        <f>IF(CdTrp1!X79=1,1,IF(CdTrp1!X79=2,2,IF(CdTrp1!X79=3,2,IF(CdTrp1!X79=4,4,0))))</f>
        <v>2</v>
      </c>
      <c r="BS112" s="173">
        <f>IF(CdTrp1!Y79=1,1,IF(CdTrp1!Y79=2,2,IF(CdTrp1!Y79=3,2,IF(CdTrp1!Y79=4,4,0))))</f>
        <v>2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9</v>
      </c>
      <c r="D113" s="173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11</v>
      </c>
      <c r="D114" s="173">
        <f t="shared" si="25"/>
        <v>11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4.5</v>
      </c>
      <c r="D116" s="173">
        <f t="shared" si="25"/>
        <v>4.5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</v>
      </c>
      <c r="D117" s="173">
        <f t="shared" si="25"/>
        <v>1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222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210</v>
      </c>
      <c r="CM121" s="173">
        <f>IF(CM75=0,0,VALUE(CONCATENATE(Travail!CM26,Travail!CM37,Travail!CM48)))</f>
        <v>210</v>
      </c>
      <c r="CN121" s="173">
        <f>IF(CN75=0,0,VALUE(CONCATENATE(Travail!CN26,Travail!CN37,Travail!CN48)))</f>
        <v>210</v>
      </c>
      <c r="CO121" s="173">
        <f>IF(CO75=0,0,VALUE(CONCATENATE(Travail!CO26,Travail!CO37,Travail!CO48)))</f>
        <v>210</v>
      </c>
      <c r="CP121" s="173">
        <f>IF(CP75=0,0,VALUE(CONCATENATE(Travail!CP26,Travail!CP37,Travail!CP48)))</f>
        <v>210</v>
      </c>
      <c r="CQ121" s="173">
        <f>IF(CQ75=0,0,VALUE(CONCATENATE(Travail!CQ26,Travail!CQ37,Travail!CQ48)))</f>
        <v>210</v>
      </c>
      <c r="CR121" s="173">
        <f>IF(CR75=0,0,VALUE(CONCATENATE(Travail!CR26,Travail!CR37,Travail!CR48)))</f>
        <v>210</v>
      </c>
      <c r="CS121" s="173">
        <f>IF(CS75=0,0,VALUE(CONCATENATE(Travail!CS26,Travail!CS37,Travail!CS48)))</f>
        <v>210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222</v>
      </c>
      <c r="AW122" s="173">
        <f>IF(AW76=0,0,IF(AW99=3,0,VALUE(CONCATENATE(Travail!AW27,Travail!AW38,Travail!AW49))))</f>
        <v>222</v>
      </c>
      <c r="AX122" s="173">
        <f>IF(AX76=0,0,IF(AX99=3,0,VALUE(CONCATENATE(Travail!AX27,Travail!AX38,Travail!AX49))))</f>
        <v>222</v>
      </c>
      <c r="AY122" s="173">
        <f>IF(AY76=0,0,IF(AY99=3,0,VALUE(CONCATENATE(Travail!AY27,Travail!AY38,Travail!AY49))))</f>
        <v>222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222</v>
      </c>
      <c r="BS122" s="173">
        <f>IF(BS76=0,0,IF(BS99=3,0,VALUE(CONCATENATE(Travail!BS27,Travail!BS38,Travail!BS49))))</f>
        <v>222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4</v>
      </c>
      <c r="D123" s="173">
        <f t="shared" si="25"/>
        <v>4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221</v>
      </c>
      <c r="BB123" s="173">
        <f>IF(BB77=0,0,IF(BB100=3,0,VALUE(CONCATENATE(Travail!BB28,Travail!BB39,Travail!BB50))))</f>
        <v>221</v>
      </c>
      <c r="BC123" s="173">
        <f>IF(BC77=0,0,IF(BC100=3,0,VALUE(CONCATENATE(Travail!BC28,Travail!BC39,Travail!BC50))))</f>
        <v>221</v>
      </c>
      <c r="BD123" s="173">
        <f>IF(BD77=0,0,IF(BD100=3,0,VALUE(CONCATENATE(Travail!BD28,Travail!BD39,Travail!BD50))))</f>
        <v>221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222</v>
      </c>
      <c r="AW124" s="173">
        <f>IF(AW78=0,0,IF(AW101=3,0,VALUE(CONCATENATE(Travail!AW29,Travail!AW40,Travail!AW51))))</f>
        <v>222</v>
      </c>
      <c r="AX124" s="173">
        <f>IF(AX78=0,0,IF(AX101=3,0,VALUE(CONCATENATE(Travail!AX29,Travail!AX40,Travail!AX51))))</f>
        <v>222</v>
      </c>
      <c r="AY124" s="173">
        <f>IF(AY78=0,0,IF(AY101=3,0,VALUE(CONCATENATE(Travail!AY29,Travail!AY40,Travail!AY51))))</f>
        <v>222</v>
      </c>
      <c r="AZ124" s="173">
        <f>IF(AZ78=0,0,IF(AZ101=3,0,VALUE(CONCATENATE(Travail!AZ29,Travail!AZ40,Travail!AZ51))))</f>
        <v>222</v>
      </c>
      <c r="BA124" s="173">
        <f>IF(BA78=0,0,IF(BA101=3,0,VALUE(CONCATENATE(Travail!BA29,Travail!BA40,Travail!BA51))))</f>
        <v>222</v>
      </c>
      <c r="BB124" s="173">
        <f>IF(BB78=0,0,IF(BB101=3,0,VALUE(CONCATENATE(Travail!BB29,Travail!BB40,Travail!BB51))))</f>
        <v>222</v>
      </c>
      <c r="BC124" s="173">
        <f>IF(BC78=0,0,IF(BC101=3,0,VALUE(CONCATENATE(Travail!BC29,Travail!BC40,Travail!BC51))))</f>
        <v>222</v>
      </c>
      <c r="BD124" s="173">
        <f>IF(BD78=0,0,IF(BD101=3,0,VALUE(CONCATENATE(Travail!BD29,Travail!BD40,Travail!BD51))))</f>
        <v>221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212</v>
      </c>
      <c r="BP124" s="173">
        <f>IF(BP78=0,0,IF(BP101=3,0,VALUE(CONCATENATE(Travail!BP29,Travail!BP40,Travail!BP51))))</f>
        <v>222</v>
      </c>
      <c r="BQ124" s="173">
        <f>IF(BQ78=0,0,IF(BQ101=3,0,VALUE(CONCATENATE(Travail!BQ29,Travail!BQ40,Travail!BQ51))))</f>
        <v>222</v>
      </c>
      <c r="BR124" s="173">
        <f>IF(BR78=0,0,IF(BR101=3,0,VALUE(CONCATENATE(Travail!BR29,Travail!BR40,Travail!BR51))))</f>
        <v>222</v>
      </c>
      <c r="BS124" s="173">
        <f>IF(BS78=0,0,IF(BS101=3,0,VALUE(CONCATENATE(Travail!BS29,Travail!BS40,Travail!BS51))))</f>
        <v>222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4</v>
      </c>
      <c r="D126" s="173">
        <f t="shared" si="25"/>
        <v>4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4</v>
      </c>
      <c r="D128" s="173">
        <f t="shared" si="25"/>
        <v>4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3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3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4</v>
      </c>
      <c r="K132">
        <f t="shared" si="38"/>
        <v>5</v>
      </c>
      <c r="L132">
        <f t="shared" si="38"/>
        <v>5</v>
      </c>
      <c r="M132">
        <f t="shared" si="38"/>
        <v>6</v>
      </c>
      <c r="N132">
        <f t="shared" si="38"/>
        <v>7</v>
      </c>
      <c r="O132">
        <f t="shared" si="38"/>
        <v>7</v>
      </c>
      <c r="P132">
        <f t="shared" si="38"/>
        <v>7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6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0.50909090909090904</v>
      </c>
      <c r="D133" s="262">
        <f t="shared" si="25"/>
        <v>0.50909090909090904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0.46666666666666667</v>
      </c>
      <c r="D134" s="262">
        <f t="shared" si="25"/>
        <v>0.46666666666666667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22</v>
      </c>
      <c r="BB134" s="173">
        <f t="shared" si="39"/>
        <v>22</v>
      </c>
      <c r="BC134" s="173">
        <f t="shared" si="39"/>
        <v>22</v>
      </c>
      <c r="BD134" s="173">
        <f t="shared" si="39"/>
        <v>22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22</v>
      </c>
      <c r="AW135" s="173">
        <f t="shared" si="39"/>
        <v>22</v>
      </c>
      <c r="AX135" s="173">
        <f t="shared" si="39"/>
        <v>22</v>
      </c>
      <c r="AY135" s="173">
        <f t="shared" si="39"/>
        <v>22</v>
      </c>
      <c r="AZ135" s="173">
        <f t="shared" si="39"/>
        <v>22</v>
      </c>
      <c r="BA135" s="173">
        <f t="shared" si="39"/>
        <v>22</v>
      </c>
      <c r="BB135" s="173">
        <f t="shared" si="39"/>
        <v>22</v>
      </c>
      <c r="BC135" s="173">
        <f t="shared" si="39"/>
        <v>22</v>
      </c>
      <c r="BD135" s="173">
        <f t="shared" si="39"/>
        <v>22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21</v>
      </c>
      <c r="BP135" s="173">
        <f t="shared" si="39"/>
        <v>22</v>
      </c>
      <c r="BQ135" s="173">
        <f t="shared" si="39"/>
        <v>22</v>
      </c>
      <c r="BR135" s="173">
        <f t="shared" si="39"/>
        <v>22</v>
      </c>
      <c r="BS135" s="173">
        <f t="shared" si="39"/>
        <v>22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0.49</v>
      </c>
      <c r="D136" s="262">
        <f t="shared" si="25"/>
        <v>0.49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2</v>
      </c>
      <c r="AW142" s="173">
        <f t="shared" ref="AW142:BS142" si="58">COUNTIF(AW$132:AW$141,23)</f>
        <v>2</v>
      </c>
      <c r="AX142" s="173">
        <f t="shared" si="58"/>
        <v>2</v>
      </c>
      <c r="AY142" s="173">
        <f t="shared" si="58"/>
        <v>1</v>
      </c>
      <c r="AZ142" s="173">
        <f t="shared" si="58"/>
        <v>1</v>
      </c>
      <c r="BA142" s="173">
        <f t="shared" si="58"/>
        <v>0</v>
      </c>
      <c r="BB142" s="173">
        <f t="shared" si="58"/>
        <v>0</v>
      </c>
      <c r="BC142" s="173">
        <f t="shared" si="58"/>
        <v>0</v>
      </c>
      <c r="BD142" s="173">
        <f t="shared" si="58"/>
        <v>0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0</v>
      </c>
      <c r="BP142" s="173">
        <f t="shared" si="58"/>
        <v>1</v>
      </c>
      <c r="BQ142" s="173">
        <f t="shared" si="58"/>
        <v>2</v>
      </c>
      <c r="BR142" s="173">
        <f t="shared" si="58"/>
        <v>2</v>
      </c>
      <c r="BS142" s="173">
        <f t="shared" si="58"/>
        <v>2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2</v>
      </c>
      <c r="AW144" s="173">
        <f t="shared" ref="AW144:BS144" si="64">COUNTIF(AW$132:AW$141,22)</f>
        <v>2</v>
      </c>
      <c r="AX144" s="173">
        <f t="shared" si="64"/>
        <v>2</v>
      </c>
      <c r="AY144" s="173">
        <f t="shared" si="64"/>
        <v>3</v>
      </c>
      <c r="AZ144" s="173">
        <f t="shared" si="64"/>
        <v>3</v>
      </c>
      <c r="BA144" s="173">
        <f t="shared" si="64"/>
        <v>4</v>
      </c>
      <c r="BB144" s="173">
        <f t="shared" si="64"/>
        <v>4</v>
      </c>
      <c r="BC144" s="173">
        <f t="shared" si="64"/>
        <v>4</v>
      </c>
      <c r="BD144" s="173">
        <f t="shared" si="64"/>
        <v>4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2</v>
      </c>
      <c r="BQ144" s="173">
        <f t="shared" si="64"/>
        <v>2</v>
      </c>
      <c r="BR144" s="173">
        <f t="shared" si="64"/>
        <v>2</v>
      </c>
      <c r="BS144" s="173">
        <f t="shared" si="64"/>
        <v>2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22</v>
      </c>
      <c r="BB146" s="62">
        <f t="shared" si="70"/>
        <v>22</v>
      </c>
      <c r="BC146" s="62">
        <f t="shared" si="70"/>
        <v>22</v>
      </c>
      <c r="BD146" s="62">
        <f t="shared" si="70"/>
        <v>22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22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21</v>
      </c>
      <c r="BB147" s="190">
        <f>IF(BB146=0,0,HLOOKUP(BB146,[1]Trav!$C$39:$G$59,$AU$166))</f>
        <v>21</v>
      </c>
      <c r="BC147" s="190">
        <f>IF(BC146=0,0,HLOOKUP(BC146,[1]Trav!$C$39:$G$59,$AU$166))</f>
        <v>21</v>
      </c>
      <c r="BD147" s="190">
        <f>IF(BD146=0,0,HLOOKUP(BD146,[1]Trav!$C$39:$G$59,$AU$166))</f>
        <v>21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21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0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291.87032418952617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97.279967475965137</v>
      </c>
      <c r="D161" s="263">
        <f t="shared" si="50"/>
        <v>93.398472514330621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5.8374064837905237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118.16137958722092</v>
      </c>
      <c r="D162" s="263">
        <f t="shared" si="50"/>
        <v>113.4467110750126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4.8374064837905237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31.242063319960966</v>
      </c>
      <c r="BB163" s="62">
        <f t="shared" si="92"/>
        <v>31.197648270627781</v>
      </c>
      <c r="BC163" s="62">
        <f t="shared" si="92"/>
        <v>31.153233221294588</v>
      </c>
      <c r="BD163" s="62">
        <f t="shared" si="92"/>
        <v>31.064403122628214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29.465461346633418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21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0</v>
      </c>
      <c r="CM167" s="190">
        <f>IF(CM121&gt;0,HLOOKUP(CM121,[1]Trav!$C$11:$O$31,$AU$166),0)</f>
        <v>0</v>
      </c>
      <c r="CN167" s="190">
        <f>IF(CN121&gt;0,HLOOKUP(CN121,[1]Trav!$C$11:$O$31,$AU$166),0)</f>
        <v>0</v>
      </c>
      <c r="CO167" s="190">
        <f>IF(CO121&gt;0,HLOOKUP(CO121,[1]Trav!$C$11:$O$31,$AU$166),0)</f>
        <v>0</v>
      </c>
      <c r="CP167" s="190">
        <f>IF(CP121&gt;0,HLOOKUP(CP121,[1]Trav!$C$11:$O$31,$AU$166),0)</f>
        <v>0</v>
      </c>
      <c r="CQ167" s="190">
        <f>IF(CQ121&gt;0,HLOOKUP(CQ121,[1]Trav!$C$11:$O$31,$AU$166),0)</f>
        <v>0</v>
      </c>
      <c r="CR167" s="190">
        <f>IF(CR121&gt;0,HLOOKUP(CR121,[1]Trav!$C$11:$O$31,$AU$166),0)</f>
        <v>0</v>
      </c>
      <c r="CS167" s="190">
        <f>IF(CS121&gt;0,HLOOKUP(CS121,[1]Trav!$C$11:$O$31,$AU$166),0)</f>
        <v>0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21</v>
      </c>
      <c r="AW168" s="190">
        <f>IF(AW122&gt;0,HLOOKUP(AW122,[1]Trav!$C$11:$O$31,$AU$166),0)</f>
        <v>21</v>
      </c>
      <c r="AX168" s="190">
        <f>IF(AX122&gt;0,HLOOKUP(AX122,[1]Trav!$C$11:$O$31,$AU$166),0)</f>
        <v>21</v>
      </c>
      <c r="AY168" s="190">
        <f>IF(AY122&gt;0,HLOOKUP(AY122,[1]Trav!$C$11:$O$31,$AU$166),0)</f>
        <v>21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21</v>
      </c>
      <c r="BS168" s="190">
        <f>IF(BS122&gt;0,HLOOKUP(BS122,[1]Trav!$C$11:$O$31,$AU$166),0)</f>
        <v>21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140.00700000000001</v>
      </c>
      <c r="D169" s="263">
        <f t="shared" si="50"/>
        <v>134.42068578553616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14</v>
      </c>
      <c r="BB169" s="190">
        <f>IF(BB123&gt;0,HLOOKUP(BB123,[1]Trav!$C$11:$O$31,$AU$166),0)</f>
        <v>14</v>
      </c>
      <c r="BC169" s="190">
        <f>IF(BC123&gt;0,HLOOKUP(BC123,[1]Trav!$C$11:$O$31,$AU$166),0)</f>
        <v>14</v>
      </c>
      <c r="BD169" s="190">
        <f>IF(BD123&gt;0,HLOOKUP(BD123,[1]Trav!$C$11:$O$31,$AU$166),0)</f>
        <v>14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98.636252439443496</v>
      </c>
      <c r="D170" s="263">
        <f t="shared" si="50"/>
        <v>94.70064136954052</v>
      </c>
      <c r="AT170" s="189" t="str">
        <f t="shared" si="95"/>
        <v>beliers</v>
      </c>
      <c r="AV170" s="190">
        <f>IF(AV124&gt;0,HLOOKUP(AV124,[1]Trav!$C$11:$O$31,$AU$166),0)</f>
        <v>21</v>
      </c>
      <c r="AW170" s="190">
        <f>IF(AW124&gt;0,HLOOKUP(AW124,[1]Trav!$C$11:$O$31,$AU$166),0)</f>
        <v>21</v>
      </c>
      <c r="AX170" s="190">
        <f>IF(AX124&gt;0,HLOOKUP(AX124,[1]Trav!$C$11:$O$31,$AU$166),0)</f>
        <v>21</v>
      </c>
      <c r="AY170" s="190">
        <f>IF(AY124&gt;0,HLOOKUP(AY124,[1]Trav!$C$11:$O$31,$AU$166),0)</f>
        <v>21</v>
      </c>
      <c r="AZ170" s="190">
        <f>IF(AZ124&gt;0,HLOOKUP(AZ124,[1]Trav!$C$11:$O$31,$AU$166),0)</f>
        <v>21</v>
      </c>
      <c r="BA170" s="190">
        <f>IF(BA124&gt;0,HLOOKUP(BA124,[1]Trav!$C$11:$O$31,$AU$166),0)</f>
        <v>21</v>
      </c>
      <c r="BB170" s="190">
        <f>IF(BB124&gt;0,HLOOKUP(BB124,[1]Trav!$C$11:$O$31,$AU$166),0)</f>
        <v>21</v>
      </c>
      <c r="BC170" s="190">
        <f>IF(BC124&gt;0,HLOOKUP(BC124,[1]Trav!$C$11:$O$31,$AU$166),0)</f>
        <v>21</v>
      </c>
      <c r="BD170" s="190">
        <f>IF(BD124&gt;0,HLOOKUP(BD124,[1]Trav!$C$11:$O$31,$AU$166),0)</f>
        <v>14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28</v>
      </c>
      <c r="BP170" s="190">
        <f>IF(BP124&gt;0,HLOOKUP(BP124,[1]Trav!$C$11:$O$31,$AU$166),0)</f>
        <v>21</v>
      </c>
      <c r="BQ170" s="190">
        <f>IF(BQ124&gt;0,HLOOKUP(BQ124,[1]Trav!$C$11:$O$31,$AU$166),0)</f>
        <v>21</v>
      </c>
      <c r="BR170" s="190">
        <f>IF(BR124&gt;0,HLOOKUP(BR124,[1]Trav!$C$11:$O$31,$AU$166),0)</f>
        <v>21</v>
      </c>
      <c r="BS170" s="190">
        <f>IF(BS124&gt;0,HLOOKUP(BS124,[1]Trav!$C$11:$O$31,$AU$166),0)</f>
        <v>21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113.80500000000001</v>
      </c>
      <c r="D171" s="263">
        <f t="shared" si="50"/>
        <v>109.26415211970075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144.9</v>
      </c>
      <c r="D172" s="263">
        <f t="shared" si="50"/>
        <v>139.11845386533668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41.370747560556509</v>
      </c>
      <c r="D173" s="263">
        <f t="shared" si="50"/>
        <v>39.720044415995652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70.5</v>
      </c>
      <c r="D174" s="263">
        <f t="shared" si="50"/>
        <v>67.687032418952612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-31.094999999999999</v>
      </c>
      <c r="D175" s="263">
        <f>C175*$D$82/$C$82</f>
        <v>-29.854301745635908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31.094999999999999</v>
      </c>
      <c r="D176" s="263">
        <f>C176*$D$82/$C$82</f>
        <v>29.854301745635908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87</v>
      </c>
      <c r="D178" s="173">
        <f>ROUND((D170+D171)/(D170+D172),2)*100</f>
        <v>87</v>
      </c>
      <c r="AT178" s="40" t="s">
        <v>865</v>
      </c>
      <c r="AV178" s="173">
        <f>SUM(AV167:AV176)</f>
        <v>42</v>
      </c>
      <c r="AW178" s="173">
        <f t="shared" ref="AW178:BS178" si="98">SUM(AW167:AW176)</f>
        <v>42</v>
      </c>
      <c r="AX178" s="173">
        <f t="shared" si="98"/>
        <v>42</v>
      </c>
      <c r="AY178" s="173">
        <f t="shared" si="98"/>
        <v>56</v>
      </c>
      <c r="AZ178" s="173">
        <f t="shared" si="98"/>
        <v>56</v>
      </c>
      <c r="BA178" s="173">
        <f t="shared" si="98"/>
        <v>70</v>
      </c>
      <c r="BB178" s="173">
        <f t="shared" si="98"/>
        <v>70</v>
      </c>
      <c r="BC178" s="173">
        <f t="shared" si="98"/>
        <v>70</v>
      </c>
      <c r="BD178" s="173">
        <f t="shared" si="98"/>
        <v>63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63</v>
      </c>
      <c r="BP178" s="173">
        <f t="shared" si="98"/>
        <v>42</v>
      </c>
      <c r="BQ178" s="173">
        <f t="shared" si="98"/>
        <v>42</v>
      </c>
      <c r="BR178" s="173">
        <f t="shared" si="98"/>
        <v>42</v>
      </c>
      <c r="BS178" s="173">
        <f t="shared" si="98"/>
        <v>42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49</v>
      </c>
      <c r="CJ178" s="173">
        <f t="shared" si="99"/>
        <v>49</v>
      </c>
      <c r="CK178" s="173">
        <f t="shared" si="99"/>
        <v>49</v>
      </c>
      <c r="CL178" s="173">
        <f t="shared" si="99"/>
        <v>28</v>
      </c>
      <c r="CM178" s="173">
        <f t="shared" si="99"/>
        <v>28</v>
      </c>
      <c r="CN178" s="173">
        <f t="shared" si="99"/>
        <v>28</v>
      </c>
      <c r="CO178" s="173">
        <f t="shared" si="99"/>
        <v>28</v>
      </c>
      <c r="CP178" s="173">
        <f t="shared" si="99"/>
        <v>28</v>
      </c>
      <c r="CQ178" s="173">
        <f t="shared" si="99"/>
        <v>28</v>
      </c>
      <c r="CR178" s="173">
        <f t="shared" si="99"/>
        <v>28</v>
      </c>
      <c r="CS178" s="173">
        <f t="shared" si="99"/>
        <v>28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9365</v>
      </c>
      <c r="D183" s="264">
        <f>ROUND(D184*D185,0)</f>
        <v>9010</v>
      </c>
      <c r="E183" s="17" t="s">
        <v>1295</v>
      </c>
    </row>
    <row r="184" spans="1:132" x14ac:dyDescent="0.25">
      <c r="B184" s="14" t="s">
        <v>1296</v>
      </c>
      <c r="C184" s="173">
        <f>Protection!AK26</f>
        <v>39.099999999999994</v>
      </c>
      <c r="D184" s="265">
        <f>C184*D82/C82</f>
        <v>37.539900249376551</v>
      </c>
    </row>
    <row r="185" spans="1:132" x14ac:dyDescent="0.25">
      <c r="B185" s="14" t="s">
        <v>1297</v>
      </c>
      <c r="C185" s="173">
        <f>IF(C183=0,0,ROUND(C183/C184,0))</f>
        <v>240</v>
      </c>
      <c r="D185" s="173">
        <f>C185</f>
        <v>240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0.2</v>
      </c>
      <c r="D187" s="173">
        <f>C187</f>
        <v>0.2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10</v>
      </c>
      <c r="D189" s="173">
        <f t="shared" si="101"/>
        <v>10</v>
      </c>
      <c r="AH189" s="15"/>
      <c r="AJ189" s="14" t="s">
        <v>1114</v>
      </c>
      <c r="AK189" s="30">
        <f>D189</f>
        <v>10</v>
      </c>
      <c r="AO189" s="173">
        <f>ROUND((([1]Protect!$B$5/[1]Protect!$B$11)+[1]Protect!$B$8)*AK189,0)</f>
        <v>9043</v>
      </c>
    </row>
    <row r="190" spans="1:132" x14ac:dyDescent="0.25">
      <c r="B190" s="14" t="s">
        <v>1302</v>
      </c>
      <c r="C190" s="173">
        <f>'Calcul éco'!T246*(30)</f>
        <v>42.000000000000007</v>
      </c>
      <c r="D190" s="173">
        <f>C190</f>
        <v>42.000000000000007</v>
      </c>
      <c r="AH190" s="15"/>
      <c r="AJ190" s="14" t="s">
        <v>1115</v>
      </c>
      <c r="AK190" s="30">
        <f>D190/30</f>
        <v>1.4000000000000001</v>
      </c>
      <c r="AN190" s="173">
        <f>[1]Eco!$B$106*[1]Eco!$B$108*[1]Eco!$B$109</f>
        <v>2551.2000000000003</v>
      </c>
      <c r="AO190" s="173">
        <f>AK190*AN190</f>
        <v>3571.6800000000007</v>
      </c>
    </row>
    <row r="191" spans="1:132" x14ac:dyDescent="0.25">
      <c r="B191" s="14" t="s">
        <v>1303</v>
      </c>
      <c r="C191" s="198">
        <f>ROUND(SUM(Travail!F69:F74)/8,1)</f>
        <v>34.4</v>
      </c>
      <c r="D191" s="173">
        <f>C191</f>
        <v>34.4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19.600000000000001</v>
      </c>
      <c r="AN191" s="173">
        <f>[1]Eco!$B$111</f>
        <v>28.3</v>
      </c>
      <c r="AO191" s="173">
        <f>AK191*AN191</f>
        <v>554.68000000000006</v>
      </c>
    </row>
    <row r="192" spans="1:132" x14ac:dyDescent="0.25">
      <c r="B192" s="14" t="s">
        <v>1307</v>
      </c>
      <c r="C192" s="173">
        <f>(Travail!F83+Travail!F84)/8</f>
        <v>1.325</v>
      </c>
      <c r="D192" s="266">
        <f>ROUND((D183/1000)*([1]Protect!$B$25*8/10+[1]Protect!$B$26),2)/8</f>
        <v>1.2725</v>
      </c>
      <c r="E192" s="17" t="s">
        <v>1308</v>
      </c>
      <c r="I192" s="5"/>
      <c r="AN192" s="14" t="s">
        <v>1117</v>
      </c>
      <c r="AO192" s="173">
        <f>SUM(AO189:AO191)</f>
        <v>13169.36</v>
      </c>
    </row>
    <row r="193" spans="1:43" x14ac:dyDescent="0.25">
      <c r="B193" s="14" t="s">
        <v>1309</v>
      </c>
      <c r="C193" s="173">
        <f>(Travail!F75+Travail!F76+Travail!F81)/8</f>
        <v>22.8125</v>
      </c>
      <c r="D193" s="173">
        <f>C193</f>
        <v>22.8125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1152.1197007481296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0</v>
      </c>
      <c r="AK201" s="173">
        <f>IF(AJ201=0,0,[1]Protect!B77)</f>
        <v>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1</v>
      </c>
      <c r="AK202" s="173">
        <f>IF(AJ202=0,0,[1]Protect!B78)</f>
        <v>20000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11392</v>
      </c>
      <c r="D206" s="261">
        <f>ROUND(C206*D$82/C$82,0)</f>
        <v>10937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7868</v>
      </c>
      <c r="D208" s="261">
        <f>ROUND(C208*D$82/C$82,0)</f>
        <v>7554</v>
      </c>
      <c r="S208" s="14" t="s">
        <v>978</v>
      </c>
      <c r="T208" s="30">
        <f>L212</f>
        <v>112.75415760598503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13169.36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10535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78.516957605985027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58841.2</v>
      </c>
      <c r="D211" s="264">
        <f>ROUND(SUM(D201:D210),0)</f>
        <v>57116</v>
      </c>
      <c r="E211" s="17" t="s">
        <v>1331</v>
      </c>
      <c r="K211" s="40" t="s">
        <v>995</v>
      </c>
      <c r="L211" s="62">
        <f>L209+L210</f>
        <v>112.75415760598503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112.75415760598503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135.15</v>
      </c>
      <c r="AK216" s="173"/>
      <c r="AL216" s="173"/>
      <c r="AM216" s="173">
        <f>'Calcul éco'!W272</f>
        <v>6</v>
      </c>
      <c r="AN216" s="173">
        <f>AJ216*AM216</f>
        <v>810.90000000000009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2491.5749999999998</v>
      </c>
      <c r="D217" s="261">
        <f t="shared" si="106"/>
        <v>2392</v>
      </c>
      <c r="G217" s="19" t="s">
        <v>601</v>
      </c>
      <c r="H217" s="19" t="str">
        <f>Troupeau!C3</f>
        <v>BV</v>
      </c>
      <c r="I217" s="30">
        <f>'Calcul éco'!S51</f>
        <v>48</v>
      </c>
      <c r="J217" s="48">
        <f t="shared" ref="J217:J218" si="107">I217*D$82/C$82</f>
        <v>46.084788029925186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10952.728999999999</v>
      </c>
      <c r="D218" s="261">
        <f t="shared" si="106"/>
        <v>10516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0.4</v>
      </c>
      <c r="AK218" s="173"/>
      <c r="AL218" s="173"/>
      <c r="AM218" s="173">
        <f>'Calcul éco'!W274</f>
        <v>100</v>
      </c>
      <c r="AN218" s="173">
        <f>AJ218*AM218</f>
        <v>40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9043</v>
      </c>
      <c r="D219" s="261">
        <f t="shared" si="106"/>
        <v>8682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882.84999999999991</v>
      </c>
      <c r="D220" s="264">
        <f>SUM(AN215:AN219)</f>
        <v>850.90000000000009</v>
      </c>
      <c r="E220" s="17" t="s">
        <v>1345</v>
      </c>
      <c r="H220" s="14" t="s">
        <v>1000</v>
      </c>
      <c r="I220" s="30">
        <f>SUM(I216:I219)</f>
        <v>174</v>
      </c>
      <c r="J220" s="30">
        <f>SUM(J216:J219)</f>
        <v>167.05735660847878</v>
      </c>
    </row>
    <row r="221" spans="1:43" x14ac:dyDescent="0.25">
      <c r="B221" s="14" t="s">
        <v>1346</v>
      </c>
      <c r="C221" s="173">
        <f>ROUND(SUM(C216:C220),0)</f>
        <v>55616</v>
      </c>
      <c r="D221" s="264">
        <f>ROUND(SUM(D216:D220),0)</f>
        <v>53400</v>
      </c>
      <c r="E221" s="17" t="s">
        <v>1345</v>
      </c>
      <c r="H221" s="14" t="s">
        <v>1001</v>
      </c>
      <c r="I221" s="30">
        <f>I220*[1]Eco!$B$25</f>
        <v>81.78</v>
      </c>
      <c r="J221" s="30">
        <f>J220*[1]Eco!$B$25</f>
        <v>78.516957605985027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945.40000000000009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12</v>
      </c>
      <c r="L224" s="30">
        <f>K224*'Synthèse résultats'!D$82/'Synthèse résultats'!C$82</f>
        <v>11.521197007481296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9010</v>
      </c>
      <c r="AL225" t="s">
        <v>1101</v>
      </c>
      <c r="AM225" s="173"/>
      <c r="AN225" s="173">
        <f>[1]Protect!$B$4</f>
        <v>6</v>
      </c>
      <c r="AO225" s="173">
        <f>AK225*AN225</f>
        <v>54060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0.2</v>
      </c>
      <c r="AN226" s="173">
        <f>[1]Protect!$B$83</f>
        <v>2000</v>
      </c>
      <c r="AO226" s="173">
        <f t="shared" ref="AO226:AO227" si="108">AK226*AN226</f>
        <v>400</v>
      </c>
    </row>
    <row r="227" spans="1:49" x14ac:dyDescent="0.25">
      <c r="B227" s="14" t="s">
        <v>1076</v>
      </c>
      <c r="C227" s="173">
        <f>'Calcul éco'!J154</f>
        <v>8430.2999999999993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54460</v>
      </c>
      <c r="AQ228" s="30">
        <f>IF(Scénario!K84=1,MIN(0.8*AO228,[1]Protect!$B$68),IF(Scénario!K84=2,MIN(0.8*AO228,[1]Protect!$B$67),0))</f>
        <v>15500</v>
      </c>
      <c r="AR228" s="30">
        <f>AO228-AQ228</f>
        <v>38960</v>
      </c>
      <c r="AS228" s="30">
        <f>(1-Scénario!K127/100)*AR228</f>
        <v>38960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0</v>
      </c>
      <c r="D230" s="261">
        <f t="shared" si="109"/>
        <v>0</v>
      </c>
    </row>
    <row r="231" spans="1:49" x14ac:dyDescent="0.25">
      <c r="B231" s="14" t="s">
        <v>1083</v>
      </c>
      <c r="C231" s="173">
        <f>'Calcul éco'!J159</f>
        <v>0</v>
      </c>
      <c r="D231" s="261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0</v>
      </c>
      <c r="D233" s="261">
        <f t="shared" si="109"/>
        <v>0</v>
      </c>
    </row>
    <row r="234" spans="1:49" x14ac:dyDescent="0.25">
      <c r="B234" s="14" t="s">
        <v>1352</v>
      </c>
      <c r="C234" s="173">
        <f>'Calcul éco'!J166</f>
        <v>3571.6800000000007</v>
      </c>
      <c r="D234" s="173">
        <f>C234</f>
        <v>3571.6800000000007</v>
      </c>
    </row>
    <row r="235" spans="1:49" x14ac:dyDescent="0.25">
      <c r="B235" s="14" t="s">
        <v>1353</v>
      </c>
      <c r="C235" s="173">
        <f>'Calcul éco'!J167</f>
        <v>4455.0330000000004</v>
      </c>
      <c r="D235" s="264">
        <f>(D191+D192)*8*[1]Eco!$B$106</f>
        <v>3033.5894000000003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54084</v>
      </c>
      <c r="D236" s="264">
        <f>ROUND(SUM(D222:D235),0)</f>
        <v>51651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51520.200000000012</v>
      </c>
      <c r="D237" s="264">
        <f>D194+D211-D221-D236</f>
        <v>50359</v>
      </c>
    </row>
    <row r="238" spans="1:49" x14ac:dyDescent="0.25">
      <c r="B238" s="211" t="s">
        <v>1090</v>
      </c>
      <c r="C238" s="173">
        <f>ROUND(C237/Scénario!$K$4,0)</f>
        <v>25760</v>
      </c>
      <c r="D238" s="264">
        <f>ROUND(D237/D83,0)</f>
        <v>25180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5066.0249025253097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35454</v>
      </c>
      <c r="D241" s="268">
        <f>ROUND(D237-D239-D240,0)</f>
        <v>39359</v>
      </c>
    </row>
    <row r="242" spans="1:15" x14ac:dyDescent="0.25">
      <c r="B242" s="211" t="s">
        <v>1094</v>
      </c>
      <c r="C242" s="173">
        <f>ROUND(C241/Scénario!K4,0)</f>
        <v>17727</v>
      </c>
      <c r="D242" s="264">
        <f>ROUND(D241/D83,0)</f>
        <v>19680</v>
      </c>
    </row>
    <row r="243" spans="1:15" x14ac:dyDescent="0.25">
      <c r="B243" s="211" t="s">
        <v>1357</v>
      </c>
      <c r="C243" s="173">
        <f>'Calcul éco'!X237+'Calcul éco'!X240</f>
        <v>56590</v>
      </c>
      <c r="D243" s="173">
        <f>C243</f>
        <v>56590</v>
      </c>
    </row>
    <row r="244" spans="1:15" x14ac:dyDescent="0.25">
      <c r="B244" s="211" t="s">
        <v>1358</v>
      </c>
      <c r="C244" s="173">
        <f>'Calcul éco'!AA237+'Calcul éco'!AA240</f>
        <v>41090</v>
      </c>
      <c r="D244" s="173">
        <f>C244</f>
        <v>41090</v>
      </c>
    </row>
    <row r="245" spans="1:15" x14ac:dyDescent="0.25">
      <c r="A245" s="2" t="s">
        <v>1359</v>
      </c>
      <c r="B245" s="14" t="s">
        <v>568</v>
      </c>
      <c r="C245" s="270">
        <f>Travail!F5</f>
        <v>924</v>
      </c>
      <c r="D245" s="173">
        <f>C245</f>
        <v>924</v>
      </c>
    </row>
    <row r="246" spans="1:15" x14ac:dyDescent="0.25">
      <c r="B246" s="14" t="s">
        <v>601</v>
      </c>
      <c r="C246" s="270">
        <f>Travail!F6</f>
        <v>169.04999999999998</v>
      </c>
      <c r="D246" s="173">
        <f t="shared" ref="D246:D247" si="112">C246</f>
        <v>169.04999999999998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874.76382608695656</v>
      </c>
      <c r="D248" s="264">
        <f>ROUND(SUM(AV163:BS163),1)</f>
        <v>865.8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156.80000000000001</v>
      </c>
      <c r="D251" s="173">
        <f>C251</f>
        <v>156.80000000000001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96</v>
      </c>
      <c r="D252" s="173">
        <f t="shared" ref="D252:D253" si="113">C252</f>
        <v>96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20.305800000000001</v>
      </c>
      <c r="L258" s="190">
        <f>IF(K258&gt;[1]Trav!E121,[1]Trav!C121,[1]Trav!B121)</f>
        <v>7.2</v>
      </c>
      <c r="N258" s="274"/>
      <c r="O258">
        <f t="shared" si="114"/>
        <v>146.20176000000001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15.362</v>
      </c>
      <c r="L259" s="190">
        <f>IF(K259&gt;[1]Trav!E121,[1]Trav!C121,[1]Trav!B121)</f>
        <v>7.2</v>
      </c>
      <c r="N259" s="274"/>
      <c r="O259">
        <f t="shared" si="114"/>
        <v>110.60640000000001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2.2559999999999998</v>
      </c>
      <c r="L261" s="190">
        <f>IF(K261&gt;[1]Trav!E122,[1]Trav!C122,[1]Trav!B122)</f>
        <v>4.4000000000000004</v>
      </c>
      <c r="M261" s="5"/>
      <c r="N261" s="274"/>
      <c r="O261">
        <f t="shared" si="114"/>
        <v>9.9263999999999992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152</v>
      </c>
      <c r="D267" s="264">
        <f t="shared" si="116"/>
        <v>146</v>
      </c>
    </row>
    <row r="268" spans="1:15" x14ac:dyDescent="0.25">
      <c r="B268" s="32" t="s">
        <v>791</v>
      </c>
      <c r="C268" s="270">
        <f>Travail!F56</f>
        <v>115</v>
      </c>
      <c r="D268" s="264">
        <f t="shared" si="116"/>
        <v>111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10</v>
      </c>
      <c r="D270" s="264">
        <f t="shared" si="116"/>
        <v>10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275.2</v>
      </c>
      <c r="D275" s="173">
        <f>C275</f>
        <v>275.2</v>
      </c>
    </row>
    <row r="276" spans="1:4" x14ac:dyDescent="0.25">
      <c r="A276" s="23"/>
      <c r="B276" s="32" t="s">
        <v>1369</v>
      </c>
      <c r="C276" s="270">
        <f>C192*8</f>
        <v>10.6</v>
      </c>
      <c r="D276" s="264">
        <f>D192*8</f>
        <v>10.18</v>
      </c>
    </row>
    <row r="277" spans="1:4" x14ac:dyDescent="0.25">
      <c r="B277" s="32" t="s">
        <v>1419</v>
      </c>
      <c r="C277" s="270">
        <f>Travail!F75+Travail!F81</f>
        <v>133.5</v>
      </c>
      <c r="D277" s="173">
        <f>C277</f>
        <v>133.5</v>
      </c>
    </row>
    <row r="278" spans="1:4" x14ac:dyDescent="0.25">
      <c r="B278" s="32" t="s">
        <v>1420</v>
      </c>
      <c r="C278" s="270">
        <f>Travail!F76</f>
        <v>49</v>
      </c>
      <c r="D278" s="173">
        <f>C278</f>
        <v>49</v>
      </c>
    </row>
    <row r="279" spans="1:4" x14ac:dyDescent="0.25">
      <c r="B279" s="32" t="s">
        <v>1386</v>
      </c>
      <c r="C279" s="270">
        <f>Travail!F86</f>
        <v>336.00000000000006</v>
      </c>
      <c r="D279" s="270">
        <f>C279</f>
        <v>336.00000000000006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4826</v>
      </c>
      <c r="D281" s="264">
        <f>ROUND(D245+D248+D251+D254+D257+D260+D261,0)</f>
        <v>4711</v>
      </c>
    </row>
    <row r="282" spans="1:4" x14ac:dyDescent="0.25">
      <c r="B282" s="14" t="s">
        <v>1372</v>
      </c>
      <c r="C282" s="173">
        <f>ROUND(C246+C249+C252+C255+C258,0)</f>
        <v>853</v>
      </c>
      <c r="D282" s="264">
        <f>ROUND(D246+D249+D252+D255+D258,0)</f>
        <v>850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15.88</v>
      </c>
      <c r="D284" s="173">
        <f>ROUND(D281/(Troupeau!$B$17*G63),2)</f>
        <v>16.14</v>
      </c>
    </row>
    <row r="285" spans="1:4" x14ac:dyDescent="0.25">
      <c r="B285" s="14" t="s">
        <v>1375</v>
      </c>
      <c r="C285" s="173">
        <f>IF(Troupeau!$C$17=0,0,ROUND(C282/Troupeau!$C$17,2))</f>
        <v>44.89</v>
      </c>
      <c r="D285" s="173">
        <f>IF(Troupeau!$C$17=0,0,ROUND(D282/Troupeau!$C$17*G63,2))</f>
        <v>42.95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5679</v>
      </c>
      <c r="D287" s="264">
        <f>SUM(D281:D283)</f>
        <v>5561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333</v>
      </c>
      <c r="D289" s="264">
        <f>SUM(D262:D271)</f>
        <v>324</v>
      </c>
    </row>
    <row r="290" spans="2:4" x14ac:dyDescent="0.25">
      <c r="B290" s="14" t="s">
        <v>1421</v>
      </c>
      <c r="C290" s="270">
        <f>C275+C276+C277</f>
        <v>419.3</v>
      </c>
      <c r="D290" s="277">
        <f>D275+D276+D277</f>
        <v>418.88</v>
      </c>
    </row>
    <row r="291" spans="2:4" x14ac:dyDescent="0.25">
      <c r="B291" s="14" t="s">
        <v>1422</v>
      </c>
      <c r="C291" s="270">
        <f>C278+C279+C280</f>
        <v>385.00000000000006</v>
      </c>
      <c r="D291" s="270">
        <f>D278+D279+D280</f>
        <v>385.00000000000006</v>
      </c>
    </row>
    <row r="292" spans="2:4" x14ac:dyDescent="0.25">
      <c r="B292" s="14" t="s">
        <v>873</v>
      </c>
      <c r="C292" s="173">
        <f>ROUND(SUM(C287:C291),0)</f>
        <v>7416</v>
      </c>
      <c r="D292" s="264">
        <f>ROUND(SUM(D287:D291),0)</f>
        <v>7289</v>
      </c>
    </row>
    <row r="293" spans="2:4" x14ac:dyDescent="0.25">
      <c r="B293" s="14" t="s">
        <v>874</v>
      </c>
      <c r="C293" s="173">
        <f>ROUND(IF(Scénario!$K$129=1,SUM(C275:C280),SUM(C278:C280)),0)</f>
        <v>804</v>
      </c>
      <c r="D293" s="173">
        <f>ROUND(IF(Scénario!$K$129=1,SUM(D275:D280),SUM(D278:D280)),0)</f>
        <v>804</v>
      </c>
    </row>
    <row r="294" spans="2:4" x14ac:dyDescent="0.25">
      <c r="B294" s="14" t="s">
        <v>875</v>
      </c>
      <c r="C294" s="173">
        <f>ROUND((C292-C293)/C83,0)</f>
        <v>3306</v>
      </c>
      <c r="D294" s="173">
        <f>ROUND((D292-D293)/D83,0)</f>
        <v>3243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58.799145479443467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39.837106959999993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28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56190</v>
      </c>
    </row>
    <row r="308" spans="2:3" x14ac:dyDescent="0.25">
      <c r="B308" s="14" t="s">
        <v>1460</v>
      </c>
      <c r="C308" s="173">
        <f>'Calcul éco'!X235</f>
        <v>400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="82" workbookViewId="0">
      <pane ySplit="1" topLeftCell="A32" activePane="bottomLeft" state="frozen"/>
      <selection pane="bottomLeft" activeCell="V55" sqref="V55:Y5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0.5</v>
      </c>
      <c r="H54" s="60">
        <v>0.5</v>
      </c>
      <c r="I54" s="60">
        <v>0.5</v>
      </c>
      <c r="J54" s="60">
        <v>0.5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0</v>
      </c>
      <c r="V55" s="60">
        <v>0.5</v>
      </c>
      <c r="W55" s="60">
        <v>0.5</v>
      </c>
      <c r="X55" s="60">
        <v>0.5</v>
      </c>
      <c r="Y55" s="60">
        <v>0.5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36.031799999999997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14.914504347826087</v>
      </c>
      <c r="H65" s="61">
        <f t="shared" si="20"/>
        <v>14.433391304347827</v>
      </c>
      <c r="I65" s="61">
        <f t="shared" si="20"/>
        <v>14.433391304347827</v>
      </c>
      <c r="J65" s="61">
        <f t="shared" si="20"/>
        <v>37.286260869565226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8.6045217391304369</v>
      </c>
      <c r="C66" s="61">
        <f t="shared" si="21"/>
        <v>8.6045217391304369</v>
      </c>
      <c r="D66" s="61">
        <f t="shared" si="21"/>
        <v>7.7718260869565237</v>
      </c>
      <c r="E66" s="61">
        <f t="shared" si="21"/>
        <v>7.7718260869565237</v>
      </c>
      <c r="F66" s="61">
        <f t="shared" si="21"/>
        <v>8.6045217391304369</v>
      </c>
      <c r="G66" s="61">
        <f t="shared" si="21"/>
        <v>8.6045217391304369</v>
      </c>
      <c r="H66" s="61">
        <f t="shared" si="21"/>
        <v>8.3269565217391328</v>
      </c>
      <c r="I66" s="61">
        <f t="shared" si="21"/>
        <v>8.3269565217391328</v>
      </c>
      <c r="J66" s="61">
        <f t="shared" si="21"/>
        <v>8.6045217391304369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0</v>
      </c>
      <c r="V66" s="61">
        <f t="shared" si="21"/>
        <v>8.3269565217391328</v>
      </c>
      <c r="W66" s="61">
        <f t="shared" si="21"/>
        <v>8.3269565217391328</v>
      </c>
      <c r="X66" s="61">
        <f t="shared" si="21"/>
        <v>8.6045217391304369</v>
      </c>
      <c r="Y66" s="61">
        <f t="shared" si="21"/>
        <v>8.6045217391304369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639</v>
      </c>
      <c r="C73" s="64">
        <f t="shared" ref="C73:Y73" si="28">ROUND(SUM(C63:C72),0)</f>
        <v>634</v>
      </c>
      <c r="D73" s="64">
        <f t="shared" si="28"/>
        <v>567</v>
      </c>
      <c r="E73" s="64">
        <f t="shared" si="28"/>
        <v>312</v>
      </c>
      <c r="F73" s="64">
        <f t="shared" si="28"/>
        <v>344</v>
      </c>
      <c r="G73" s="64">
        <f t="shared" si="28"/>
        <v>328</v>
      </c>
      <c r="H73" s="64">
        <f t="shared" si="28"/>
        <v>316</v>
      </c>
      <c r="I73" s="64">
        <f t="shared" si="28"/>
        <v>314</v>
      </c>
      <c r="J73" s="64">
        <f t="shared" si="28"/>
        <v>344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330</v>
      </c>
      <c r="V73" s="64">
        <f t="shared" si="28"/>
        <v>620</v>
      </c>
      <c r="W73" s="64">
        <f t="shared" si="28"/>
        <v>619</v>
      </c>
      <c r="X73" s="64">
        <f t="shared" si="28"/>
        <v>639</v>
      </c>
      <c r="Y73" s="64">
        <f t="shared" si="28"/>
        <v>639</v>
      </c>
      <c r="Z73" s="52"/>
      <c r="AA73" s="56">
        <f>ROUND(SUM(B73:Y73),0)</f>
        <v>7833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2</v>
      </c>
      <c r="C77" s="60">
        <v>2</v>
      </c>
      <c r="D77" s="60">
        <v>2</v>
      </c>
      <c r="E77" s="60">
        <v>2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3</v>
      </c>
      <c r="Y77" s="60">
        <v>2</v>
      </c>
      <c r="AB77" t="s">
        <v>447</v>
      </c>
      <c r="AC77">
        <f>COUNTIF($B$76:$Y$85,"&gt;0")/2</f>
        <v>31</v>
      </c>
      <c r="AG77" s="5"/>
    </row>
    <row r="78" spans="1:33" x14ac:dyDescent="0.25">
      <c r="A78" s="128" t="str">
        <f>A$17</f>
        <v>agnelles</v>
      </c>
      <c r="B78" s="60"/>
      <c r="C78" s="60"/>
      <c r="D78" s="60">
        <v>1</v>
      </c>
      <c r="E78" s="60">
        <v>1</v>
      </c>
      <c r="F78" s="60">
        <v>1</v>
      </c>
      <c r="G78" s="60">
        <v>1</v>
      </c>
      <c r="H78" s="60">
        <v>1</v>
      </c>
      <c r="I78" s="60">
        <v>1</v>
      </c>
      <c r="J78" s="60">
        <v>1</v>
      </c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14</v>
      </c>
      <c r="AG78" s="5"/>
    </row>
    <row r="79" spans="1:33" x14ac:dyDescent="0.25">
      <c r="A79" s="127" t="str">
        <f>A$18</f>
        <v>beliers</v>
      </c>
      <c r="B79" s="60">
        <v>2</v>
      </c>
      <c r="C79" s="60">
        <v>2</v>
      </c>
      <c r="D79" s="60">
        <v>2</v>
      </c>
      <c r="E79" s="60">
        <v>2</v>
      </c>
      <c r="F79" s="60">
        <v>2</v>
      </c>
      <c r="G79" s="60">
        <v>2</v>
      </c>
      <c r="H79" s="60">
        <v>2</v>
      </c>
      <c r="I79" s="60">
        <v>2</v>
      </c>
      <c r="J79" s="60">
        <v>1</v>
      </c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>
        <v>2</v>
      </c>
      <c r="V79" s="60">
        <v>2</v>
      </c>
      <c r="W79" s="60">
        <v>2</v>
      </c>
      <c r="X79" s="60">
        <v>2</v>
      </c>
      <c r="Y79" s="60">
        <v>2</v>
      </c>
      <c r="AB79" s="142">
        <v>2</v>
      </c>
      <c r="AC79">
        <f t="shared" ref="AC79:AC81" si="29">COUNTIF($B$76:$Y$85,AB79)/2</f>
        <v>9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>
        <v>0</v>
      </c>
      <c r="C125" s="60">
        <v>0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0.33</v>
      </c>
      <c r="U125" s="60">
        <v>0.33</v>
      </c>
      <c r="V125" s="60">
        <v>0</v>
      </c>
      <c r="W125" s="60">
        <v>0</v>
      </c>
      <c r="X125" s="60">
        <v>0</v>
      </c>
      <c r="Y125" s="60">
        <v>0</v>
      </c>
    </row>
    <row r="126" spans="1:29" x14ac:dyDescent="0.25">
      <c r="A126" s="127" t="str">
        <f>A$18</f>
        <v>beliers</v>
      </c>
      <c r="B126" s="60">
        <v>1</v>
      </c>
      <c r="C126" s="60">
        <v>1</v>
      </c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0.5</v>
      </c>
      <c r="K126" s="60">
        <v>0.5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>
        <v>1</v>
      </c>
      <c r="V126" s="60">
        <v>1</v>
      </c>
      <c r="W126" s="60">
        <v>1</v>
      </c>
      <c r="X126" s="60">
        <v>1</v>
      </c>
      <c r="Y126" s="60">
        <v>1</v>
      </c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</v>
      </c>
      <c r="E138" s="61">
        <f t="shared" si="52"/>
        <v>0</v>
      </c>
      <c r="F138" s="61">
        <f t="shared" si="52"/>
        <v>0</v>
      </c>
      <c r="G138" s="61">
        <f t="shared" si="52"/>
        <v>0</v>
      </c>
      <c r="H138" s="61">
        <f t="shared" si="52"/>
        <v>0</v>
      </c>
      <c r="I138" s="61">
        <f t="shared" si="52"/>
        <v>0</v>
      </c>
      <c r="J138" s="61">
        <f t="shared" si="52"/>
        <v>0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0.64952666434782613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2.5759032904347827</v>
      </c>
    </row>
    <row r="139" spans="1:31" x14ac:dyDescent="0.25">
      <c r="A139" s="127" t="str">
        <f>A$18</f>
        <v>beliers</v>
      </c>
      <c r="B139" s="61">
        <f t="shared" si="52"/>
        <v>0</v>
      </c>
      <c r="C139" s="61">
        <f t="shared" si="52"/>
        <v>0</v>
      </c>
      <c r="D139" s="61">
        <f t="shared" si="52"/>
        <v>0</v>
      </c>
      <c r="E139" s="61">
        <f t="shared" si="52"/>
        <v>0</v>
      </c>
      <c r="F139" s="61">
        <f t="shared" si="52"/>
        <v>0</v>
      </c>
      <c r="G139" s="61">
        <f t="shared" si="52"/>
        <v>0</v>
      </c>
      <c r="H139" s="61">
        <f t="shared" si="52"/>
        <v>0</v>
      </c>
      <c r="I139" s="61">
        <f t="shared" si="52"/>
        <v>0</v>
      </c>
      <c r="J139" s="61">
        <f t="shared" si="52"/>
        <v>0.11185878260869568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</v>
      </c>
      <c r="V139" s="61">
        <f t="shared" si="52"/>
        <v>0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0.11185878260869568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107.41943598838265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118.16137958722092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0.35025029565217397</v>
      </c>
      <c r="E151" s="61">
        <f t="shared" si="57"/>
        <v>0.35025029565217397</v>
      </c>
      <c r="F151" s="61">
        <f t="shared" si="57"/>
        <v>0.38777711304347828</v>
      </c>
      <c r="G151" s="61">
        <f t="shared" si="57"/>
        <v>0.38777711304347828</v>
      </c>
      <c r="H151" s="61">
        <f t="shared" si="57"/>
        <v>0.37526817391304346</v>
      </c>
      <c r="I151" s="61">
        <f t="shared" si="57"/>
        <v>0.37526817391304346</v>
      </c>
      <c r="J151" s="61">
        <f t="shared" si="57"/>
        <v>0.96944278260869587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0.31991611826086974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0.22371756521739136</v>
      </c>
      <c r="C152" s="61">
        <f t="shared" si="58"/>
        <v>0.22371756521739136</v>
      </c>
      <c r="D152" s="61">
        <f t="shared" si="58"/>
        <v>0.20206747826086963</v>
      </c>
      <c r="E152" s="61">
        <f t="shared" si="58"/>
        <v>0.20206747826086963</v>
      </c>
      <c r="F152" s="61">
        <f t="shared" si="58"/>
        <v>0.22371756521739136</v>
      </c>
      <c r="G152" s="61">
        <f t="shared" si="58"/>
        <v>0.22371756521739136</v>
      </c>
      <c r="H152" s="61">
        <f t="shared" si="58"/>
        <v>0.21650086956521744</v>
      </c>
      <c r="I152" s="61">
        <f t="shared" si="58"/>
        <v>0.21650086956521744</v>
      </c>
      <c r="J152" s="61">
        <f t="shared" si="58"/>
        <v>0.11185878260869568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0.22371756521739136</v>
      </c>
      <c r="V152" s="61">
        <f t="shared" si="58"/>
        <v>0.21650086956521744</v>
      </c>
      <c r="W152" s="61">
        <f t="shared" si="58"/>
        <v>0.21650086956521744</v>
      </c>
      <c r="X152" s="61">
        <f t="shared" si="58"/>
        <v>0.22371756521739136</v>
      </c>
      <c r="Y152" s="61">
        <f t="shared" si="58"/>
        <v>0.22371756521739136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97.279967475965137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0.35025029565217397</v>
      </c>
      <c r="E164" s="61">
        <f t="shared" si="67"/>
        <v>0.35025029565217397</v>
      </c>
      <c r="F164" s="61">
        <f t="shared" si="67"/>
        <v>0.38777711304347828</v>
      </c>
      <c r="G164" s="61">
        <f t="shared" si="67"/>
        <v>0.38777711304347828</v>
      </c>
      <c r="H164" s="61">
        <f t="shared" si="67"/>
        <v>0.37526817391304346</v>
      </c>
      <c r="I164" s="61">
        <f t="shared" si="67"/>
        <v>0.37526817391304346</v>
      </c>
      <c r="J164" s="61">
        <f t="shared" si="67"/>
        <v>0.96944278260869587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0.31991611826086974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0.11185878260869568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0.35025029565217397</v>
      </c>
      <c r="E172" s="61">
        <f t="shared" si="75"/>
        <v>0.35025029565217397</v>
      </c>
      <c r="F172" s="61">
        <f t="shared" si="75"/>
        <v>0.38777711304347828</v>
      </c>
      <c r="G172" s="61">
        <f t="shared" si="75"/>
        <v>5.7650353015652183</v>
      </c>
      <c r="H172" s="61">
        <f t="shared" si="75"/>
        <v>5.5521037356521763</v>
      </c>
      <c r="I172" s="61">
        <f t="shared" si="75"/>
        <v>5.5251410504347831</v>
      </c>
      <c r="J172" s="61">
        <f t="shared" si="75"/>
        <v>6.3471139881739145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1.7648674307478269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46.273367392486954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0.70843895652173916</v>
      </c>
      <c r="C176" s="61">
        <f t="shared" si="77"/>
        <v>0.70843895652173916</v>
      </c>
      <c r="D176" s="61">
        <f t="shared" si="77"/>
        <v>0.63988034782608705</v>
      </c>
      <c r="E176" s="61">
        <f t="shared" si="77"/>
        <v>0.63988034782608705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0.70843895652173916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0.22371756521739136</v>
      </c>
      <c r="C178" s="61">
        <f t="shared" si="79"/>
        <v>0.22371756521739136</v>
      </c>
      <c r="D178" s="61">
        <f t="shared" si="79"/>
        <v>0.20206747826086963</v>
      </c>
      <c r="E178" s="61">
        <f t="shared" si="79"/>
        <v>0.20206747826086963</v>
      </c>
      <c r="F178" s="61">
        <f t="shared" si="79"/>
        <v>0.22371756521739136</v>
      </c>
      <c r="G178" s="61">
        <f t="shared" si="79"/>
        <v>0.22371756521739136</v>
      </c>
      <c r="H178" s="61">
        <f t="shared" si="79"/>
        <v>0.21650086956521744</v>
      </c>
      <c r="I178" s="61">
        <f t="shared" si="79"/>
        <v>0.21650086956521744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0.22371756521739136</v>
      </c>
      <c r="V178" s="61">
        <f t="shared" si="79"/>
        <v>0.21650086956521744</v>
      </c>
      <c r="W178" s="61">
        <f t="shared" si="79"/>
        <v>0.21650086956521744</v>
      </c>
      <c r="X178" s="61">
        <f t="shared" si="79"/>
        <v>0.22371756521739136</v>
      </c>
      <c r="Y178" s="61">
        <f t="shared" si="79"/>
        <v>0.22371756521739136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0.93215652173913055</v>
      </c>
      <c r="C185" s="61">
        <f>SUM(CdTrp1!C175:C184)</f>
        <v>0.93215652173913055</v>
      </c>
      <c r="D185" s="61">
        <f>SUM(CdTrp1!D175:D184)</f>
        <v>0.84194782608695662</v>
      </c>
      <c r="E185" s="61">
        <f>SUM(CdTrp1!E175:E184)</f>
        <v>0.84194782608695662</v>
      </c>
      <c r="F185" s="61">
        <f>SUM(CdTrp1!F175:F184)</f>
        <v>0.22371756521739136</v>
      </c>
      <c r="G185" s="61">
        <f>SUM(CdTrp1!G175:G184)</f>
        <v>0.22371756521739136</v>
      </c>
      <c r="H185" s="61">
        <f>SUM(CdTrp1!H175:H184)</f>
        <v>0.21650086956521744</v>
      </c>
      <c r="I185" s="61">
        <f>SUM(CdTrp1!I175:I184)</f>
        <v>0.21650086956521744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0.22371756521739136</v>
      </c>
      <c r="V185" s="61">
        <f>SUM(CdTrp1!V175:V184)</f>
        <v>0.21650086956521744</v>
      </c>
      <c r="W185" s="61">
        <f>SUM(CdTrp1!W175:W184)</f>
        <v>0.21650086956521744</v>
      </c>
      <c r="X185" s="61">
        <f>SUM(CdTrp1!X175:X184)</f>
        <v>0.22371756521739136</v>
      </c>
      <c r="Y185" s="61">
        <f>SUM(CdTrp1!Y175:Y184)</f>
        <v>0.93215652173913055</v>
      </c>
      <c r="AA185" s="64">
        <f>SUM(B185:Y185)</f>
        <v>6.2412389565217392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0.70843895652173916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0.70843895652173916</v>
      </c>
      <c r="Y198" s="61">
        <f t="shared" si="96"/>
        <v>0</v>
      </c>
      <c r="AA198" s="64">
        <f>SUM(B198:Y198)</f>
        <v>6.2845391304347835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108">C172</f>
        <v>0</v>
      </c>
      <c r="D215" s="61">
        <f t="shared" si="108"/>
        <v>0.35025029565217397</v>
      </c>
      <c r="E215" s="61">
        <f t="shared" si="108"/>
        <v>0.35025029565217397</v>
      </c>
      <c r="F215" s="61">
        <f t="shared" si="108"/>
        <v>0.38777711304347828</v>
      </c>
      <c r="G215" s="61">
        <f t="shared" si="108"/>
        <v>5.7650353015652183</v>
      </c>
      <c r="H215" s="61">
        <f t="shared" si="108"/>
        <v>5.5521037356521763</v>
      </c>
      <c r="I215" s="61">
        <f t="shared" si="108"/>
        <v>5.5251410504347831</v>
      </c>
      <c r="J215" s="61">
        <f t="shared" si="108"/>
        <v>6.3471139881739145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1.7648674307478269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218</v>
      </c>
      <c r="B216" s="61">
        <f>B185</f>
        <v>0.93215652173913055</v>
      </c>
      <c r="C216" s="61">
        <f t="shared" ref="C216:Y216" si="109">C185</f>
        <v>0.93215652173913055</v>
      </c>
      <c r="D216" s="61">
        <f t="shared" si="109"/>
        <v>0.84194782608695662</v>
      </c>
      <c r="E216" s="61">
        <f t="shared" si="109"/>
        <v>0.84194782608695662</v>
      </c>
      <c r="F216" s="61">
        <f t="shared" si="109"/>
        <v>0.22371756521739136</v>
      </c>
      <c r="G216" s="61">
        <f t="shared" si="109"/>
        <v>0.22371756521739136</v>
      </c>
      <c r="H216" s="61">
        <f t="shared" si="109"/>
        <v>0.21650086956521744</v>
      </c>
      <c r="I216" s="61">
        <f t="shared" si="109"/>
        <v>0.21650086956521744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0.22371756521739136</v>
      </c>
      <c r="V216" s="61">
        <f t="shared" si="109"/>
        <v>0.21650086956521744</v>
      </c>
      <c r="W216" s="61">
        <f t="shared" si="109"/>
        <v>0.21650086956521744</v>
      </c>
      <c r="X216" s="61">
        <f t="shared" si="109"/>
        <v>0.22371756521739136</v>
      </c>
      <c r="Y216" s="61">
        <f t="shared" si="109"/>
        <v>0.93215652173913055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0.70843895652173916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97.279967475965179</v>
      </c>
      <c r="AB219" t="s">
        <v>222</v>
      </c>
    </row>
    <row r="220" spans="1:28" x14ac:dyDescent="0.25">
      <c r="AA220" s="30">
        <f>SUM(B215:Y217)</f>
        <v>58.799145479443467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9" activePane="bottomLeft" state="frozen"/>
      <selection pane="bottomLeft" activeCell="H80" sqref="H80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5" t="s">
        <v>2</v>
      </c>
      <c r="C1" s="295"/>
      <c r="D1" s="295" t="s">
        <v>0</v>
      </c>
      <c r="E1" s="295"/>
      <c r="F1" s="295" t="s">
        <v>1</v>
      </c>
      <c r="G1" s="295"/>
      <c r="H1" s="295" t="s">
        <v>3</v>
      </c>
      <c r="I1" s="295"/>
      <c r="J1" s="295" t="s">
        <v>4</v>
      </c>
      <c r="K1" s="295"/>
      <c r="L1" s="295" t="s">
        <v>5</v>
      </c>
      <c r="M1" s="295"/>
      <c r="N1" s="295" t="s">
        <v>6</v>
      </c>
      <c r="O1" s="295"/>
      <c r="P1" s="295" t="s">
        <v>7</v>
      </c>
      <c r="Q1" s="295"/>
      <c r="R1" s="295" t="s">
        <v>8</v>
      </c>
      <c r="S1" s="295"/>
      <c r="T1" s="295" t="s">
        <v>9</v>
      </c>
      <c r="U1" s="295"/>
      <c r="V1" s="295" t="s">
        <v>10</v>
      </c>
      <c r="W1" s="295"/>
      <c r="X1" s="295" t="s">
        <v>11</v>
      </c>
      <c r="Y1" s="295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3</v>
      </c>
      <c r="C53" s="60">
        <v>3</v>
      </c>
      <c r="D53" s="60">
        <v>3</v>
      </c>
      <c r="E53" s="60">
        <v>3</v>
      </c>
      <c r="F53" s="60">
        <v>3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hidden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2</v>
      </c>
      <c r="J76" s="60">
        <v>2</v>
      </c>
      <c r="K76" s="60">
        <v>2</v>
      </c>
      <c r="L76" s="60">
        <v>5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2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10.5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11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0.15561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0.160797</v>
      </c>
      <c r="P172" s="61">
        <f t="shared" si="57"/>
        <v>0.160797</v>
      </c>
      <c r="Q172" s="61">
        <f t="shared" si="57"/>
        <v>0.160797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8.3729751000000014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2.3031078000000003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1.286376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3.5479878000000005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1.24488</v>
      </c>
      <c r="M185" s="61">
        <f>SUM(CdTrp2!M175:M184)</f>
        <v>1.24488</v>
      </c>
      <c r="N185" s="61">
        <f>SUM(CdTrp2!N175:N184)</f>
        <v>1.286376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1.24488</v>
      </c>
      <c r="S185" s="61">
        <f>SUM(CdTrp2!S175:S184)</f>
        <v>1.24488</v>
      </c>
      <c r="T185" s="61">
        <f>SUM(CdTrp2!T175:T184)</f>
        <v>1.286376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28.833987699999998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1.2972607199999999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2.63014416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0.15561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0.160797</v>
      </c>
      <c r="P215" s="61">
        <f t="shared" si="90"/>
        <v>0.160797</v>
      </c>
      <c r="Q215" s="61">
        <f t="shared" si="90"/>
        <v>0.160797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3.5479878000000005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1.24488</v>
      </c>
      <c r="M216" s="61">
        <f t="shared" si="91"/>
        <v>1.24488</v>
      </c>
      <c r="N216" s="61">
        <f t="shared" si="91"/>
        <v>1.286376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1.24488</v>
      </c>
      <c r="S216" s="61">
        <f t="shared" si="91"/>
        <v>1.24488</v>
      </c>
      <c r="T216" s="61">
        <f t="shared" si="91"/>
        <v>1.286376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1.2972607199999999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39.837106959999993</v>
      </c>
      <c r="AB219" t="s">
        <v>222</v>
      </c>
    </row>
    <row r="220" spans="1:28" x14ac:dyDescent="0.25">
      <c r="AA220" s="30">
        <f>SUM(B215:Y217)</f>
        <v>39.837106959999993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2023-01-09T10:01:12Z</dcterms:modified>
</cp:coreProperties>
</file>