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9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H25" i="29"/>
  <c r="BI25" i="29"/>
  <c r="BJ25" i="29"/>
  <c r="BK25" i="29"/>
  <c r="BL25" i="29"/>
  <c r="BG2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CJ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H87" i="30" l="1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CE108" i="30"/>
  <c r="CU108" i="30"/>
  <c r="CU107" i="30"/>
  <c r="CM106" i="30"/>
  <c r="CU106" i="30"/>
  <c r="CN106" i="30"/>
  <c r="CV107" i="30"/>
  <c r="CF108" i="30"/>
  <c r="CV108" i="30"/>
  <c r="CO106" i="30"/>
  <c r="CW107" i="30"/>
  <c r="CG108" i="30"/>
  <c r="CW108" i="30"/>
  <c r="CH106" i="30"/>
  <c r="CP106" i="30"/>
  <c r="CH107" i="30"/>
  <c r="CH108" i="30"/>
  <c r="CP108" i="30"/>
  <c r="CI106" i="30"/>
  <c r="CQ106" i="30"/>
  <c r="CI107" i="30"/>
  <c r="CI108" i="30"/>
  <c r="CQ108" i="30"/>
  <c r="CJ106" i="30"/>
  <c r="CR106" i="30"/>
  <c r="CJ107" i="30"/>
  <c r="CJ108" i="30"/>
  <c r="CR108" i="30"/>
  <c r="CK106" i="30"/>
  <c r="CS106" i="30"/>
  <c r="CK107" i="30"/>
  <c r="CK108" i="30"/>
  <c r="CS108" i="30"/>
  <c r="CL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O92" i="30" s="1"/>
  <c r="BN39" i="30"/>
  <c r="BM39" i="30"/>
  <c r="BL39" i="30"/>
  <c r="BK39" i="30"/>
  <c r="BJ39" i="30"/>
  <c r="BJ92" i="30" s="1"/>
  <c r="BI39" i="30"/>
  <c r="BI92" i="30" s="1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J90" i="30" s="1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Q92" i="30"/>
  <c r="BG92" i="30"/>
  <c r="BE92" i="30"/>
  <c r="BC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Q91" i="30"/>
  <c r="BP91" i="30"/>
  <c r="BO91" i="30"/>
  <c r="BM91" i="30"/>
  <c r="BI91" i="30"/>
  <c r="BH91" i="30"/>
  <c r="BG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33" i="31"/>
  <c r="AG145" i="31"/>
  <c r="AG136" i="31"/>
  <c r="AG139" i="31"/>
  <c r="AG130" i="31"/>
  <c r="W133" i="31"/>
  <c r="U133" i="31"/>
  <c r="U137" i="31"/>
  <c r="U132" i="31"/>
  <c r="U136" i="31"/>
  <c r="L114" i="31" s="1"/>
  <c r="U135" i="31"/>
  <c r="K113" i="31" s="1"/>
  <c r="U134" i="31"/>
  <c r="AF127" i="31"/>
  <c r="AF142" i="31"/>
  <c r="AF136" i="31"/>
  <c r="AF130" i="31"/>
  <c r="AF139" i="31"/>
  <c r="AF133" i="31"/>
  <c r="AF145" i="31"/>
  <c r="S3" i="29"/>
  <c r="BB90" i="30"/>
  <c r="D16" i="30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AX99" i="30" s="1"/>
  <c r="AX100" i="30" s="1"/>
  <c r="AX101" i="30" s="1"/>
  <c r="BF92" i="30"/>
  <c r="BF99" i="30" s="1"/>
  <c r="BF100" i="30" s="1"/>
  <c r="BF101" i="30" s="1"/>
  <c r="BN92" i="30"/>
  <c r="BN99" i="30" s="1"/>
  <c r="BN100" i="30" s="1"/>
  <c r="BN101" i="30" s="1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U72" i="30" s="1"/>
  <c r="Y5" i="29"/>
  <c r="Y9" i="29" s="1"/>
  <c r="Y20" i="29"/>
  <c r="Y21" i="29" s="1"/>
  <c r="Y7" i="29" s="1"/>
  <c r="Y12" i="29" s="1"/>
  <c r="Y4" i="29"/>
  <c r="Y3" i="29"/>
  <c r="AC72" i="30" s="1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8" i="31"/>
  <c r="U258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R8" i="29" l="1"/>
  <c r="R201" i="29" s="1"/>
  <c r="V72" i="30"/>
  <c r="N72" i="30"/>
  <c r="J8" i="29"/>
  <c r="J201" i="29" s="1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M72" i="30"/>
  <c r="I8" i="29"/>
  <c r="I201" i="29" s="1"/>
  <c r="P8" i="29"/>
  <c r="P201" i="29" s="1"/>
  <c r="T72" i="30"/>
  <c r="M8" i="29"/>
  <c r="M201" i="29" s="1"/>
  <c r="Q72" i="30"/>
  <c r="Z8" i="29"/>
  <c r="Z201" i="29" s="1"/>
  <c r="AD72" i="30"/>
  <c r="Y72" i="30"/>
  <c r="E8" i="29"/>
  <c r="E201" i="29" s="1"/>
  <c r="E212" i="29" s="1"/>
  <c r="I72" i="30"/>
  <c r="T8" i="29"/>
  <c r="T201" i="29" s="1"/>
  <c r="X72" i="30"/>
  <c r="D8" i="29"/>
  <c r="H72" i="30"/>
  <c r="X8" i="29"/>
  <c r="X201" i="29" s="1"/>
  <c r="AB72" i="30"/>
  <c r="Z72" i="30"/>
  <c r="F8" i="29"/>
  <c r="F201" i="29" s="1"/>
  <c r="J72" i="30"/>
  <c r="L72" i="30"/>
  <c r="AA72" i="30"/>
  <c r="G8" i="29"/>
  <c r="K72" i="30"/>
  <c r="W72" i="30"/>
  <c r="T256" i="31"/>
  <c r="U256" i="31" s="1"/>
  <c r="T257" i="31"/>
  <c r="U257" i="31" s="1"/>
  <c r="T260" i="31"/>
  <c r="U260" i="31" s="1"/>
  <c r="U8" i="29"/>
  <c r="U201" i="29" s="1"/>
  <c r="Q8" i="29"/>
  <c r="L8" i="29"/>
  <c r="L201" i="29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Q201" i="29"/>
  <c r="U167" i="28"/>
  <c r="V167" i="28"/>
  <c r="W167" i="28"/>
  <c r="AF188" i="28"/>
  <c r="V188" i="28"/>
  <c r="W188" i="28"/>
  <c r="AN215" i="33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S64" i="29"/>
  <c r="C202" i="29"/>
  <c r="C213" i="29" s="1"/>
  <c r="C214" i="29" s="1"/>
  <c r="F72" i="30"/>
  <c r="BD81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BA86" i="30"/>
  <c r="BA87" i="30"/>
  <c r="BD86" i="30"/>
  <c r="BD87" i="30"/>
  <c r="AW87" i="30"/>
  <c r="AW86" i="30"/>
  <c r="AX87" i="30"/>
  <c r="AX86" i="30"/>
  <c r="AV86" i="30"/>
  <c r="AV87" i="30"/>
  <c r="BC87" i="30"/>
  <c r="BC86" i="30"/>
  <c r="AY87" i="30"/>
  <c r="AY86" i="30"/>
  <c r="BB87" i="30"/>
  <c r="BB86" i="30"/>
  <c r="AZ87" i="30"/>
  <c r="AZ86" i="30"/>
  <c r="CY86" i="30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BC76" i="33"/>
  <c r="BC152" i="33"/>
  <c r="AW76" i="33"/>
  <c r="AW152" i="33"/>
  <c r="AX76" i="33"/>
  <c r="AX133" i="33" s="1"/>
  <c r="AX152" i="33"/>
  <c r="AZ76" i="33"/>
  <c r="AZ152" i="33"/>
  <c r="AV76" i="33"/>
  <c r="AV152" i="33"/>
  <c r="BD76" i="33"/>
  <c r="BD152" i="33"/>
  <c r="BR76" i="33"/>
  <c r="BR122" i="33" s="1"/>
  <c r="BR168" i="33" s="1"/>
  <c r="BR152" i="33"/>
  <c r="AY76" i="33"/>
  <c r="AY152" i="33"/>
  <c r="BB76" i="33"/>
  <c r="BB152" i="33"/>
  <c r="BQ76" i="33"/>
  <c r="BQ152" i="33"/>
  <c r="AW78" i="33"/>
  <c r="AW124" i="33" s="1"/>
  <c r="AW170" i="33" s="1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35" i="33" s="1"/>
  <c r="BD154" i="33"/>
  <c r="BC78" i="33"/>
  <c r="BC154" i="33"/>
  <c r="AZ78" i="33"/>
  <c r="AZ135" i="33" s="1"/>
  <c r="AZ154" i="33"/>
  <c r="BB78" i="33"/>
  <c r="BB124" i="33" s="1"/>
  <c r="BB170" i="33" s="1"/>
  <c r="BB154" i="33"/>
  <c r="BO78" i="33"/>
  <c r="BO135" i="33" s="1"/>
  <c r="BO154" i="33"/>
  <c r="BQ78" i="33"/>
  <c r="BQ154" i="33"/>
  <c r="AX78" i="33"/>
  <c r="AX135" i="33" s="1"/>
  <c r="AX154" i="33"/>
  <c r="BA78" i="33"/>
  <c r="BA135" i="33" s="1"/>
  <c r="BA154" i="33"/>
  <c r="AV78" i="33"/>
  <c r="AV124" i="33" s="1"/>
  <c r="AV170" i="33" s="1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M127" i="33"/>
  <c r="BM173" i="33" s="1"/>
  <c r="BM138" i="33"/>
  <c r="CD152" i="33"/>
  <c r="CD76" i="33"/>
  <c r="CY151" i="33"/>
  <c r="CY75" i="33"/>
  <c r="CQ126" i="33"/>
  <c r="CQ172" i="33" s="1"/>
  <c r="CQ137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D124" i="33" l="1"/>
  <c r="BD170" i="33" s="1"/>
  <c r="AX122" i="33"/>
  <c r="AX168" i="33" s="1"/>
  <c r="AV135" i="33"/>
  <c r="AW135" i="33"/>
  <c r="BO124" i="33"/>
  <c r="BO170" i="33" s="1"/>
  <c r="BR133" i="33"/>
  <c r="AX124" i="33"/>
  <c r="AX170" i="33" s="1"/>
  <c r="AY135" i="33"/>
  <c r="BA124" i="33"/>
  <c r="BA170" i="33" s="1"/>
  <c r="BB135" i="33"/>
  <c r="AZ124" i="33"/>
  <c r="AZ170" i="33" s="1"/>
  <c r="BC160" i="33"/>
  <c r="BC161" i="33" s="1"/>
  <c r="BC162" i="33" s="1"/>
  <c r="BS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J147" i="33" l="1"/>
  <c r="BJ163" i="33" s="1"/>
  <c r="CY148" i="33"/>
  <c r="CY163" i="33" s="1"/>
  <c r="CE147" i="33"/>
  <c r="CE163" i="33" s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8" i="33" l="1"/>
  <c r="AN218" i="33" s="1"/>
  <c r="AK226" i="33"/>
  <c r="AO226" i="33" s="1"/>
  <c r="AJ219" i="33"/>
  <c r="AN219" i="33" s="1"/>
  <c r="AK227" i="33"/>
  <c r="AO227" i="33" s="1"/>
  <c r="B81" i="30"/>
  <c r="F81" i="30" s="1"/>
  <c r="B114" i="30" s="1"/>
  <c r="F75" i="30"/>
  <c r="T245" i="31"/>
  <c r="F76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T272" i="31" s="1"/>
  <c r="X272" i="31" s="1"/>
  <c r="J142" i="31" s="1"/>
  <c r="C220" i="33" s="1"/>
  <c r="B83" i="30"/>
  <c r="F83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C185" i="33"/>
  <c r="D185" i="33" s="1"/>
  <c r="D184" i="33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C243" i="33" s="1"/>
  <c r="D243" i="33" s="1"/>
  <c r="B115" i="30"/>
  <c r="B126" i="30" s="1"/>
  <c r="B167" i="31"/>
  <c r="J167" i="31" s="1"/>
  <c r="C235" i="33" s="1"/>
  <c r="C236" i="33" s="1"/>
  <c r="D183" i="33"/>
  <c r="AJ216" i="33" s="1"/>
  <c r="AN216" i="33" s="1"/>
  <c r="D220" i="33" s="1"/>
  <c r="BR39" i="23"/>
  <c r="H93" i="23" s="1"/>
  <c r="H95" i="2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237" i="31" l="1"/>
  <c r="AA237" i="31" s="1"/>
  <c r="C244" i="33" s="1"/>
  <c r="D244" i="33" s="1"/>
  <c r="D192" i="33"/>
  <c r="D235" i="33" s="1"/>
  <c r="D236" i="33" s="1"/>
  <c r="J170" i="31"/>
  <c r="AK225" i="33"/>
  <c r="AO225" i="33" s="1"/>
  <c r="AO228" i="33" s="1"/>
  <c r="AQ228" i="33" s="1"/>
  <c r="AR228" i="33" s="1"/>
  <c r="AS228" i="33" s="1"/>
  <c r="AT228" i="33" s="1"/>
  <c r="AW228" i="33" s="1"/>
  <c r="D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AB237" i="31" l="1"/>
  <c r="AC237" i="31" s="1"/>
  <c r="AF237" i="31" s="1"/>
  <c r="B178" i="31" s="1"/>
  <c r="C240" i="33" s="1"/>
  <c r="D276" i="33"/>
  <c r="D290" i="33" s="1"/>
  <c r="D292" i="33" s="1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3" i="33" l="1"/>
  <c r="D294" i="3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<sst xmlns="http://schemas.openxmlformats.org/spreadsheetml/2006/main" count="3098" uniqueCount="1464">
  <si>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</si>
  <si>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</si>
  <si>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</si>
  <si>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</si>
  <si>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</si>
  <si>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</si>
  <si>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</si>
  <si>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</si>
  <si>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</si>
  <si>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</si>
  <si>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</si>
  <si>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</si>
  <si>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</si>
  <si>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</si>
  <si>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</si>
  <si>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</si>
  <si>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</si>
  <si>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</si>
  <si>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</si>
  <si>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</si>
  <si>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</si>
  <si>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</si>
  <si>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</si>
  <si>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</si>
  <si>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</si>
  <si>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</si>
  <si>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</si>
  <si>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</si>
  <si>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</si>
  <si>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</si>
  <si>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</si>
  <si>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</si>
  <si>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</si>
  <si>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</si>
  <si>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</si>
  <si>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</si>
  <si>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</si>
  <si>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</si>
  <si>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</si>
  <si>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</si>
  <si>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</si>
  <si>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</si>
  <si>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</si>
  <si>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</si>
  <si>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</si>
  <si>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</si>
  <si>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</si>
  <si>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</si>
  <si>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</si>
  <si>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</si>
  <si>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</si>
  <si>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</si>
  <si>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</si>
  <si>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</si>
  <si>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</si>
  <si>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</si>
  <si>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</si>
  <si>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</si>
  <si>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</si>
  <si>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</si>
  <si>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</si>
  <si>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</si>
  <si>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</si>
  <si>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</si>
  <si>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</si>
  <si>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</si>
  <si>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</si>
  <si>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</si>
  <si>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</si>
  <si>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</si>
  <si>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</si>
  <si>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</si>
  <si>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</si>
  <si>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</si>
  <si>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</si>
  <si>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</si>
  <si>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</si>
  <si>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</si>
  <si>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</si>
  <si>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</si>
  <si>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</si>
  <si>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</si>
  <si>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</si>
  <si>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</si>
  <si>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</si>
  <si>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</si>
  <si>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</si>
  <si>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</si>
  <si>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</si>
  <si>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</si>
  <si>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</si>
  <si>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</si>
  <si>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</si>
  <si>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</si>
  <si>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</si>
  <si>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</si>
  <si>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</si>
  <si>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</si>
  <si>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</si>
  <si>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</si>
  <si>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</si>
  <si>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</si>
  <si>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</si>
  <si>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</si>
  <si>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</si>
  <si>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</si>
  <si>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</si>
  <si>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</si>
  <si>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</si>
  <si>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</si>
  <si>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</si>
  <si>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</si>
  <si>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</si>
  <si>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</si>
  <si>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</si>
  <si>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</si>
  <si>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</si>
  <si>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</si>
  <si>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</si>
  <si>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</si>
  <si>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</si>
  <si>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</si>
  <si>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</si>
  <si>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</si>
  <si>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</si>
  <si>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</si>
  <si>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</si>
  <si>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</si>
  <si>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</si>
  <si>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</si>
  <si>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</si>
  <si>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</si>
  <si>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</si>
  <si>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</si>
  <si>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</si>
  <si>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</si>
  <si>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</si>
  <si>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</si>
  <si>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</si>
  <si>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</si>
  <si>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</si>
  <si>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</si>
  <si>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</si>
  <si>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</si>
  <si>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</si>
  <si>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</si>
  <si>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</si>
  <si>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</si>
  <si>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</si>
  <si>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</si>
  <si>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</si>
  <si>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</si>
  <si>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</si>
  <si>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</si>
  <si>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</si>
  <si>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</si>
  <si>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</si>
  <si>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</si>
  <si>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</si>
  <si>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</si>
  <si>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</si>
  <si>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</si>
  <si>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</si>
  <si>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</si>
  <si>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</si>
  <si>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</si>
  <si>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</si>
  <si>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</si>
  <si>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</si>
  <si>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</si>
  <si>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</si>
  <si>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</si>
  <si>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</si>
  <si>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</si>
  <si>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</si>
  <si>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</si>
  <si>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</si>
  <si>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</si>
  <si>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</si>
  <si>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</si>
  <si>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</si>
  <si>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</si>
  <si>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</si>
  <si>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</si>
  <si>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</si>
  <si>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</si>
  <si>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</si>
  <si>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</si>
  <si>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</si>
  <si>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</si>
  <si>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</si>
  <si>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</si>
  <si>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</si>
  <si>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</si>
  <si>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</si>
  <si>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</si>
  <si>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</si>
  <si>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</si>
  <si>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</si>
  <si>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</si>
  <si>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</si>
  <si>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</si>
  <si>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</si>
  <si>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</si>
  <si>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</si>
  <si>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</si>
  <si>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</si>
  <si>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</si>
  <si>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</si>
  <si>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</si>
  <si>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</si>
  <si>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</si>
  <si>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</si>
  <si>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</si>
  <si>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</si>
  <si>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</si>
  <si>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</si>
  <si>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</si>
  <si>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</si>
  <si>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</si>
  <si>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</si>
  <si>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</si>
  <si>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</si>
  <si>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</si>
  <si>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</si>
  <si>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</si>
  <si>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</si>
  <si>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</si>
  <si>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</si>
  <si>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</si>
  <si>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</si>
  <si>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</si>
  <si>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</si>
  <si>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</si>
  <si>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</si>
  <si>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</si>
  <si>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</si>
  <si>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</si>
  <si>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</si>
  <si>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</si>
  <si>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</si>
  <si>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</si>
  <si>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</si>
  <si>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</si>
  <si>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</si>
  <si>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</si>
  <si>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</si>
  <si>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</si>
  <si>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</si>
  <si>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</si>
  <si>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</si>
  <si>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</si>
  <si>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</si>
  <si>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</si>
  <si>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</si>
  <si>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</si>
  <si>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</si>
  <si>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</si>
  <si>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</si>
  <si>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</si>
  <si>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</si>
  <si>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</si>
  <si>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</si>
  <si>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</si>
  <si>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</si>
  <si>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</si>
  <si>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</si>
  <si>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</si>
  <si>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</si>
  <si>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</si>
  <si>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</si>
  <si>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</si>
  <si>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</si>
  <si>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</si>
  <si>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</si>
  <si>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</si>
  <si>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</si>
  <si>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</si>
  <si>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</si>
  <si>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</si>
  <si>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</si>
  <si>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</si>
  <si>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</si>
  <si>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</si>
  <si>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</si>
  <si>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</si>
  <si>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</si>
  <si>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</si>
  <si>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</si>
  <si>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</si>
  <si>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</si>
  <si>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</si>
  <si>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</si>
  <si>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</si>
  <si>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</si>
  <si>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</si>
  <si>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</si>
  <si>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</si>
  <si>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</si>
  <si>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</si>
  <si>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</si>
  <si>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</si>
  <si>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</si>
  <si>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</si>
  <si>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</si>
  <si>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</si>
  <si>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</si>
  <si>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</si>
  <si>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</si>
  <si>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</si>
  <si>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</si>
  <si>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</si>
  <si>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</si>
  <si>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</si>
  <si>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</si>
  <si>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</si>
  <si>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</si>
  <si>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</si>
  <si>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</si>
  <si>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</si>
  <si>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</si>
  <si>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</si>
  <si>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</si>
  <si>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</si>
  <si>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</si>
  <si>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</si>
  <si>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</si>
  <si>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</si>
  <si>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</si>
  <si>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</si>
  <si>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</si>
  <si>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</si>
  <si>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</si>
  <si>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</si>
  <si>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</si>
  <si>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</si>
  <si>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</si>
  <si>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</si>
  <si>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</si>
  <si>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</si>
  <si>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</si>
  <si>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</si>
  <si>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</si>
  <si>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</si>
  <si>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</si>
  <si>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</si>
  <si>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</si>
  <si>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</si>
  <si>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</si>
  <si>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</si>
  <si>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</si>
  <si>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</si>
  <si>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</si>
  <si>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</si>
  <si>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</si>
  <si>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</si>
  <si>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</si>
  <si>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</si>
  <si>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</si>
  <si>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</si>
  <si>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</si>
  <si>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</si>
  <si>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</si>
  <si>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</si>
  <si>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</si>
  <si>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</si>
  <si>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</si>
  <si>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</si>
  <si>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</si>
  <si>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</si>
  <si>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</si>
  <si>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</si>
  <si>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</si>
  <si>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</si>
  <si>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</si>
  <si>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</si>
  <si>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</si>
  <si>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</si>
  <si>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</si>
  <si>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</si>
  <si>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</si>
  <si>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</si>
  <si>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</si>
  <si>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</si>
  <si>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</si>
  <si>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</si>
  <si>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</si>
  <si>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</si>
  <si>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</si>
  <si>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</si>
  <si>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</si>
  <si>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</si>
  <si>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</si>
  <si>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</si>
  <si>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</si>
  <si>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</si>
  <si>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</si>
  <si>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</si>
  <si>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</si>
  <si>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</si>
  <si>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</si>
  <si>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</si>
  <si>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</si>
  <si>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</si>
  <si>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</si>
  <si>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</si>
  <si>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</si>
  <si>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</si>
  <si>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</si>
  <si>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</si>
  <si>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</si>
  <si>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</si>
  <si>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</si>
  <si>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</si>
  <si>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</si>
  <si>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</si>
  <si>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</si>
  <si>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</si>
  <si>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</si>
  <si>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</si>
  <si>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</si>
  <si>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</si>
  <si>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</si>
  <si>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</si>
  <si>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</si>
  <si>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</si>
  <si>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</si>
  <si>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</si>
  <si>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</si>
  <si>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</si>
  <si>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</si>
  <si>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</si>
  <si>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</si>
  <si>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</si>
  <si>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</si>
  <si>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</si>
  <si>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</si>
  <si>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</si>
  <si>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</si>
  <si>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</si>
  <si>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</si>
  <si>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</si>
  <si>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</si>
  <si>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</si>
  <si>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</si>
  <si>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</si>
  <si>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</si>
  <si>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</si>
  <si>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</si>
  <si>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</si>
  <si>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</si>
  <si>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</si>
  <si>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</si>
  <si>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</si>
  <si>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</si>
  <si>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</si>
  <si>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</si>
  <si>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</si>
  <si>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</si>
  <si>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</si>
  <si>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</si>
  <si>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</si>
  <si>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</si>
  <si>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</si>
  <si>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</si>
  <si>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</si>
  <si>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</si>
  <si>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</si>
  <si>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</si>
  <si>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</si>
  <si>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</si>
  <si>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</si>
  <si>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</si>
  <si>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</si>
  <si>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</si>
  <si>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</si>
  <si>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</si>
  <si>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</si>
  <si>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</si>
  <si>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</si>
  <si>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</si>
  <si>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</si>
  <si>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</si>
  <si>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</si>
  <si>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</si>
  <si>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</si>
  <si>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</si>
  <si>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</si>
  <si>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</si>
  <si>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</si>
  <si>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</si>
  <si>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</si>
  <si>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</si>
  <si>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</si>
  <si>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</si>
  <si>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</si>
  <si>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</si>
  <si>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</si>
  <si>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</si>
  <si>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</si>
  <si>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</si>
  <si>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</si>
  <si>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</si>
  <si>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</si>
  <si>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</si>
  <si>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</si>
  <si>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</si>
  <si>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</si>
  <si>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</si>
  <si>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</si>
  <si>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</si>
  <si>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</si>
  <si>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</si>
  <si>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</si>
  <si>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</si>
  <si>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</si>
  <si>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</si>
  <si>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</si>
  <si>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</si>
  <si>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</si>
  <si>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</si>
  <si>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</si>
  <si>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</si>
  <si>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</si>
  <si>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</si>
  <si>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</si>
  <si>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</si>
  <si>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</si>
  <si>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</si>
  <si>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</si>
  <si>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</si>
  <si>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</si>
  <si>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</si>
  <si>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</si>
  <si>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</si>
  <si>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</si>
  <si>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</si>
  <si>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</si>
  <si>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</si>
  <si>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</si>
  <si>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</si>
  <si>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</si>
  <si>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</si>
  <si>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</si>
  <si>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</si>
  <si>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</si>
  <si>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</si>
  <si>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</si>
  <si>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</si>
  <si>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</si>
  <si>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</si>
  <si>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</si>
  <si>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</si>
  <si>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</si>
  <si>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</si>
  <si>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</si>
  <si>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</si>
  <si>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</si>
  <si>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</si>
  <si>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</si>
  <si>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</si>
  <si>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</si>
  <si>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</si>
  <si>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</si>
  <si>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</si>
  <si>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</si>
  <si>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</si>
  <si>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</si>
  <si>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</si>
  <si>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</si>
  <si>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</si>
  <si>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</si>
  <si>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</si>
  <si>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</si>
  <si>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</si>
  <si>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</si>
  <si>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</si>
  <si>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</si>
  <si>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</si>
  <si>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</si>
  <si>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</si>
  <si>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</si>
  <si>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</si>
  <si>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</si>
  <si>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</si>
  <si>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</si>
  <si>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</si>
  <si>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</si>
  <si>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</si>
  <si>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</si>
  <si>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</si>
  <si>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</si>
  <si>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</si>
  <si>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</si>
  <si>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</si>
  <si>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</si>
  <si>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</si>
  <si>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</si>
  <si>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</si>
  <si>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</si>
  <si>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</si>
  <si>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</si>
  <si>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</si>
  <si>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</si>
  <si>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</si>
  <si>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</si>
  <si>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</si>
  <si>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</si>
  <si>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</si>
  <si>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</si>
  <si>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</si>
  <si>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</si>
  <si>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</si>
  <si>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</si>
  <si>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</si>
  <si>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</si>
  <si>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</si>
  <si>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</si>
  <si>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</si>
  <si>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</si>
  <si>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</si>
  <si>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</si>
  <si>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</si>
  <si>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</si>
  <si>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</si>
  <si>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</si>
  <si>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</si>
  <si>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</si>
  <si>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</si>
  <si>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</si>
  <si>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</si>
  <si>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</si>
  <si>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</si>
  <si>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</si>
  <si>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</si>
  <si>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</si>
  <si>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</si>
  <si>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</si>
  <si>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</si>
  <si>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</si>
  <si>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</si>
  <si>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</si>
  <si>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</si>
  <si>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</si>
  <si>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</si>
  <si>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</si>
  <si>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</si>
  <si>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</si>
  <si>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</si>
  <si>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</si>
  <si>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</si>
  <si>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</si>
  <si>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</si>
  <si>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</si>
  <si>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</si>
  <si>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</si>
  <si>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</si>
  <si>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</si>
  <si>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</si>
  <si>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</si>
  <si>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</si>
  <si>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</si>
  <si>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</si>
  <si>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</si>
  <si>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</si>
  <si>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</si>
  <si>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</si>
  <si>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</si>
  <si>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</si>
  <si>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</si>
  <si>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</si>
  <si>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</si>
  <si>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</si>
  <si>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</si>
  <si>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</si>
  <si>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</si>
  <si>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</si>
  <si>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</si>
  <si>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</si>
  <si>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</si>
  <si>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</si>
  <si>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</si>
  <si>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</si>
  <si>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</si>
  <si>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</si>
  <si>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</si>
  <si>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</si>
  <si>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</si>
  <si>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</si>
  <si>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</si>
  <si>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</si>
  <si>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</si>
  <si>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</si>
  <si>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</si>
  <si>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</si>
  <si>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</si>
  <si>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</si>
  <si>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</si>
  <si>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</si>
  <si>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</si>
  <si>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</si>
  <si>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</si>
  <si>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</si>
  <si>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</si>
  <si>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</si>
  <si>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</si>
  <si>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</si>
  <si>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</si>
  <si>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</si>
  <si>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</si>
  <si>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</si>
  <si>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</si>
  <si>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</si>
  <si>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</si>
  <si>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</si>
  <si>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</si>
  <si>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</si>
  <si>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</si>
  <si>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</si>
  <si>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</si>
  <si>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</si>
  <si>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</si>
  <si>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</si>
  <si>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</si>
  <si>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</si>
  <si>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</si>
  <si>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</si>
  <si>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</si>
  <si>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</si>
  <si>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</si>
  <si>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</si>
  <si>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</si>
  <si>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</si>
  <si>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</si>
  <si>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</si>
  <si>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</si>
  <si>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</si>
  <si>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</si>
  <si>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</si>
  <si>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</si>
  <si>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</si>
  <si>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</si>
  <si>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</si>
  <si>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</si>
  <si>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</si>
  <si>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</si>
  <si>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</si>
  <si>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</si>
  <si>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</si>
  <si>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</si>
  <si>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</si>
  <si>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</si>
  <si>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</si>
  <si>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</si>
  <si>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</si>
  <si>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</si>
  <si>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</si>
  <si>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</si>
  <si>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</si>
  <si>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</si>
  <si>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</si>
  <si>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</si>
  <si>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</si>
  <si>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</si>
  <si>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</si>
  <si>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</si>
  <si>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</si>
  <si>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</si>
  <si>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</si>
  <si>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</si>
  <si>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</si>
  <si>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</si>
  <si>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</si>
  <si>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</si>
  <si>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</si>
  <si>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</si>
  <si>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</si>
  <si>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</si>
  <si>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</si>
  <si>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</si>
  <si>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</si>
  <si>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</si>
  <si>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</si>
  <si>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</si>
  <si>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</si>
  <si>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</si>
  <si>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</si>
  <si>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</si>
  <si>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</si>
  <si>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</si>
  <si>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</si>
  <si>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</si>
  <si>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</si>
  <si>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</si>
  <si>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</si>
  <si>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</si>
  <si>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</si>
  <si>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</si>
  <si>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</si>
  <si>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</si>
  <si>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</si>
  <si>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</si>
  <si>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</si>
  <si>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</si>
  <si>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</si>
  <si>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</si>
  <si>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</si>
  <si>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</si>
  <si>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</si>
  <si>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</si>
  <si>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</si>
  <si>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</si>
  <si>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</si>
  <si>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</si>
  <si>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</si>
  <si>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</si>
  <si>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</si>
  <si>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</si>
  <si>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</si>
  <si>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</si>
  <si>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</si>
  <si>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</si>
  <si>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</si>
  <si>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</si>
  <si>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</si>
  <si>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</si>
  <si>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</si>
  <si>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</si>
  <si>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</si>
  <si>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</si>
  <si>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</si>
  <si>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</si>
  <si>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</si>
  <si>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</si>
  <si>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</si>
  <si>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</si>
  <si>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</si>
  <si>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</si>
  <si>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</si>
  <si>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</si>
  <si>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</si>
  <si>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</si>
  <si>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</si>
  <si>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</si>
  <si>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</si>
  <si>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</si>
  <si>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</si>
  <si>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</si>
  <si>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</si>
  <si>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</si>
  <si>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</si>
  <si>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</si>
  <si>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</si>
  <si>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</si>
  <si>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</si>
  <si>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</si>
  <si>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</si>
  <si>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</si>
  <si>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</si>
  <si>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</si>
  <si>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</si>
  <si>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</si>
  <si>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</si>
  <si>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</si>
  <si>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</si>
  <si>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</si>
  <si>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</si>
  <si>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</si>
  <si>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</si>
  <si>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</si>
  <si>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</si>
  <si>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</si>
  <si>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</si>
  <si>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</si>
  <si>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</si>
  <si>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</si>
  <si>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</si>
  <si>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</si>
  <si>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</si>
  <si>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</si>
  <si>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</si>
  <si>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</si>
  <si>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</si>
  <si>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</si>
  <si>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</si>
  <si>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</si>
  <si>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</si>
  <si>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</si>
  <si>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</si>
  <si>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</si>
  <si>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</si>
  <si>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</si>
  <si>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</si>
  <si>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</si>
  <si>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</si>
  <si>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</si>
  <si>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</si>
  <si>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</si>
  <si>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</si>
  <si>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</si>
  <si>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</si>
  <si>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</si>
  <si>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</si>
  <si>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</si>
  <si>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</si>
  <si>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</si>
  <si>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</si>
  <si>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</si>
  <si>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</si>
  <si>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</si>
  <si>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</si>
  <si>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</si>
  <si>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</si>
  <si>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</si>
  <si>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</si>
  <si>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</si>
  <si>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</si>
  <si>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</si>
  <si>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</si>
  <si>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</si>
  <si>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</si>
  <si>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</si>
  <si>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</si>
  <si>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</si>
  <si>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</si>
  <si>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</si>
  <si>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</si>
  <si>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</si>
  <si>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</si>
  <si>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</si>
  <si>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</si>
  <si>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</si>
  <si>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</si>
  <si>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</si>
  <si>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</si>
  <si>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</si>
  <si>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</si>
  <si>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</si>
  <si>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</si>
  <si>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</si>
  <si>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</si>
  <si>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</si>
  <si>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</si>
  <si>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</si>
  <si>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</si>
  <si>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</si>
  <si>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</si>
  <si>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</si>
  <si>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</si>
  <si>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</si>
  <si>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</si>
  <si>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</si>
  <si>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</si>
  <si>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</si>
  <si>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</si>
  <si>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</si>
  <si>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</si>
  <si>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</si>
  <si>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</si>
  <si>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</si>
  <si>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</si>
  <si>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</si>
  <si>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</si>
  <si>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</si>
  <si>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</si>
  <si>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</si>
  <si>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</si>
  <si>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</si>
  <si>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</si>
  <si>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</si>
  <si>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</si>
  <si>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</si>
  <si>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</si>
  <si>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</si>
  <si>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</si>
  <si>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</si>
  <si>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</si>
  <si>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</si>
  <si>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</si>
  <si>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</si>
  <si>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</si>
  <si>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</si>
  <si>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</si>
  <si>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</si>
  <si>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</si>
  <si>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</si>
  <si>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</si>
  <si>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</si>
  <si>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</si>
  <si>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</si>
  <si>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</si>
  <si>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</si>
  <si>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</si>
  <si>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</si>
  <si>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</si>
  <si>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</si>
  <si>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</si>
  <si>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</si>
  <si>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</si>
  <si>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</si>
  <si>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</si>
  <si>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</si>
  <si>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</si>
  <si>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</si>
  <si>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</si>
  <si>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</si>
  <si>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</si>
  <si>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</si>
  <si>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</si>
  <si>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</si>
  <si>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</si>
  <si>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</si>
  <si>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</si>
  <si>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</si>
  <si>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</si>
  <si>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</si>
  <si>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</si>
  <si>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</si>
  <si>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</si>
  <si>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</si>
  <si>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</si>
  <si>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</si>
  <si>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</si>
  <si>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</si>
  <si>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</si>
  <si>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</si>
  <si>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</si>
  <si>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</si>
  <si>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</si>
  <si>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</si>
  <si>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</si>
  <si>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</si>
  <si>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</si>
  <si>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</si>
  <si>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</si>
  <si>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</si>
  <si>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</si>
  <si>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</si>
  <si>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</si>
  <si>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</si>
  <si>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</si>
  <si>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</si>
  <si>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</si>
  <si>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</si>
  <si>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</si>
  <si>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</si>
  <si>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</si>
  <si>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</si>
  <si>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</si>
  <si>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</si>
  <si>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</si>
  <si>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</si>
  <si>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</si>
  <si>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</si>
  <si>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</si>
  <si>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</si>
  <si>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</si>
  <si>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</si>
  <si>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</si>
  <si>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</si>
  <si>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</si>
  <si>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</si>
  <si>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</si>
  <si>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</si>
  <si>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</si>
  <si>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</si>
  <si>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</si>
  <si>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</si>
  <si>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</si>
  <si>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</si>
  <si>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</si>
  <si>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</si>
  <si>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</si>
  <si>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</si>
  <si>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</si>
  <si>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</si>
  <si>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</si>
  <si>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</si>
  <si>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</si>
  <si>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</si>
  <si>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</si>
  <si>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</si>
  <si>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</si>
  <si>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</si>
  <si>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</si>
  <si>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</si>
  <si>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</si>
  <si>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</si>
  <si>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</si>
  <si>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</si>
  <si>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</si>
  <si>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</si>
  <si>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</si>
  <si>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</si>
  <si>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</si>
  <si>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</si>
  <si>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</si>
  <si>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</si>
  <si>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</si>
  <si>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</si>
  <si>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</si>
  <si>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</si>
  <si>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</si>
  <si>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</si>
  <si>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</si>
  <si>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</si>
  <si>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</si>
  <si>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</si>
  <si>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</si>
  <si>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</si>
  <si>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</si>
  <si>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</si>
  <si>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</si>
  <si>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</si>
  <si>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</si>
  <si>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</si>
  <si>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</si>
  <si>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</si>
  <si>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</si>
  <si>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</si>
  <si>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</si>
  <si>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</si>
  <si>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</si>
  <si>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</si>
  <si>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</si>
  <si>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</si>
  <si>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</si>
  <si>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</si>
  <si>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</si>
  <si>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</si>
  <si>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</si>
  <si>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</si>
  <si>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</si>
  <si>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</si>
  <si>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</si>
  <si>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</si>
  <si>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</si>
  <si>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</si>
  <si>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</si>
  <si>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</si>
  <si>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</si>
  <si>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</si>
  <si>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</si>
  <si>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</si>
  <si>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</si>
  <si>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</si>
  <si>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</si>
  <si>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</si>
  <si>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</si>
  <si>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</si>
  <si>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</si>
  <si>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</si>
  <si>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</si>
  <si>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</si>
  <si>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</si>
  <si>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</si>
  <si>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</si>
  <si>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</si>
  <si>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</si>
  <si>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</si>
  <si>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</si>
  <si>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</si>
  <si>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</si>
  <si>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</si>
  <si>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</si>
  <si>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</si>
  <si>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</si>
  <si>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</si>
  <si>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</si>
  <si>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</si>
  <si>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</si>
  <si>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</si>
  <si>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</si>
  <si>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</si>
  <si>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</si>
  <si>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</si>
  <si>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</si>
  <si>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</si>
  <si>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</si>
  <si>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</si>
  <si>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</si>
  <si>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</si>
  <si>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</si>
  <si>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</si>
  <si>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</si>
  <si>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</si>
  <si>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</si>
  <si>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</si>
  <si>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</si>
  <si>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</si>
  <si>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</si>
  <si>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</si>
  <si>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</si>
  <si>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</si>
  <si>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</si>
  <si>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</si>
  <si>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</si>
  <si>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</si>
  <si>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</si>
  <si>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</si>
  <si>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</si>
  <si>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</si>
  <si>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</si>
  <si>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</si>
  <si>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</si>
  <si>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</si>
  <si>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</si>
  <si>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</si>
  <si>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</si>
  <si>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</si>
  <si>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</si>
  <si>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</si>
  <si>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</si>
  <si>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</si>
  <si>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</si>
  <si>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</si>
  <si>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</si>
  <si>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</si>
  <si>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</si>
  <si>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</si>
  <si>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</si>
  <si>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</si>
  <si>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</si>
  <si>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</si>
  <si>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</si>
  <si>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</si>
  <si>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</si>
  <si>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</si>
  <si>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</si>
  <si>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</si>
  <si>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</si>
  <si>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</si>
  <si>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</si>
  <si>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</si>
  <si>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</si>
  <si>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</si>
  <si>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</si>
  <si>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</si>
  <si>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</si>
  <si>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</si>
  <si>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</si>
  <si>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</si>
  <si>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</si>
  <si>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</si>
  <si>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</si>
  <si>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</si>
  <si>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</si>
  <si>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</si>
  <si>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</si>
  <si>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</si>
  <si>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</si>
  <si>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</si>
  <si>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</si>
  <si>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</si>
  <si>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</si>
  <si>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</si>
  <si>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</si>
  <si>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</si>
  <si>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</si>
  <si>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</si>
  <si>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</si>
  <si>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</si>
  <si>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</si>
  <si>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</si>
  <si>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</si>
  <si>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</si>
  <si>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</si>
  <si>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</si>
  <si>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</si>
  <si>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</si>
  <si>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</si>
  <si>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</si>
  <si>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</si>
  <si>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</si>
  <si>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</si>
  <si>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</si>
  <si>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</si>
  <si>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</si>
  <si>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</si>
  <si>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</si>
  <si>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</si>
  <si>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</si>
  <si>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</si>
  <si>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</si>
  <si>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</si>
  <si>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</si>
  <si>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</si>
  <si>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</si>
  <si>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</si>
  <si>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</si>
  <si>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</si>
  <si>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</si>
  <si>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</si>
  <si>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</si>
  <si>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</si>
  <si>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</si>
  <si>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</si>
  <si>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</si>
  <si>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</si>
  <si>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</si>
  <si>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</si>
  <si>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</si>
  <si>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</si>
  <si>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</si>
  <si>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</si>
  <si>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</si>
  <si>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</si>
  <si>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</si>
  <si>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</si>
  <si>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</si>
  <si>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</si>
  <si>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</si>
  <si>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</si>
  <si>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</si>
  <si>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</si>
  <si>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</si>
  <si>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</si>
  <si>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</si>
  <si>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</si>
  <si>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</si>
  <si>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</si>
  <si>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</si>
  <si>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</si>
  <si>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</si>
  <si>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</si>
  <si>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</si>
  <si>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</si>
  <si>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</si>
  <si>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</si>
  <si>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</si>
  <si>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</si>
  <si>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</si>
  <si>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</si>
  <si>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</si>
  <si>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</si>
  <si>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</si>
  <si>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</si>
  <si>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</si>
  <si>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</si>
  <si>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</si>
  <si>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</si>
  <si>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</si>
  <si>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</si>
  <si>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</si>
  <si>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</si>
  <si>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</si>
  <si>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</si>
  <si>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</si>
  <si>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</si>
  <si>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</si>
  <si>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</si>
  <si>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</si>
  <si>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</si>
  <si>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</si>
  <si>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</si>
  <si>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</si>
  <si>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</si>
  <si>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</si>
  <si>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</si>
  <si>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</si>
  <si>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</si>
  <si>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</si>
  <si>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</si>
  <si>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</si>
  <si>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</si>
  <si>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</si>
  <si>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</si>
  <si>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</si>
  <si>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</si>
  <si>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</si>
  <si>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</si>
  <si>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</si>
  <si>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</si>
  <si>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</si>
  <si>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</si>
  <si>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</si>
  <si>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</si>
  <si>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</si>
  <si>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</si>
  <si>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</si>
  <si>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</si>
  <si>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</si>
  <si>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</si>
  <si>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</si>
  <si>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</si>
  <si>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</si>
  <si>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</si>
  <si>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</si>
  <si>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</si>
  <si>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</si>
  <si>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</si>
  <si>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</si>
  <si>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</si>
  <si>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</si>
  <si>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</si>
  <si>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</si>
  <si>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</si>
  <si>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</si>
  <si>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</si>
  <si>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</si>
  <si>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</si>
  <si>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</si>
  <si>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</si>
  <si>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</si>
  <si>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</si>
  <si>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</si>
  <si>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</si>
  <si>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</si>
  <si>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</si>
  <si>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</si>
  <si>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</si>
  <si>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</si>
  <si>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</si>
  <si>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</si>
  <si>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</si>
  <si>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</si>
  <si>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</si>
  <si>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</si>
  <si>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</si>
  <si>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</si>
  <si>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</si>
  <si>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</si>
  <si>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</si>
  <si>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</si>
  <si>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</si>
  <si>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</si>
  <si>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</si>
  <si>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</si>
  <si>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</si>
  <si>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</si>
  <si>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</si>
  <si>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</si>
  <si>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</si>
  <si>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</si>
  <si>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</si>
  <si>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</si>
  <si>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</si>
  <si>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</si>
  <si>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</si>
  <si>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</si>
  <si>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</si>
  <si>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</si>
  <si>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</si>
  <si>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</si>
  <si>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</si>
  <si>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</si>
  <si>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</si>
  <si>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</si>
  <si>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</si>
  <si>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</si>
  <si>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</si>
  <si>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</si>
  <si>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</si>
  <si>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</si>
  <si>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</si>
  <si>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</si>
  <si>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</si>
  <si>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</si>
  <si>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</si>
  <si>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</si>
  <si>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</si>
  <si>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</si>
  <si>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</si>
  <si>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Z1_OLBV_T3F_SC1s2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</si>
</sst>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51.059799999999996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160.47495471596528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5.3054828765217401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3.2927604530434791</v>
      </c>
      <c r="Z5" s="143">
        <f>CdTrp1!U215+CdTrp2!U215+CdTrp3!U215+CdTrp4!U215</f>
        <v>5.7474440739130435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133.83811983165219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3.5479878000000005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148.6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9.5390567634782641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5.876397173043479</v>
      </c>
      <c r="Z8" s="143">
        <f t="shared" si="0"/>
        <v>7.7887664704347825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95.357297835130467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23.5</v>
      </c>
      <c r="H18" s="158">
        <f>G18/G17</f>
        <v>0.5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11</v>
      </c>
      <c r="H19" s="158">
        <f>G19/G17</f>
        <v>0.23404255319148937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</v>
      </c>
      <c r="H20" s="158">
        <f>G20/G17</f>
        <v>0.10638297872340426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9.5390567634782641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5.876397173043479</v>
      </c>
      <c r="BL5" s="13">
        <f>'Conduite Trp'!Z8</f>
        <v>7.7887664704347825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1.5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4.9499999999999993</v>
      </c>
      <c r="AF7" s="61">
        <f t="shared" ref="AF7:AF26" si="1">$R7*W7</f>
        <v>4.5</v>
      </c>
      <c r="AG7" s="61">
        <f t="shared" ref="AG7:AG26" si="2">$R7*X7</f>
        <v>3.4499999999999997</v>
      </c>
      <c r="AH7" s="61">
        <f t="shared" ref="AH7:AH26" si="3">$R7*Y7</f>
        <v>0.75</v>
      </c>
      <c r="AI7" s="61">
        <f t="shared" ref="AI7:AI26" si="4">$R7*Z7</f>
        <v>1.0499999999999998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9.5390567634782641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47.052444994434794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51.059799999999996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2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3</v>
      </c>
      <c r="AF8" s="61">
        <f t="shared" si="1"/>
        <v>0</v>
      </c>
      <c r="AG8" s="61">
        <f t="shared" si="2"/>
        <v>1.5</v>
      </c>
      <c r="AH8" s="61">
        <f t="shared" si="3"/>
        <v>1.5</v>
      </c>
      <c r="AI8" s="61">
        <f t="shared" si="4"/>
        <v>2</v>
      </c>
      <c r="AJ8" s="61">
        <f t="shared" si="5"/>
        <v>0</v>
      </c>
      <c r="AK8" s="141"/>
      <c r="AL8" s="61">
        <f t="shared" si="6"/>
        <v>10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51.059799999999996</v>
      </c>
      <c r="G9" s="81"/>
      <c r="H9" s="61">
        <f>SUM(L34:L43)</f>
        <v>0</v>
      </c>
      <c r="I9" s="81"/>
      <c r="J9" s="81"/>
      <c r="K9" s="93">
        <f>H9-F9</f>
        <v>-51.059799999999996</v>
      </c>
      <c r="L9" s="81"/>
      <c r="M9" s="100"/>
      <c r="P9">
        <v>3</v>
      </c>
      <c r="Q9" s="39">
        <v>290</v>
      </c>
      <c r="R9" s="39">
        <v>4.2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14.700000000000001</v>
      </c>
      <c r="AF9" s="61">
        <f t="shared" si="1"/>
        <v>0</v>
      </c>
      <c r="AG9" s="61">
        <f t="shared" si="2"/>
        <v>4.2</v>
      </c>
      <c r="AH9" s="61">
        <f t="shared" si="3"/>
        <v>2.94</v>
      </c>
      <c r="AI9" s="61">
        <f t="shared" si="4"/>
        <v>2.1</v>
      </c>
      <c r="AJ9" s="61">
        <f t="shared" si="5"/>
        <v>0</v>
      </c>
      <c r="AK9" s="141"/>
      <c r="AL9" s="61">
        <f t="shared" si="6"/>
        <v>15.959999999999999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5.876397173043479</v>
      </c>
      <c r="BL9" s="61">
        <f t="shared" si="10"/>
        <v>7.7887664704347825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25.104386086956524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297</v>
      </c>
      <c r="R11" s="39">
        <v>0</v>
      </c>
      <c r="S11" s="291" t="str">
        <f>VLOOKUP($Q11,[1]MEP!$A$5:$D$300,3)</f>
        <v>PP excellente 2 coupes  très précoces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1</v>
      </c>
      <c r="Y11" s="76">
        <f>VLOOKUP($Q11,[1]MEP!$A$4:$K$300,8)</f>
        <v>0.7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298</v>
      </c>
      <c r="R12" s="39">
        <v>6</v>
      </c>
      <c r="S12" s="291" t="str">
        <f>VLOOKUP($Q12,[1]MEP!$A$5:$D$300,3)</f>
        <v>PP excellente 3 COUPES enr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8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48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5.3054828765217401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3.2927604530434791</v>
      </c>
      <c r="BL15" s="13">
        <f>'Conduite Trp'!Z5</f>
        <v>5.7474440739130435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3.5479878000000005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5.3054828765217401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30.456402564000005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3.2927604530434791</v>
      </c>
      <c r="BL21" s="61">
        <f t="shared" si="18"/>
        <v>5.7474440739130435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13.79533039652174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47.349999999999994</v>
      </c>
      <c r="E24" s="61">
        <f t="shared" si="21"/>
        <v>11.174999999999999</v>
      </c>
      <c r="F24" s="61">
        <f t="shared" si="21"/>
        <v>28.754999999999999</v>
      </c>
      <c r="G24" s="61">
        <f t="shared" si="21"/>
        <v>13.446</v>
      </c>
      <c r="H24" s="61">
        <f t="shared" si="21"/>
        <v>19.561000000000003</v>
      </c>
      <c r="I24" s="61">
        <f t="shared" si="21"/>
        <v>0</v>
      </c>
      <c r="J24" s="63"/>
      <c r="K24" s="61">
        <f>AL27+AL49+AL71</f>
        <v>128.965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47.052444994434794</v>
      </c>
      <c r="E25" s="61">
        <f>BR8</f>
        <v>9.6664631304347832</v>
      </c>
      <c r="F25" s="61">
        <f>BR9</f>
        <v>25.104386086956524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148.6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0.29755500556520076</v>
      </c>
      <c r="E27" s="93">
        <f t="shared" si="23"/>
        <v>1.5085368695652157</v>
      </c>
      <c r="F27" s="93">
        <f t="shared" si="23"/>
        <v>3.6506139130434754</v>
      </c>
      <c r="G27" s="93">
        <f t="shared" si="23"/>
        <v>10.612244173913043</v>
      </c>
      <c r="H27" s="93">
        <f t="shared" si="23"/>
        <v>8.8607522027826118</v>
      </c>
      <c r="I27" s="93">
        <f t="shared" si="23"/>
        <v>0</v>
      </c>
      <c r="J27" s="63"/>
      <c r="K27" s="93">
        <f>K24-K25</f>
        <v>-19.634999999999991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30.15</v>
      </c>
      <c r="AF27" s="75">
        <f t="shared" ref="AF27:AJ27" si="24">SUM(AF7:AF26)</f>
        <v>4.5</v>
      </c>
      <c r="AG27" s="75">
        <f t="shared" si="24"/>
        <v>12.899999999999999</v>
      </c>
      <c r="AH27" s="75">
        <f t="shared" si="24"/>
        <v>8.94</v>
      </c>
      <c r="AI27" s="75">
        <f t="shared" si="24"/>
        <v>10.450000000000001</v>
      </c>
      <c r="AJ27" s="75">
        <f t="shared" si="24"/>
        <v>0</v>
      </c>
      <c r="AK27"/>
      <c r="AL27" s="75">
        <f>SUM(AL7:AL26)</f>
        <v>90.31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3.5479878000000005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14.516431300000001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6.5993003999999997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30.15</v>
      </c>
      <c r="E72" s="61">
        <f t="shared" ref="E72:H72" si="69">AF27</f>
        <v>4.5</v>
      </c>
      <c r="F72" s="61">
        <f t="shared" si="69"/>
        <v>12.899999999999999</v>
      </c>
      <c r="G72" s="61">
        <f t="shared" si="69"/>
        <v>8.94</v>
      </c>
      <c r="H72" s="61">
        <f t="shared" si="69"/>
        <v>10.450000000000001</v>
      </c>
      <c r="I72" s="61">
        <f t="shared" ref="I72" si="70">AJ75+AJ97+AJ119</f>
        <v>0</v>
      </c>
      <c r="J72" s="63"/>
      <c r="K72" s="61">
        <f>+K24</f>
        <v>128.965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30.456402564000005</v>
      </c>
      <c r="E73" s="61">
        <f>BR20</f>
        <v>4.5209591304347834</v>
      </c>
      <c r="F73" s="61">
        <f>BR21</f>
        <v>13.79533039652174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148.6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-0.30640256400000609</v>
      </c>
      <c r="E75" s="93">
        <f t="shared" ref="E75:I75" si="71">E72-E73</f>
        <v>-2.0959130434783368E-2</v>
      </c>
      <c r="F75" s="93">
        <f t="shared" si="71"/>
        <v>-0.89533039652174118</v>
      </c>
      <c r="G75" s="93">
        <f t="shared" si="71"/>
        <v>6.1062441739130424</v>
      </c>
      <c r="H75" s="93">
        <f t="shared" si="71"/>
        <v>3.7393821158260874</v>
      </c>
      <c r="I75" s="93">
        <f t="shared" si="71"/>
        <v>0</v>
      </c>
      <c r="J75" s="63"/>
      <c r="K75" s="93">
        <f>+K27</f>
        <v>-19.634999999999991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14.516431300000001</v>
      </c>
      <c r="E83" s="61">
        <f>BR28</f>
        <v>5.1455039999999999</v>
      </c>
      <c r="F83" s="61">
        <f>BR29</f>
        <v>6.5993003999999997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0.53356869999999823</v>
      </c>
      <c r="E85" s="93">
        <f t="shared" ref="E85:H85" si="73">E82-E83</f>
        <v>0.45449599999999979</v>
      </c>
      <c r="F85" s="93">
        <f t="shared" si="73"/>
        <v>2.8656996000000001</v>
      </c>
      <c r="G85" s="93">
        <f t="shared" si="73"/>
        <v>3.5599999999999996</v>
      </c>
      <c r="H85" s="93">
        <f t="shared" si="73"/>
        <v>5.5922479999999997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6598.766962657658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6598.766962657658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6598.766962657658</v>
      </c>
      <c r="U66" s="170">
        <f>SUMIF(Parcellaire!$B$2:$B$65,1,Parcellaire!U2:U65)</f>
        <v>2877.927380066059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9" zoomScale="80" zoomScaleNormal="80" workbookViewId="0">
      <selection activeCell="K96" sqref="K96:K9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13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6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1.5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2</v>
      </c>
      <c r="T165" s="173">
        <f>VLOOKUP(R165,[1]MEP!$A$4:$M$300,13)</f>
        <v>2</v>
      </c>
      <c r="U165" s="173">
        <f t="shared" ref="U165:U207" si="10">IF($T165&gt;0,$S165,0)</f>
        <v>2</v>
      </c>
      <c r="V165" s="173">
        <f t="shared" ref="V165:V207" si="11">IF($T165&gt;1,$S165,0)</f>
        <v>2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2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2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4.2</v>
      </c>
      <c r="T166" s="173">
        <f>VLOOKUP(R166,[1]MEP!$A$4:$M$300,13)</f>
        <v>1</v>
      </c>
      <c r="U166" s="173">
        <f t="shared" si="10"/>
        <v>4.2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4.2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4.2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297</v>
      </c>
      <c r="S168" s="173">
        <f>Alim_Surf!R11</f>
        <v>0</v>
      </c>
      <c r="T168" s="173">
        <f>VLOOKUP(R168,[1]MEP!$A$4:$M$300,13)</f>
        <v>2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298</v>
      </c>
      <c r="S169" s="173">
        <f>Alim_Surf!R12</f>
        <v>6</v>
      </c>
      <c r="T169" s="173">
        <f>VLOOKUP(R169,[1]MEP!$A$4:$M$300,13)</f>
        <v>3</v>
      </c>
      <c r="U169" s="173">
        <f t="shared" si="10"/>
        <v>6</v>
      </c>
      <c r="V169" s="173">
        <f t="shared" si="11"/>
        <v>6</v>
      </c>
      <c r="W169" s="173">
        <f t="shared" si="12"/>
        <v>6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6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6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23.7</v>
      </c>
      <c r="V228" s="62">
        <f t="shared" ref="V228:W228" si="22">SUM(V164:V227)</f>
        <v>13</v>
      </c>
      <c r="W228" s="62">
        <f t="shared" si="22"/>
        <v>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4.3</v>
      </c>
      <c r="AI228" s="62">
        <f t="shared" si="24"/>
        <v>10.7</v>
      </c>
      <c r="AJ228" s="62">
        <f t="shared" si="24"/>
        <v>8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6599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6599</v>
      </c>
      <c r="AE20" s="64">
        <v>0</v>
      </c>
      <c r="AF20" s="64">
        <f>SUM(AD20:AE20)</f>
        <v>6599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6599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6599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539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14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979.16243478260867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52.18530434782609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2303.9124347826087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135.0366956521739</v>
      </c>
      <c r="L13" s="30">
        <f t="shared" si="8"/>
        <v>138.4904347826087</v>
      </c>
      <c r="M13" s="30">
        <f t="shared" si="8"/>
        <v>127.94417391304347</v>
      </c>
      <c r="N13" s="30">
        <f t="shared" si="8"/>
        <v>131.39791304347827</v>
      </c>
      <c r="O13" s="30">
        <f t="shared" si="8"/>
        <v>131.30539130434784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121.16756521739131</v>
      </c>
      <c r="AB13" s="30">
        <f t="shared" si="8"/>
        <v>123.06426086956522</v>
      </c>
      <c r="AC13" s="30">
        <f t="shared" si="8"/>
        <v>109.06426086956522</v>
      </c>
      <c r="AD13" s="30">
        <f t="shared" si="8"/>
        <v>115.18530434782609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21.33</v>
      </c>
      <c r="C55" s="190">
        <f>IF(B55&gt;[1]Trav!E121,[1]Trav!C121,[1]Trav!B121)</f>
        <v>7.2</v>
      </c>
      <c r="D55"/>
      <c r="E55" s="172"/>
      <c r="F55" s="173">
        <f t="shared" si="32"/>
        <v>154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13</v>
      </c>
      <c r="C56" s="190">
        <f>IF(B56&gt;[1]Trav!E121,[1]Trav!C121,[1]Trav!B121)</f>
        <v>7.2</v>
      </c>
      <c r="D56"/>
      <c r="E56" s="172"/>
      <c r="F56" s="173">
        <f t="shared" si="32"/>
        <v>94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6</v>
      </c>
      <c r="C57" s="190">
        <f>IF(B57&gt;[1]Trav!E121,[1]Trav!C121,[1]Trav!B121)</f>
        <v>7.2</v>
      </c>
      <c r="D57"/>
      <c r="E57" s="172"/>
      <c r="F57" s="173">
        <f t="shared" si="32"/>
        <v>43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2.370000000000001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211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87.5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282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6.5990000000000002</v>
      </c>
      <c r="C83" s="190">
        <f>[1]Protect!$B$24+[1]Protect!$B$26</f>
        <v>0.33</v>
      </c>
      <c r="D83" s="172"/>
      <c r="E83" s="172"/>
      <c r="F83" s="173">
        <f>ROUND(B83*C83,1)</f>
        <v>2.2000000000000002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5.3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1518.1624347826087</v>
      </c>
      <c r="C91" s="5"/>
      <c r="D91" s="202">
        <f>B91/Troupeau!$B$17</f>
        <v>4.9939553775743706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2191.2124347826084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252.8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341.00869565217391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6.8201739130434786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5.8201739130434786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52.18530434782609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14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7.5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14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4544.7324347826088</v>
      </c>
      <c r="D118" s="202">
        <f>B118/Troupeau!$B$17</f>
        <v>14.949777745995425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853.05</v>
      </c>
      <c r="D119" s="202">
        <f>IF(B119=0,0,B119/Troupeau!$C$17)</f>
        <v>44.897368421052626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5397.782434782609</v>
      </c>
    </row>
    <row r="123" spans="1:132" x14ac:dyDescent="0.25">
      <c r="A123" s="2" t="s">
        <v>856</v>
      </c>
      <c r="B123" s="30">
        <f>B108</f>
        <v>357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203.50000000000003</v>
      </c>
    </row>
    <row r="128" spans="1:132" x14ac:dyDescent="0.25">
      <c r="A128" s="2" t="s">
        <v>873</v>
      </c>
      <c r="B128" s="201">
        <f>SUM(B122:B126)</f>
        <v>6752.782434782609</v>
      </c>
    </row>
    <row r="129" spans="1:2" x14ac:dyDescent="0.25">
      <c r="A129" s="2" t="s">
        <v>874</v>
      </c>
      <c r="B129" s="30">
        <f>IF(Scénario!K129=1,Travail!F77+Travail!F86,F86)</f>
        <v>450</v>
      </c>
    </row>
    <row r="130" spans="1:2" x14ac:dyDescent="0.25">
      <c r="A130" s="2" t="s">
        <v>875</v>
      </c>
      <c r="B130" s="201">
        <f>ROUND((B128-B129)/(Scénario!K4+Scénario!K6),0)</f>
        <v>3151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6212.8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156898.16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19.634999999999991</v>
      </c>
      <c r="C118" s="190">
        <f>IF(Scénario!$K$12="BV",[1]Eco!$B$78,IF(Scénario!$K$12="BL",[1]Eco!$B$77,[1]Eco!$B$76))</f>
        <v>223</v>
      </c>
      <c r="J118" s="173">
        <f>B118*C118</f>
        <v>4378.6049999999977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51.059799999999996</v>
      </c>
      <c r="C119" s="190">
        <f>[1]Eco!$B$79</f>
        <v>80</v>
      </c>
      <c r="J119" s="173">
        <f>B119*C119</f>
        <v>4084.7839999999997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193.5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10.7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647.45699999999988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8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542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633.91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49241.756000000001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23.7</v>
      </c>
      <c r="X153" t="s">
        <v>52</v>
      </c>
      <c r="Y153" s="173">
        <f>W153-Scénario!K28</f>
        <v>0.19999999999999929</v>
      </c>
      <c r="Z153" s="173">
        <f>Y153-Y156</f>
        <v>0.17999999999999935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13</v>
      </c>
      <c r="X154" t="s">
        <v>52</v>
      </c>
      <c r="Y154" s="173">
        <f>W154-Scénario!K29</f>
        <v>-3</v>
      </c>
      <c r="Z154" s="173">
        <f>Y154</f>
        <v>-3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6</v>
      </c>
      <c r="X155" t="s">
        <v>52</v>
      </c>
      <c r="Y155" s="173">
        <f>W155-Scénario!K30</f>
        <v>6</v>
      </c>
      <c r="Z155" s="173">
        <f t="shared" ref="Z155:Z156" si="68">Y155</f>
        <v>6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1.9999999999999928E-2</v>
      </c>
      <c r="Z156" s="173">
        <f t="shared" si="68"/>
        <v>1.9999999999999928E-2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0.17999999999999935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6.5159999999999769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-3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-90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6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180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1.9999999999999928E-2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3.107999999999989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1.5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2</v>
      </c>
      <c r="T165" s="173">
        <f>VLOOKUP(R165,[1]MEP!$A$4:$M$300,13)</f>
        <v>2</v>
      </c>
      <c r="U165" s="173">
        <f t="shared" ref="U165:U207" si="72">IF($T165&gt;0,$S165,0)</f>
        <v>2</v>
      </c>
      <c r="V165" s="173">
        <f t="shared" ref="V165:V207" si="73">IF($T165&gt;1,$S165,0)</f>
        <v>2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2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2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4.2</v>
      </c>
      <c r="T166" s="173">
        <f>VLOOKUP(R166,[1]MEP!$A$4:$M$300,13)</f>
        <v>1</v>
      </c>
      <c r="U166" s="173">
        <f t="shared" si="72"/>
        <v>4.2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4.2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4.2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293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3114.59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297</v>
      </c>
      <c r="S168" s="173">
        <f>Alim_Surf!R11</f>
        <v>0</v>
      </c>
      <c r="T168" s="173">
        <f>VLOOKUP(R168,[1]MEP!$A$4:$M$300,13)</f>
        <v>2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298</v>
      </c>
      <c r="S169" s="173">
        <f>Alim_Surf!R12</f>
        <v>6</v>
      </c>
      <c r="T169" s="173">
        <f>VLOOKUP(R169,[1]MEP!$A$4:$M$300,13)</f>
        <v>3</v>
      </c>
      <c r="U169" s="173">
        <f t="shared" si="72"/>
        <v>6</v>
      </c>
      <c r="V169" s="173">
        <f t="shared" si="73"/>
        <v>6</v>
      </c>
      <c r="W169" s="173">
        <f t="shared" si="74"/>
        <v>6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6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6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51057.754000000001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56598.650000000009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28299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3019.888390422364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42578.761609577647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21289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23.7</v>
      </c>
      <c r="V228" s="62">
        <f t="shared" ref="V228:W228" si="84">SUM(V164:V227)</f>
        <v>13</v>
      </c>
      <c r="W228" s="62">
        <f t="shared" si="84"/>
        <v>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4.3</v>
      </c>
      <c r="AI228" s="62">
        <f t="shared" si="86"/>
        <v>10.7</v>
      </c>
      <c r="AJ228" s="62">
        <f t="shared" si="86"/>
        <v>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6599</v>
      </c>
      <c r="U234" t="s">
        <v>1101</v>
      </c>
      <c r="V234" s="173"/>
      <c r="W234" s="173">
        <f>[1]Protect!$B$4</f>
        <v>6</v>
      </c>
      <c r="X234" s="173">
        <f>T234*W234</f>
        <v>39594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39994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24494</v>
      </c>
      <c r="AB237" s="30">
        <f>(Scénario!K127/100)*AA237</f>
        <v>0</v>
      </c>
      <c r="AC237" s="30">
        <f>AA237-AB237</f>
        <v>24494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3019.888390422364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7766.52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7766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6212.8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6212.8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6212.8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98.984999999999999</v>
      </c>
      <c r="U272" s="173"/>
      <c r="V272" s="173"/>
      <c r="W272" s="173">
        <f>W234</f>
        <v>6</v>
      </c>
      <c r="X272" s="173">
        <f>T272*W272</f>
        <v>593.91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Z1_OLBV_T3F_SC1s2</v>
      </c>
      <c r="D1" s="275" t="str">
        <f>CONCATENATE(C1,"_corr")</f>
        <v>Z1_OLBV_T3F_SC1s2_corr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23.7</v>
      </c>
      <c r="D85" s="261">
        <f>ROUND(C85*$D$82/$C$82,3)</f>
        <v>22.754000000000001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13</v>
      </c>
      <c r="D86" s="261">
        <f t="shared" ref="D86:D97" si="14">ROUND(C86*$D$82/$C$82,3)</f>
        <v>12.481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6</v>
      </c>
      <c r="D87" s="261">
        <f t="shared" si="14"/>
        <v>5.7610000000000001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2.37</v>
      </c>
      <c r="D88" s="261">
        <f t="shared" si="14"/>
        <v>2.2749999999999999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211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0.59493670886075944</v>
      </c>
      <c r="D136" s="262">
        <f t="shared" si="25"/>
        <v>0.59493670886075944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327.40236365607717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94.001012871652108</v>
      </c>
      <c r="D161" s="263">
        <f t="shared" si="50"/>
        <v>90.250349016424082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6.5480472731215436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121.76822965196529</v>
      </c>
      <c r="D162" s="263">
        <f t="shared" si="50"/>
        <v>116.9096469227098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5.5480472731215436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51.709082727962702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14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120.28699999999999</v>
      </c>
      <c r="D169" s="263">
        <f t="shared" si="50"/>
        <v>115.48751870324189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95.357297835130439</v>
      </c>
      <c r="D170" s="263">
        <f t="shared" si="50"/>
        <v>91.552517871633952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128.965</v>
      </c>
      <c r="D171" s="263">
        <f t="shared" si="50"/>
        <v>123.81926433915211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148.6</v>
      </c>
      <c r="D172" s="263">
        <f t="shared" si="50"/>
        <v>142.67082294264338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24.929702164869553</v>
      </c>
      <c r="D173" s="263">
        <f t="shared" si="50"/>
        <v>23.935000831607926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79.3</v>
      </c>
      <c r="D174" s="263">
        <f t="shared" si="50"/>
        <v>76.135910224438888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-19.634999999999991</v>
      </c>
      <c r="D175" s="263">
        <f>C175*$D$82/$C$82</f>
        <v>-18.851558603491263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19.634999999999991</v>
      </c>
      <c r="D176" s="263">
        <f>C176*$D$82/$C$82</f>
        <v>18.851558603491263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92</v>
      </c>
      <c r="D178" s="173">
        <f>ROUND((D170+D171)/(D170+D172),2)*100</f>
        <v>92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14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6599</v>
      </c>
      <c r="D183" s="264">
        <f>ROUND(D184*D185,0)</f>
        <v>6323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221</v>
      </c>
      <c r="D185" s="173">
        <f>C185</f>
        <v>221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0.9375</v>
      </c>
      <c r="D192" s="266">
        <f>ROUND((D183/1000)*([1]Protect!$B$25*8/10+[1]Protect!$B$26),2)/8</f>
        <v>0.89249999999999996</v>
      </c>
      <c r="E192" s="17" t="s">
        <v>1308</v>
      </c>
      <c r="I192" s="5"/>
      <c r="AN192" s="14" t="s">
        <v>1117</v>
      </c>
      <c r="AO192" s="173">
        <f>SUM(AO189:AO191)</f>
        <v>7766.52</v>
      </c>
    </row>
    <row r="193" spans="1:43" x14ac:dyDescent="0.25">
      <c r="B193" s="14" t="s">
        <v>1309</v>
      </c>
      <c r="C193" s="173">
        <f>(Travail!F75+Travail!F76+Travail!F81)/8</f>
        <v>17.5</v>
      </c>
      <c r="D193" s="173">
        <f>C193</f>
        <v>17.5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7766.52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7766.52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7766.52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6213</v>
      </c>
      <c r="D210" s="264">
        <f>ROUND(AL207,0)</f>
        <v>7767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54519.199999999997</v>
      </c>
      <c r="D211" s="264">
        <f>ROUND(SUM(D201:D210),0)</f>
        <v>54883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94.844999999999999</v>
      </c>
      <c r="AK216" s="173"/>
      <c r="AL216" s="173"/>
      <c r="AM216" s="173">
        <f>'Calcul éco'!W272</f>
        <v>6</v>
      </c>
      <c r="AN216" s="173">
        <f>AJ216*AM216</f>
        <v>569.06999999999994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2472.9569999999999</v>
      </c>
      <c r="D217" s="261">
        <f t="shared" si="106"/>
        <v>2374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8463.3889999999974</v>
      </c>
      <c r="D218" s="261">
        <f t="shared" si="106"/>
        <v>8126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633.91</v>
      </c>
      <c r="D220" s="264">
        <f>SUM(AN215:AN219)</f>
        <v>609.06999999999994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49242</v>
      </c>
      <c r="D221" s="264">
        <f>ROUND(SUM(D216:D220),0)</f>
        <v>47278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6323</v>
      </c>
      <c r="AL225" t="s">
        <v>1101</v>
      </c>
      <c r="AM225" s="173"/>
      <c r="AN225" s="173">
        <f>[1]Protect!$B$4</f>
        <v>6</v>
      </c>
      <c r="AO225" s="173">
        <f>AK225*AN225</f>
        <v>37938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38338</v>
      </c>
      <c r="AQ228" s="30">
        <f>IF(Scénario!K84=1,MIN(0.8*AO228,[1]Protect!$B$68),IF(Scénario!K84=2,MIN(0.8*AO228,[1]Protect!$B$67),0))</f>
        <v>15500</v>
      </c>
      <c r="AR228" s="30">
        <f>AO228-AQ228</f>
        <v>22838</v>
      </c>
      <c r="AS228" s="30">
        <f>(1-Scénario!K127/100)*AR228</f>
        <v>22838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6.5159999999999769</v>
      </c>
      <c r="D230" s="261">
        <f t="shared" si="109"/>
        <v>6</v>
      </c>
    </row>
    <row r="231" spans="1:49" x14ac:dyDescent="0.25">
      <c r="B231" s="14" t="s">
        <v>1083</v>
      </c>
      <c r="C231" s="173">
        <f>'Calcul éco'!J159</f>
        <v>-90</v>
      </c>
      <c r="D231" s="261">
        <f t="shared" si="109"/>
        <v>-86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180</v>
      </c>
      <c r="D232" s="261">
        <f t="shared" si="109"/>
        <v>173</v>
      </c>
    </row>
    <row r="233" spans="1:49" x14ac:dyDescent="0.25">
      <c r="B233" s="14" t="s">
        <v>1085</v>
      </c>
      <c r="C233" s="173">
        <f>'Calcul éco'!J161</f>
        <v>3.107999999999989</v>
      </c>
      <c r="D233" s="261">
        <f t="shared" si="109"/>
        <v>3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3114.59</v>
      </c>
      <c r="D235" s="264">
        <f>(D191+D192)*8*[1]Eco!$B$106</f>
        <v>1887.2501999999999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51058</v>
      </c>
      <c r="D236" s="264">
        <f>ROUND(SUM(D222:D235),0)</f>
        <v>48815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56598.200000000012</v>
      </c>
      <c r="D237" s="264">
        <f>D194+D211-D221-D236</f>
        <v>57084</v>
      </c>
    </row>
    <row r="238" spans="1:49" x14ac:dyDescent="0.25">
      <c r="B238" s="211" t="s">
        <v>1090</v>
      </c>
      <c r="C238" s="173">
        <f>ROUND(C237/Scénario!$K$4,0)</f>
        <v>28299</v>
      </c>
      <c r="D238" s="264">
        <f>ROUND(D237/D83,0)</f>
        <v>28542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3019.888390422364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42578</v>
      </c>
      <c r="D241" s="268">
        <f>ROUND(D237-D239-D240,0)</f>
        <v>46084</v>
      </c>
    </row>
    <row r="242" spans="1:15" x14ac:dyDescent="0.25">
      <c r="B242" s="211" t="s">
        <v>1094</v>
      </c>
      <c r="C242" s="173">
        <f>ROUND(C241/Scénario!K4,0)</f>
        <v>21289</v>
      </c>
      <c r="D242" s="264">
        <f>ROUND(D241/D83,0)</f>
        <v>23042</v>
      </c>
    </row>
    <row r="243" spans="1:15" x14ac:dyDescent="0.25">
      <c r="B243" s="211" t="s">
        <v>1357</v>
      </c>
      <c r="C243" s="173">
        <f>'Calcul éco'!X237+'Calcul éco'!X240</f>
        <v>39994</v>
      </c>
      <c r="D243" s="173">
        <f>C243</f>
        <v>39994</v>
      </c>
    </row>
    <row r="244" spans="1:15" x14ac:dyDescent="0.25">
      <c r="B244" s="211" t="s">
        <v>1358</v>
      </c>
      <c r="C244" s="173">
        <f>'Calcul éco'!AA237+'Calcul éco'!AA240</f>
        <v>24494</v>
      </c>
      <c r="D244" s="173">
        <f>C244</f>
        <v>24494</v>
      </c>
    </row>
    <row r="245" spans="1:15" x14ac:dyDescent="0.25">
      <c r="A245" s="2" t="s">
        <v>1359</v>
      </c>
      <c r="B245" s="14" t="s">
        <v>568</v>
      </c>
      <c r="C245" s="270">
        <f>Travail!F5</f>
        <v>539</v>
      </c>
      <c r="D245" s="173">
        <f>C245</f>
        <v>539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979.16243478260867</v>
      </c>
      <c r="D248" s="264">
        <f>ROUND(SUM(AV163:BS163),1)</f>
        <v>970.3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20.4786</v>
      </c>
      <c r="L258" s="190">
        <f>IF(K258&gt;[1]Trav!E121,[1]Trav!C121,[1]Trav!B121)</f>
        <v>7.2</v>
      </c>
      <c r="N258" s="274"/>
      <c r="O258">
        <f t="shared" si="114"/>
        <v>147.44592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12.481</v>
      </c>
      <c r="L259" s="190">
        <f>IF(K259&gt;[1]Trav!E121,[1]Trav!C121,[1]Trav!B121)</f>
        <v>7.2</v>
      </c>
      <c r="N259" s="274"/>
      <c r="O259">
        <f t="shared" si="114"/>
        <v>89.863200000000006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5.7610000000000001</v>
      </c>
      <c r="L260" s="190">
        <f>IF(K260&gt;[1]Trav!E121,[1]Trav!C121,[1]Trav!B121)</f>
        <v>7.2</v>
      </c>
      <c r="N260" s="274"/>
      <c r="O260">
        <f t="shared" si="114"/>
        <v>41.479199999999999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2.2749999999999999</v>
      </c>
      <c r="L261" s="190">
        <f>IF(K261&gt;[1]Trav!E122,[1]Trav!C122,[1]Trav!B122)</f>
        <v>4.4000000000000004</v>
      </c>
      <c r="M261" s="5"/>
      <c r="N261" s="274"/>
      <c r="O261">
        <f t="shared" si="114"/>
        <v>10.01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154</v>
      </c>
      <c r="D267" s="264">
        <f t="shared" si="116"/>
        <v>147</v>
      </c>
    </row>
    <row r="268" spans="1:15" x14ac:dyDescent="0.25">
      <c r="B268" s="32" t="s">
        <v>791</v>
      </c>
      <c r="C268" s="270">
        <f>Travail!F56</f>
        <v>94</v>
      </c>
      <c r="D268" s="264">
        <f t="shared" si="116"/>
        <v>90</v>
      </c>
    </row>
    <row r="269" spans="1:15" x14ac:dyDescent="0.25">
      <c r="B269" s="32" t="s">
        <v>792</v>
      </c>
      <c r="C269" s="270">
        <f>Travail!F57</f>
        <v>43</v>
      </c>
      <c r="D269" s="264">
        <f t="shared" si="116"/>
        <v>41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7.5</v>
      </c>
      <c r="D276" s="264">
        <f>D192*8</f>
        <v>7.14</v>
      </c>
    </row>
    <row r="277" spans="1:4" x14ac:dyDescent="0.25">
      <c r="B277" s="32" t="s">
        <v>1419</v>
      </c>
      <c r="C277" s="270">
        <f>Travail!F75+Travail!F81</f>
        <v>115.5</v>
      </c>
      <c r="D277" s="173">
        <f>C277</f>
        <v>115.5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4545</v>
      </c>
      <c r="D281" s="264">
        <f>ROUND(D245+D248+D251+D254+D257+D260+D261,0)</f>
        <v>4430</v>
      </c>
    </row>
    <row r="282" spans="1:4" x14ac:dyDescent="0.25">
      <c r="B282" s="14" t="s">
        <v>1372</v>
      </c>
      <c r="C282" s="173">
        <f>ROUND(C246+C249+C252+C255+C258,0)</f>
        <v>853</v>
      </c>
      <c r="D282" s="264">
        <f>ROUND(D246+D249+D252+D255+D258,0)</f>
        <v>850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14.95</v>
      </c>
      <c r="D284" s="173">
        <f>ROUND(D281/(Troupeau!$B$17*G63),2)</f>
        <v>15.18</v>
      </c>
    </row>
    <row r="285" spans="1:4" x14ac:dyDescent="0.25">
      <c r="B285" s="14" t="s">
        <v>1375</v>
      </c>
      <c r="C285" s="173">
        <f>IF(Troupeau!$C$17=0,0,ROUND(C282/Troupeau!$C$17,2))</f>
        <v>44.89</v>
      </c>
      <c r="D285" s="173">
        <f>IF(Troupeau!$C$17=0,0,ROUND(D282/Troupeau!$C$17*G63,2))</f>
        <v>42.95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5398</v>
      </c>
      <c r="D287" s="264">
        <f>SUM(D281:D283)</f>
        <v>5280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357</v>
      </c>
      <c r="D289" s="264">
        <f>SUM(D262:D271)</f>
        <v>345</v>
      </c>
    </row>
    <row r="290" spans="2:4" x14ac:dyDescent="0.25">
      <c r="B290" s="14" t="s">
        <v>1421</v>
      </c>
      <c r="C290" s="270">
        <f>C275+C276+C277</f>
        <v>293.39999999999998</v>
      </c>
      <c r="D290" s="277">
        <f>D275+D276+D277</f>
        <v>293.03999999999996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6841</v>
      </c>
      <c r="D292" s="264">
        <f>ROUND(SUM(D287:D291),0)</f>
        <v>6711</v>
      </c>
    </row>
    <row r="293" spans="2:4" x14ac:dyDescent="0.25">
      <c r="B293" s="14" t="s">
        <v>874</v>
      </c>
      <c r="C293" s="173">
        <f>ROUND(IF(Scénario!$K$129=1,SUM(C275:C280),SUM(C278:C280)),0)</f>
        <v>486</v>
      </c>
      <c r="D293" s="173">
        <f>ROUND(IF(Scénario!$K$129=1,SUM(D275:D280),SUM(D278:D280)),0)</f>
        <v>486</v>
      </c>
    </row>
    <row r="294" spans="2:4" x14ac:dyDescent="0.25">
      <c r="B294" s="14" t="s">
        <v>875</v>
      </c>
      <c r="C294" s="173">
        <f>ROUND((C292-C293)/C83,0)</f>
        <v>3178</v>
      </c>
      <c r="D294" s="173">
        <f>ROUND((D292-D293)/D83,0)</f>
        <v>3113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55.520190875130417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39594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89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36.859799999999993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621</v>
      </c>
      <c r="Z73" s="52"/>
      <c r="AA73" s="56">
        <f>ROUND(SUM(B73:Y73),0)</f>
        <v>8013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2.1893201704347831</v>
      </c>
      <c r="U136" s="61">
        <f t="shared" si="51"/>
        <v>4.3270705739130433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102.51610106226092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110.6983905926957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121.76822965196529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2.1893201704347831</v>
      </c>
      <c r="U149" s="61">
        <f t="shared" si="55"/>
        <v>4.3270705739130433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94.001012871652108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2.1893201704347831</v>
      </c>
      <c r="U162" s="61">
        <f t="shared" si="65"/>
        <v>4.3270705739130433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3.1587629530434791</v>
      </c>
      <c r="U172" s="61">
        <f t="shared" si="75"/>
        <v>4.3270705739130433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49.944090701217384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3.1587629530434791</v>
      </c>
      <c r="U215" s="61">
        <f t="shared" si="108"/>
        <v>4.3270705739130433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94.001012871652136</v>
      </c>
      <c r="AB219" t="s">
        <v>222</v>
      </c>
    </row>
    <row r="220" spans="1:28" x14ac:dyDescent="0.25">
      <c r="AA220" s="30">
        <f>SUM(B215:Y217)</f>
        <v>55.520190875130417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2023-01-09T10:01:48Z</dcterms:modified>
</cp:coreProperties>
</file>