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22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L33" i="29"/>
  <c r="K33" i="29"/>
  <c r="I33" i="29"/>
  <c r="C33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D12" i="29"/>
  <c r="C12" i="29"/>
  <c r="C10" i="29"/>
  <c r="D9" i="29"/>
  <c r="C9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BA92" i="30" s="1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I91" i="30" s="1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P91" i="30"/>
  <c r="BO91" i="30"/>
  <c r="BM91" i="30"/>
  <c r="BH91" i="30"/>
  <c r="BG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16" i="30" l="1"/>
  <c r="CX91" i="30"/>
  <c r="S3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N72" i="30" l="1"/>
  <c r="J8" i="29"/>
  <c r="O72" i="30"/>
  <c r="K8" i="29"/>
  <c r="M72" i="30"/>
  <c r="I8" i="29"/>
  <c r="E8" i="29"/>
  <c r="I72" i="30"/>
  <c r="J72" i="30"/>
  <c r="F8" i="29"/>
  <c r="L72" i="30"/>
  <c r="G8" i="29"/>
  <c r="K72" i="30"/>
  <c r="T257" i="31"/>
  <c r="U257" i="31" s="1"/>
  <c r="T260" i="31"/>
  <c r="U260" i="31" s="1"/>
  <c r="T258" i="31"/>
  <c r="U258" i="31" s="1"/>
  <c r="T256" i="31"/>
  <c r="U256" i="31" s="1"/>
  <c r="Z72" i="30"/>
  <c r="Q72" i="30"/>
  <c r="M8" i="29"/>
  <c r="Q8" i="29"/>
  <c r="Q201" i="29" s="1"/>
  <c r="U72" i="30"/>
  <c r="R8" i="29"/>
  <c r="R201" i="29" s="1"/>
  <c r="V72" i="30"/>
  <c r="N8" i="29"/>
  <c r="N201" i="29" s="1"/>
  <c r="R72" i="30"/>
  <c r="O8" i="29"/>
  <c r="S72" i="30"/>
  <c r="P8" i="29"/>
  <c r="P201" i="29" s="1"/>
  <c r="T72" i="30"/>
  <c r="U8" i="29"/>
  <c r="U201" i="29" s="1"/>
  <c r="Y72" i="30"/>
  <c r="X72" i="30"/>
  <c r="T8" i="29"/>
  <c r="T201" i="29" s="1"/>
  <c r="W72" i="30"/>
  <c r="S8" i="29"/>
  <c r="P72" i="30"/>
  <c r="L8" i="29"/>
  <c r="L201" i="29" s="1"/>
  <c r="AF187" i="31"/>
  <c r="H8" i="29"/>
  <c r="H201" i="29" s="1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I201" i="29"/>
  <c r="M201" i="29"/>
  <c r="K201" i="29"/>
  <c r="U167" i="28"/>
  <c r="V167" i="28"/>
  <c r="W167" i="28"/>
  <c r="AF188" i="28"/>
  <c r="V188" i="28"/>
  <c r="W188" i="28"/>
  <c r="AN215" i="33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F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BB82" i="30" s="1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1" i="30"/>
  <c r="BB84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D81" i="30" l="1"/>
  <c r="BB83" i="30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6" i="30"/>
  <c r="CD87" i="30"/>
  <c r="CC86" i="30"/>
  <c r="CC87" i="30"/>
  <c r="CF87" i="30"/>
  <c r="CF86" i="30"/>
  <c r="CE86" i="30"/>
  <c r="CE87" i="30"/>
  <c r="CB87" i="30"/>
  <c r="CB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AW76" i="33"/>
  <c r="AW152" i="33"/>
  <c r="AV76" i="33"/>
  <c r="AV152" i="33"/>
  <c r="BS78" i="33"/>
  <c r="BS154" i="33"/>
  <c r="BS76" i="33"/>
  <c r="BS152" i="33"/>
  <c r="AX76" i="33"/>
  <c r="AX152" i="33"/>
  <c r="AY78" i="33"/>
  <c r="AY154" i="33"/>
  <c r="BD78" i="33"/>
  <c r="BD154" i="33"/>
  <c r="BC78" i="33"/>
  <c r="BC154" i="33"/>
  <c r="BC76" i="33"/>
  <c r="BC152" i="33"/>
  <c r="BD76" i="33"/>
  <c r="BD152" i="33"/>
  <c r="BR76" i="33"/>
  <c r="BR152" i="33"/>
  <c r="AZ78" i="33"/>
  <c r="AZ154" i="33"/>
  <c r="BA78" i="33"/>
  <c r="BA154" i="33"/>
  <c r="AY76" i="33"/>
  <c r="AY152" i="33"/>
  <c r="BB78" i="33"/>
  <c r="BB154" i="33"/>
  <c r="BB76" i="33"/>
  <c r="BB152" i="33"/>
  <c r="AW78" i="33"/>
  <c r="AW154" i="33"/>
  <c r="AZ76" i="33"/>
  <c r="AZ152" i="33"/>
  <c r="BQ78" i="33"/>
  <c r="BQ154" i="33"/>
  <c r="AX78" i="33"/>
  <c r="AX154" i="33"/>
  <c r="AV78" i="33"/>
  <c r="AV154" i="33"/>
  <c r="BQ76" i="33"/>
  <c r="BQ152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J147" i="33" l="1"/>
  <c r="BJ163" i="33" s="1"/>
  <c r="CY148" i="33"/>
  <c r="CY163" i="33" s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T177" i="24"/>
  <c r="T190" i="24"/>
  <c r="M201" i="24"/>
  <c r="M211" i="24" s="1"/>
  <c r="M218" i="24" s="1"/>
  <c r="M175" i="24"/>
  <c r="M185" i="24" s="1"/>
  <c r="M216" i="24" s="1"/>
  <c r="O201" i="24"/>
  <c r="O211" i="24" s="1"/>
  <c r="O218" i="24" s="1"/>
  <c r="O162" i="24"/>
  <c r="O172" i="24" s="1"/>
  <c r="O215" i="24" s="1"/>
  <c r="N201" i="24"/>
  <c r="N211" i="24" s="1"/>
  <c r="N218" i="24" s="1"/>
  <c r="N175" i="24"/>
  <c r="R201" i="24"/>
  <c r="R211" i="24" s="1"/>
  <c r="R218" i="24" s="1"/>
  <c r="R175" i="24"/>
  <c r="R185" i="24" s="1"/>
  <c r="R216" i="24" s="1"/>
  <c r="N185" i="24"/>
  <c r="N216" i="24" s="1"/>
  <c r="Q172" i="24"/>
  <c r="Q215" i="24" s="1"/>
  <c r="T198" i="24"/>
  <c r="T217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J170" i="3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<sst xmlns="http://schemas.openxmlformats.org/spreadsheetml/2006/main" count="3098" uniqueCount="1464">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</sst>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49.412499999999994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7.9838588504347836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154.78711243596524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1.4613808695652175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116.3062904394435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0.46086956521739131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21.5</v>
      </c>
      <c r="H19" s="158">
        <f>G19/G17</f>
        <v>0.37391304347826088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6</v>
      </c>
      <c r="H20" s="158">
        <f>G20/G17</f>
        <v>0.10434782608695652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53.827979646608711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49.412499999999994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49.412499999999994</v>
      </c>
      <c r="G9" s="81"/>
      <c r="H9" s="61">
        <f>SUM(L34:L43)</f>
        <v>0</v>
      </c>
      <c r="I9" s="81"/>
      <c r="J9" s="81"/>
      <c r="K9" s="93">
        <f>H9-F9</f>
        <v>-49.412499999999994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26.733245873878261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3.3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4.9499999999999993</v>
      </c>
      <c r="AF10" s="61">
        <f t="shared" si="1"/>
        <v>0</v>
      </c>
      <c r="AG10" s="61">
        <f t="shared" si="2"/>
        <v>2.4749999999999996</v>
      </c>
      <c r="AH10" s="61">
        <f t="shared" si="3"/>
        <v>2.4749999999999996</v>
      </c>
      <c r="AI10" s="61">
        <f t="shared" si="4"/>
        <v>3.4979999999999998</v>
      </c>
      <c r="AJ10" s="61">
        <f t="shared" si="5"/>
        <v>0</v>
      </c>
      <c r="AK10" s="141"/>
      <c r="AL10" s="61">
        <f t="shared" si="6"/>
        <v>10.790999999999999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239</v>
      </c>
      <c r="R11" s="39">
        <v>1.7</v>
      </c>
      <c r="S11" s="291" t="str">
        <f>VLOOKUP($Q11,[1]MEP!$A$5:$D$300,3)</f>
        <v>PP bonnne P prélèvement étalé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</v>
      </c>
      <c r="W11" s="76">
        <f>VLOOKUP($Q11,[1]MEP!$A$4:$K$300,6)</f>
        <v>2</v>
      </c>
      <c r="X11" s="76">
        <f>VLOOKUP($Q11,[1]MEP!$A$4:$K$300,7)</f>
        <v>1.5</v>
      </c>
      <c r="Y11" s="76">
        <f>VLOOKUP($Q11,[1]MEP!$A$4:$K$300,8)</f>
        <v>0.5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5.0999999999999996</v>
      </c>
      <c r="AF11" s="61">
        <f t="shared" si="1"/>
        <v>3.4</v>
      </c>
      <c r="AG11" s="61">
        <f t="shared" si="2"/>
        <v>2.5499999999999998</v>
      </c>
      <c r="AH11" s="61">
        <f t="shared" si="3"/>
        <v>0.85</v>
      </c>
      <c r="AI11" s="61">
        <f t="shared" si="4"/>
        <v>0.85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7.9838588504347836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1.4613808695652175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7.9838588504347836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34.591348277043487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54.91</v>
      </c>
      <c r="E24" s="61">
        <f t="shared" si="21"/>
        <v>21.175000000000001</v>
      </c>
      <c r="F24" s="61">
        <f t="shared" si="21"/>
        <v>36.465000000000003</v>
      </c>
      <c r="G24" s="61">
        <f t="shared" si="21"/>
        <v>17.056000000000001</v>
      </c>
      <c r="H24" s="61">
        <f t="shared" si="21"/>
        <v>25.509000000000004</v>
      </c>
      <c r="I24" s="61">
        <f t="shared" si="21"/>
        <v>0</v>
      </c>
      <c r="J24" s="63"/>
      <c r="K24" s="61">
        <f>AL27+AL49+AL71</f>
        <v>99.540999999999997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53.827979646608711</v>
      </c>
      <c r="E25" s="61">
        <f>BR8</f>
        <v>18.988566130434783</v>
      </c>
      <c r="F25" s="61">
        <f>BR9</f>
        <v>26.733245873878261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1.082020353391286</v>
      </c>
      <c r="E27" s="93">
        <f t="shared" si="23"/>
        <v>2.1864338695652172</v>
      </c>
      <c r="F27" s="93">
        <f t="shared" si="23"/>
        <v>9.7317541261217428</v>
      </c>
      <c r="G27" s="93">
        <f t="shared" si="23"/>
        <v>13.327373913043479</v>
      </c>
      <c r="H27" s="93">
        <f t="shared" si="23"/>
        <v>12.481127298434785</v>
      </c>
      <c r="I27" s="93">
        <f t="shared" si="23"/>
        <v>0</v>
      </c>
      <c r="J27" s="63"/>
      <c r="K27" s="93">
        <f>K24-K25</f>
        <v>-44.158999999999992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35.46</v>
      </c>
      <c r="AF27" s="75">
        <f t="shared" ref="AF27:AJ27" si="24">SUM(AF7:AF26)</f>
        <v>11.500000000000002</v>
      </c>
      <c r="AG27" s="75">
        <f t="shared" si="24"/>
        <v>19.485000000000003</v>
      </c>
      <c r="AH27" s="75">
        <f t="shared" si="24"/>
        <v>12.924999999999999</v>
      </c>
      <c r="AI27" s="75">
        <f t="shared" si="24"/>
        <v>17.238000000000003</v>
      </c>
      <c r="AJ27" s="75">
        <f t="shared" si="24"/>
        <v>0</v>
      </c>
      <c r="AK27"/>
      <c r="AL27" s="75">
        <f>SUM(AL7:AL26)</f>
        <v>65.790999999999997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1.4613808695652175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17.157020239130436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9.8068837043478254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35.46</v>
      </c>
      <c r="E72" s="61">
        <f t="shared" ref="E72:H72" si="69">AF27</f>
        <v>11.500000000000002</v>
      </c>
      <c r="F72" s="61">
        <f t="shared" si="69"/>
        <v>19.485000000000003</v>
      </c>
      <c r="G72" s="61">
        <f t="shared" si="69"/>
        <v>12.924999999999999</v>
      </c>
      <c r="H72" s="61">
        <f t="shared" si="69"/>
        <v>17.238000000000003</v>
      </c>
      <c r="I72" s="61">
        <f t="shared" ref="I72" si="70">AJ75+AJ97+AJ119</f>
        <v>0</v>
      </c>
      <c r="J72" s="63"/>
      <c r="K72" s="61">
        <f>+K24</f>
        <v>99.540999999999997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34.591348277043487</v>
      </c>
      <c r="E73" s="61">
        <f>BR20</f>
        <v>11.512536380434783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0.86865172295651405</v>
      </c>
      <c r="E75" s="93">
        <f t="shared" ref="E75:I75" si="71">E72-E73</f>
        <v>-1.2536380434781336E-2</v>
      </c>
      <c r="F75" s="93">
        <f t="shared" si="71"/>
        <v>8.5547691209043482</v>
      </c>
      <c r="G75" s="93">
        <f t="shared" si="71"/>
        <v>12.924999999999999</v>
      </c>
      <c r="H75" s="93">
        <f t="shared" si="71"/>
        <v>10.331087994086959</v>
      </c>
      <c r="I75" s="93">
        <f t="shared" si="71"/>
        <v>0</v>
      </c>
      <c r="J75" s="63"/>
      <c r="K75" s="93">
        <f>+K27</f>
        <v>-44.158999999999992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17.157020239130436</v>
      </c>
      <c r="E83" s="61">
        <f>BR28</f>
        <v>7.4760297499999986</v>
      </c>
      <c r="F83" s="61">
        <f>BR29</f>
        <v>9.8068837043478254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0.14297976086956155</v>
      </c>
      <c r="E85" s="93">
        <f t="shared" ref="E85:H85" si="73">E82-E83</f>
        <v>1.1239702500000011</v>
      </c>
      <c r="F85" s="93">
        <f t="shared" si="73"/>
        <v>0.78311629565217444</v>
      </c>
      <c r="G85" s="93">
        <f t="shared" si="73"/>
        <v>0.16481286956521668</v>
      </c>
      <c r="H85" s="93">
        <f t="shared" si="73"/>
        <v>2.6209172173913036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5" sqref="O15:Q16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9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19.3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1.93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10"/>
        <v>3.3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3.3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3.3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1.7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19.3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8.6999999999999993</v>
      </c>
      <c r="AI228" s="62">
        <f t="shared" si="24"/>
        <v>3.3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1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2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8224</v>
      </c>
      <c r="AE20" s="64">
        <v>0</v>
      </c>
      <c r="AF20" s="64">
        <f>SUM(AD20:AE20)</f>
        <v>8224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8224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2</v>
      </c>
      <c r="W22" s="62">
        <f t="shared" si="22"/>
        <v>2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8224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3</v>
      </c>
      <c r="M71" s="173">
        <f>IF($AA71=0,99,IF(M84&gt;3,CdTrp1!L79,CdTrp1!L55))</f>
        <v>3</v>
      </c>
      <c r="N71" s="173">
        <f>IF($AA71=0,99,IF(N84&gt;3,CdTrp1!M79,CdTrp1!M55))</f>
        <v>3</v>
      </c>
      <c r="O71" s="173">
        <f>IF($AA71=0,99,IF(O84&gt;3,CdTrp1!N79,CdTrp1!N55))</f>
        <v>3</v>
      </c>
      <c r="P71" s="173">
        <f>IF($AA71=0,99,IF(P84&gt;3,CdTrp1!O79,CdTrp1!O55))</f>
        <v>3</v>
      </c>
      <c r="Q71" s="173">
        <f>IF($AA71=0,99,IF(Q84&gt;3,CdTrp1!P79,CdTrp1!P55))</f>
        <v>3</v>
      </c>
      <c r="R71" s="173">
        <f>IF($AA71=0,99,IF(R84&gt;3,CdTrp1!Q79,CdTrp1!Q55))</f>
        <v>3</v>
      </c>
      <c r="S71" s="173">
        <f>IF($AA71=0,99,IF(S84&gt;3,CdTrp1!R79,CdTrp1!R55))</f>
        <v>3</v>
      </c>
      <c r="T71" s="173">
        <f>IF($AA71=0,99,IF(T84&gt;3,CdTrp1!S79,CdTrp1!S55))</f>
        <v>3</v>
      </c>
      <c r="U71" s="173">
        <f>IF($AA71=0,99,IF(U84&gt;3,CdTrp1!T79,CdTrp1!T55))</f>
        <v>3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2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2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931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63</v>
      </c>
      <c r="AA5" s="173">
        <f t="shared" si="0"/>
        <v>49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874.48626086956529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31.740434782608695</v>
      </c>
      <c r="M9" s="30">
        <f t="shared" si="4"/>
        <v>31.694173913043478</v>
      </c>
      <c r="N9" s="30">
        <f t="shared" si="4"/>
        <v>31.647913043478262</v>
      </c>
      <c r="O9" s="30">
        <f t="shared" si="4"/>
        <v>31.555391304347829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29.89</v>
      </c>
      <c r="AA9" s="30">
        <f t="shared" si="4"/>
        <v>50.89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2624.4862608695653</v>
      </c>
      <c r="G13" s="30">
        <f>SUM(G5:G11)</f>
        <v>137.0642608695652</v>
      </c>
      <c r="H13" s="30">
        <f t="shared" ref="H13:AD13" si="8">SUM(H5:H11)</f>
        <v>136.9717391304348</v>
      </c>
      <c r="I13" s="30">
        <f t="shared" si="8"/>
        <v>142.12921739130434</v>
      </c>
      <c r="J13" s="30">
        <f t="shared" si="8"/>
        <v>156.08295652173913</v>
      </c>
      <c r="K13" s="30">
        <f t="shared" si="8"/>
        <v>156.0366956521739</v>
      </c>
      <c r="L13" s="30">
        <f t="shared" si="8"/>
        <v>152.4904347826087</v>
      </c>
      <c r="M13" s="30">
        <f t="shared" si="8"/>
        <v>141.94417391304347</v>
      </c>
      <c r="N13" s="30">
        <f t="shared" si="8"/>
        <v>141.89791304347827</v>
      </c>
      <c r="O13" s="30">
        <f t="shared" si="8"/>
        <v>138.30539130434784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134.88999999999999</v>
      </c>
      <c r="AA13" s="30">
        <f t="shared" si="8"/>
        <v>148.88999999999999</v>
      </c>
      <c r="AB13" s="30">
        <f t="shared" si="8"/>
        <v>144.0642608695652</v>
      </c>
      <c r="AC13" s="30">
        <f t="shared" si="8"/>
        <v>137.0642608695652</v>
      </c>
      <c r="AD13" s="30">
        <f t="shared" si="8"/>
        <v>137.0642608695652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17.37</v>
      </c>
      <c r="C55" s="190">
        <f>IF(B55&gt;[1]Trav!E121,[1]Trav!C121,[1]Trav!B121)</f>
        <v>7.2</v>
      </c>
      <c r="D55"/>
      <c r="E55" s="172"/>
      <c r="F55" s="173">
        <f t="shared" si="32"/>
        <v>125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1.9299999999999997</v>
      </c>
      <c r="C58" s="190">
        <f>IF(B58&gt;[1]Trav!E122,[1]Trav!C122,[1]Trav!B122)</f>
        <v>4.4000000000000004</v>
      </c>
      <c r="E58" s="172"/>
      <c r="F58" s="173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212</v>
      </c>
      <c r="BP63" s="173">
        <f>IF(BP18=0,0,IF(BP40=3,0,VALUE(CONCATENATE(Travail!BP29,Travail!BP40,Travail!BP51))))</f>
        <v>212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21</v>
      </c>
      <c r="BP74" s="173">
        <f t="shared" si="36"/>
        <v>21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91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7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390.5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22</v>
      </c>
      <c r="AA77" s="46">
        <f t="shared" si="43"/>
        <v>17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1.29</v>
      </c>
      <c r="C81" s="190">
        <f>[1]Protect!$B$10</f>
        <v>4</v>
      </c>
      <c r="D81" s="172"/>
      <c r="E81" s="172"/>
      <c r="F81" s="173">
        <f>ROUND(C81*B81*8,0)</f>
        <v>41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8.2240000000000002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1805.4862608695653</v>
      </c>
      <c r="C91" s="5"/>
      <c r="D91" s="202">
        <f>B91/Troupeau!$B$17</f>
        <v>5.9390995423340964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2498.4862608695653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304</v>
      </c>
      <c r="BP99" s="62">
        <f t="shared" si="68"/>
        <v>304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6.08</v>
      </c>
      <c r="BP100" s="173">
        <f t="shared" si="71"/>
        <v>6.08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5.08</v>
      </c>
      <c r="BP101" s="173">
        <f t="shared" si="74"/>
        <v>5.08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31.740434782608695</v>
      </c>
      <c r="BB102" s="62">
        <f t="shared" si="77"/>
        <v>31.694173913043478</v>
      </c>
      <c r="BC102" s="62">
        <f t="shared" si="77"/>
        <v>31.647913043478262</v>
      </c>
      <c r="BD102" s="62">
        <f t="shared" si="77"/>
        <v>31.555391304347829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29.89</v>
      </c>
      <c r="BP102" s="62">
        <f t="shared" si="77"/>
        <v>50.89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28</v>
      </c>
      <c r="BP109" s="190">
        <f>IF(BP63&gt;0,HLOOKUP(BP63,[1]Trav!$C$11:$O$31,$AU$105),0)</f>
        <v>28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63</v>
      </c>
      <c r="BP117" s="173">
        <f t="shared" si="83"/>
        <v>49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3353.6362608695654</v>
      </c>
      <c r="D118" s="202">
        <f>B118/Troupeau!$B$17</f>
        <v>11.031698226544624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783</v>
      </c>
      <c r="D119" s="202">
        <f>IF(B119=0,0,B119/Troupeau!$C$17)</f>
        <v>41.210526315789473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4136.6362608695654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299.5</v>
      </c>
    </row>
    <row r="126" spans="1:132" x14ac:dyDescent="0.25">
      <c r="A126" s="2" t="s">
        <v>872</v>
      </c>
      <c r="B126" s="30">
        <f>B114+B115+B116</f>
        <v>218.3</v>
      </c>
    </row>
    <row r="128" spans="1:132" x14ac:dyDescent="0.25">
      <c r="A128" s="2" t="s">
        <v>873</v>
      </c>
      <c r="B128" s="201">
        <f>SUM(B122:B126)</f>
        <v>5558.4362608695656</v>
      </c>
    </row>
    <row r="129" spans="1:2" x14ac:dyDescent="0.25">
      <c r="A129" s="2" t="s">
        <v>874</v>
      </c>
      <c r="B129" s="30">
        <f>IF(Scénario!K129=1,Travail!F77+Travail!F86,F86)</f>
        <v>558.5</v>
      </c>
    </row>
    <row r="130" spans="1:2" x14ac:dyDescent="0.25">
      <c r="A130" s="2" t="s">
        <v>875</v>
      </c>
      <c r="B130" s="201">
        <f>ROUND((B128-B129)/(Scénario!K4+Scénario!K6),0)</f>
        <v>3333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8383.2000000000007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114906.72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44.158999999999992</v>
      </c>
      <c r="C118" s="190">
        <f>IF(Scénario!$K$12="BV",[1]Eco!$B$78,IF(Scénario!$K$12="BL",[1]Eco!$B$77,[1]Eco!$B$76))</f>
        <v>223</v>
      </c>
      <c r="J118" s="173">
        <f>B118*C118</f>
        <v>9847.4569999999985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49.412499999999994</v>
      </c>
      <c r="C119" s="190">
        <f>[1]Eco!$B$79</f>
        <v>80</v>
      </c>
      <c r="J119" s="173">
        <f>B119*C119</f>
        <v>3952.9999999999995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8.6999999999999993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234.89999999999998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3.3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153.84599999999998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8139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780.16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53770.192999999999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19.3</v>
      </c>
      <c r="X153" t="s">
        <v>52</v>
      </c>
      <c r="Y153" s="173">
        <f>W153-Scénario!K28</f>
        <v>-4.1999999999999993</v>
      </c>
      <c r="Z153" s="173">
        <f>Y153-Y156</f>
        <v>-3.7799999999999994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-0.41999999999999993</v>
      </c>
      <c r="Z156" s="173">
        <f t="shared" si="68"/>
        <v>-0.41999999999999993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-3.7799999999999994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-136.83599999999998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-0.41999999999999993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-65.267999999999986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416.3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4425.2690000000002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72"/>
        <v>3.3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3.3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3.3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1.7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36061.805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25074.722000000002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16716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4221.9750976411951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9452.7469023588055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6302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19.3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8.6999999999999993</v>
      </c>
      <c r="AI228" s="62">
        <f t="shared" si="86"/>
        <v>3.3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8224</v>
      </c>
      <c r="U234" t="s">
        <v>1101</v>
      </c>
      <c r="V234" s="173"/>
      <c r="W234" s="173">
        <f>[1]Protect!$B$4</f>
        <v>6</v>
      </c>
      <c r="X234" s="173">
        <f>T234*W234</f>
        <v>49344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49744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34244</v>
      </c>
      <c r="AB237" s="30">
        <f>(Scénario!K127/100)*AA237</f>
        <v>0</v>
      </c>
      <c r="AC237" s="30">
        <f>AA237-AB237</f>
        <v>34244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4221.9750976411951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3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10479.52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10479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8383.2000000000007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8383.2000000000007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123.36</v>
      </c>
      <c r="U272" s="173"/>
      <c r="V272" s="173"/>
      <c r="W272" s="173">
        <f>W234</f>
        <v>6</v>
      </c>
      <c r="X272" s="173">
        <f>T272*W272</f>
        <v>740.16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Z1_OLBV_T3PT_MC1s1</v>
      </c>
      <c r="D1" s="275" t="str">
        <f>CONCATENATE(C1,"_corr")</f>
        <v>Z1_OLBV_T3PT_MC1s1_corr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19.3</v>
      </c>
      <c r="D85" s="261">
        <f>ROUND(C85*$D$82/$C$82,3)</f>
        <v>18.53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1.93</v>
      </c>
      <c r="D88" s="261">
        <f t="shared" si="14"/>
        <v>1.853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212</v>
      </c>
      <c r="BP124" s="173">
        <f>IF(BP78=0,0,IF(BP101=3,0,VALUE(CONCATENATE(Travail!BP29,Travail!BP40,Travail!BP51))))</f>
        <v>212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21</v>
      </c>
      <c r="BP135" s="173">
        <f t="shared" si="39"/>
        <v>21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0.49074074074074076</v>
      </c>
      <c r="D136" s="262">
        <f t="shared" si="25"/>
        <v>0.49074074074074076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291.87032418952617</v>
      </c>
      <c r="BP160" s="62">
        <f t="shared" si="83"/>
        <v>291.87032418952617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5.8374064837905237</v>
      </c>
      <c r="BP161" s="173">
        <f t="shared" si="86"/>
        <v>5.8374064837905237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4.8374064837905237</v>
      </c>
      <c r="BP162" s="173">
        <f t="shared" si="89"/>
        <v>4.8374064837905237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31.242063319960966</v>
      </c>
      <c r="BB163" s="62">
        <f t="shared" si="92"/>
        <v>31.197648270627781</v>
      </c>
      <c r="BC163" s="62">
        <f t="shared" si="92"/>
        <v>31.153233221294588</v>
      </c>
      <c r="BD163" s="62">
        <f t="shared" si="92"/>
        <v>31.064403122628214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29.465461346633418</v>
      </c>
      <c r="BP163" s="62">
        <f t="shared" si="92"/>
        <v>50.465461346633418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155.11500000000001</v>
      </c>
      <c r="D169" s="263">
        <f t="shared" si="50"/>
        <v>148.92587281795514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116.3062904394435</v>
      </c>
      <c r="D170" s="263">
        <f t="shared" si="50"/>
        <v>111.66564044684725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28</v>
      </c>
      <c r="BP170" s="190">
        <f>IF(BP124&gt;0,HLOOKUP(BP124,[1]Trav!$C$11:$O$31,$AU$166),0)</f>
        <v>28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99.540999999999997</v>
      </c>
      <c r="D171" s="263">
        <f t="shared" si="50"/>
        <v>95.569289276807979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38.808709560556508</v>
      </c>
      <c r="D173" s="263">
        <f t="shared" si="50"/>
        <v>37.260232371107868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75</v>
      </c>
      <c r="D174" s="263">
        <f t="shared" si="50"/>
        <v>72.007481296758101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-44.158999999999992</v>
      </c>
      <c r="D175" s="263">
        <f>C175*$D$82/$C$82</f>
        <v>-42.397044887780538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44.158999999999992</v>
      </c>
      <c r="D176" s="263">
        <f>C176*$D$82/$C$82</f>
        <v>42.397044887780538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83</v>
      </c>
      <c r="D178" s="173">
        <f>ROUND((D170+D171)/(D170+D172),2)*100</f>
        <v>83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63</v>
      </c>
      <c r="BP178" s="173">
        <f t="shared" si="98"/>
        <v>49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8224</v>
      </c>
      <c r="D183" s="264">
        <f>ROUND(D184*D185,0)</f>
        <v>7883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210</v>
      </c>
      <c r="D185" s="173">
        <f>C185</f>
        <v>210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9</v>
      </c>
      <c r="D189" s="173">
        <f t="shared" si="101"/>
        <v>9</v>
      </c>
      <c r="AH189" s="15"/>
      <c r="AJ189" s="14" t="s">
        <v>1114</v>
      </c>
      <c r="AK189" s="30">
        <f>D189</f>
        <v>9</v>
      </c>
      <c r="AO189" s="173">
        <f>ROUND((([1]Protect!$B$5/[1]Protect!$B$11)+[1]Protect!$B$8)*AK189,0)</f>
        <v>8139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1.11375</v>
      </c>
      <c r="E192" s="17" t="s">
        <v>1308</v>
      </c>
      <c r="I192" s="5"/>
      <c r="AN192" s="14" t="s">
        <v>1117</v>
      </c>
      <c r="AO192" s="173">
        <f>SUM(AO189:AO191)</f>
        <v>10479.52</v>
      </c>
    </row>
    <row r="193" spans="1:43" x14ac:dyDescent="0.25">
      <c r="B193" s="14" t="s">
        <v>1309</v>
      </c>
      <c r="C193" s="173">
        <f>(Travail!F75+Travail!F76+Travail!F81)/8</f>
        <v>19.5625</v>
      </c>
      <c r="D193" s="173">
        <f>C193</f>
        <v>19.5625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10479.52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8383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52989.2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118.245</v>
      </c>
      <c r="AK216" s="173"/>
      <c r="AL216" s="173"/>
      <c r="AM216" s="173">
        <f>'Calcul éco'!W272</f>
        <v>6</v>
      </c>
      <c r="AN216" s="173">
        <f>AJ216*AM216</f>
        <v>709.47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1967.576</v>
      </c>
      <c r="D217" s="261">
        <f t="shared" si="106"/>
        <v>1889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13800.456999999999</v>
      </c>
      <c r="D218" s="261">
        <f t="shared" si="106"/>
        <v>13250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8139</v>
      </c>
      <c r="D219" s="261">
        <f t="shared" si="106"/>
        <v>7814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780.16</v>
      </c>
      <c r="D220" s="264">
        <f>SUM(AN215:AN219)</f>
        <v>749.47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53770</v>
      </c>
      <c r="D221" s="264">
        <f>ROUND(SUM(D216:D220),0)</f>
        <v>51625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7883</v>
      </c>
      <c r="AL225" t="s">
        <v>1101</v>
      </c>
      <c r="AM225" s="173"/>
      <c r="AN225" s="173">
        <f>[1]Protect!$B$4</f>
        <v>6</v>
      </c>
      <c r="AO225" s="173">
        <f>AK225*AN225</f>
        <v>47298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47698</v>
      </c>
      <c r="AQ228" s="30">
        <f>IF(Scénario!K84=1,MIN(0.8*AO228,[1]Protect!$B$68),IF(Scénario!K84=2,MIN(0.8*AO228,[1]Protect!$B$67),0))</f>
        <v>15500</v>
      </c>
      <c r="AR228" s="30">
        <f>AO228-AQ228</f>
        <v>32198</v>
      </c>
      <c r="AS228" s="30">
        <f>(1-Scénario!K127/100)*AR228</f>
        <v>32198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-136.83599999999998</v>
      </c>
      <c r="D230" s="261">
        <f t="shared" si="109"/>
        <v>-131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-65.267999999999986</v>
      </c>
      <c r="D233" s="261">
        <f t="shared" si="109"/>
        <v>-63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4425.2690000000002</v>
      </c>
      <c r="D235" s="264">
        <f>(D191+D192)*8*[1]Eco!$B$106</f>
        <v>3020.0893000000005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36062</v>
      </c>
      <c r="D236" s="264">
        <f>ROUND(SUM(D222:D235),0)</f>
        <v>33711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25074.199999999997</v>
      </c>
      <c r="D237" s="264">
        <f>D194+D211-D221-D236</f>
        <v>27674</v>
      </c>
    </row>
    <row r="238" spans="1:49" x14ac:dyDescent="0.25">
      <c r="B238" s="211" t="s">
        <v>1090</v>
      </c>
      <c r="C238" s="173">
        <f>ROUND(C237/Scénario!$K$4,0)</f>
        <v>16716</v>
      </c>
      <c r="D238" s="264">
        <f>ROUND(D237/D83,0)</f>
        <v>13837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4221.9750976411951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9452</v>
      </c>
      <c r="D241" s="268">
        <f>ROUND(D237-D239-D240,0)</f>
        <v>16274</v>
      </c>
    </row>
    <row r="242" spans="1:15" x14ac:dyDescent="0.25">
      <c r="B242" s="211" t="s">
        <v>1094</v>
      </c>
      <c r="C242" s="173">
        <f>ROUND(C241/Scénario!K4,0)</f>
        <v>6301</v>
      </c>
      <c r="D242" s="264">
        <f>ROUND(D241/D83,0)</f>
        <v>8137</v>
      </c>
    </row>
    <row r="243" spans="1:15" x14ac:dyDescent="0.25">
      <c r="B243" s="211" t="s">
        <v>1357</v>
      </c>
      <c r="C243" s="173">
        <f>'Calcul éco'!X237+'Calcul éco'!X240</f>
        <v>49744</v>
      </c>
      <c r="D243" s="173">
        <f>C243</f>
        <v>49744</v>
      </c>
    </row>
    <row r="244" spans="1:15" x14ac:dyDescent="0.25">
      <c r="B244" s="211" t="s">
        <v>1358</v>
      </c>
      <c r="C244" s="173">
        <f>'Calcul éco'!AA237+'Calcul éco'!AA240</f>
        <v>34244</v>
      </c>
      <c r="D244" s="173">
        <f>C244</f>
        <v>34244</v>
      </c>
    </row>
    <row r="245" spans="1:15" x14ac:dyDescent="0.25">
      <c r="A245" s="2" t="s">
        <v>1359</v>
      </c>
      <c r="B245" s="14" t="s">
        <v>568</v>
      </c>
      <c r="C245" s="270">
        <f>Travail!F5</f>
        <v>931</v>
      </c>
      <c r="D245" s="173">
        <f>C245</f>
        <v>931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874.48626086956529</v>
      </c>
      <c r="D248" s="264">
        <f>ROUND(SUM(AV163:BS163),1)</f>
        <v>865.6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16.677000000000003</v>
      </c>
      <c r="L258" s="190">
        <f>IF(K258&gt;[1]Trav!E121,[1]Trav!C121,[1]Trav!B121)</f>
        <v>7.2</v>
      </c>
      <c r="N258" s="274"/>
      <c r="O258">
        <f t="shared" si="114"/>
        <v>120.07440000000003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1.853</v>
      </c>
      <c r="L261" s="190">
        <f>IF(K261&gt;[1]Trav!E122,[1]Trav!C122,[1]Trav!B122)</f>
        <v>4.4000000000000004</v>
      </c>
      <c r="M261" s="5"/>
      <c r="N261" s="274"/>
      <c r="O261">
        <f t="shared" si="114"/>
        <v>8.1532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125</v>
      </c>
      <c r="D267" s="264">
        <f t="shared" si="116"/>
        <v>120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8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8.91</v>
      </c>
    </row>
    <row r="277" spans="1:4" x14ac:dyDescent="0.25">
      <c r="B277" s="32" t="s">
        <v>1419</v>
      </c>
      <c r="C277" s="270">
        <f>Travail!F75+Travail!F81</f>
        <v>132</v>
      </c>
      <c r="D277" s="173">
        <f>C277</f>
        <v>132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3354</v>
      </c>
      <c r="D281" s="264">
        <f>ROUND(D245+D248+D251+D254+D257+D260+D261,0)</f>
        <v>3298</v>
      </c>
    </row>
    <row r="282" spans="1:4" x14ac:dyDescent="0.25">
      <c r="B282" s="14" t="s">
        <v>1372</v>
      </c>
      <c r="C282" s="173">
        <f>ROUND(C246+C249+C252+C255+C258,0)</f>
        <v>783</v>
      </c>
      <c r="D282" s="264">
        <f>ROUND(D246+D249+D252+D255+D258,0)</f>
        <v>779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11.03</v>
      </c>
      <c r="D284" s="173">
        <f>ROUND(D281/(Troupeau!$B$17*G63),2)</f>
        <v>11.3</v>
      </c>
    </row>
    <row r="285" spans="1:4" x14ac:dyDescent="0.25">
      <c r="B285" s="14" t="s">
        <v>1375</v>
      </c>
      <c r="C285" s="173">
        <f>IF(Troupeau!$C$17=0,0,ROUND(C282/Troupeau!$C$17,2))</f>
        <v>41.21</v>
      </c>
      <c r="D285" s="173">
        <f>IF(Troupeau!$C$17=0,0,ROUND(D282/Troupeau!$C$17*G63,2))</f>
        <v>39.36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4137</v>
      </c>
      <c r="D287" s="264">
        <f>SUM(D281:D283)</f>
        <v>4077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296</v>
      </c>
    </row>
    <row r="290" spans="2:4" x14ac:dyDescent="0.25">
      <c r="B290" s="14" t="s">
        <v>1421</v>
      </c>
      <c r="C290" s="270">
        <f>C275+C276+C277</f>
        <v>416.5</v>
      </c>
      <c r="D290" s="277">
        <f>D275+D276+D277</f>
        <v>416.11</v>
      </c>
    </row>
    <row r="291" spans="2:4" x14ac:dyDescent="0.25">
      <c r="B291" s="14" t="s">
        <v>1422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5650</v>
      </c>
      <c r="D292" s="264">
        <f>ROUND(SUM(D287:D291),0)</f>
        <v>5582</v>
      </c>
    </row>
    <row r="293" spans="2:4" x14ac:dyDescent="0.25">
      <c r="B293" s="14" t="s">
        <v>874</v>
      </c>
      <c r="C293" s="173">
        <f>ROUND(IF(Scénario!$K$129=1,SUM(C275:C280),SUM(C278:C280)),0)</f>
        <v>609</v>
      </c>
      <c r="D293" s="173">
        <f>ROUND(IF(Scénario!$K$129=1,SUM(D275:D280),SUM(D278:D280)),0)</f>
        <v>609</v>
      </c>
    </row>
    <row r="294" spans="2:4" x14ac:dyDescent="0.25">
      <c r="B294" s="14" t="s">
        <v>875</v>
      </c>
      <c r="C294" s="173">
        <f>ROUND((C292-C293)/C83,0)</f>
        <v>3361</v>
      </c>
      <c r="D294" s="173">
        <f>ROUND((D292-D293)/D83,0)</f>
        <v>2487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49344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3" activePane="bottomLeft" state="frozen"/>
      <selection pane="bottomLeft" activeCell="F54" sqref="F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3</v>
      </c>
      <c r="L55" s="60">
        <v>3</v>
      </c>
      <c r="M55" s="60">
        <v>3</v>
      </c>
      <c r="N55" s="60">
        <v>3</v>
      </c>
      <c r="O55" s="60">
        <v>3</v>
      </c>
      <c r="P55" s="60">
        <v>3</v>
      </c>
      <c r="Q55" s="60">
        <v>3</v>
      </c>
      <c r="R55" s="60">
        <v>3</v>
      </c>
      <c r="S55" s="60">
        <v>3</v>
      </c>
      <c r="T55" s="60">
        <v>3</v>
      </c>
      <c r="U55" s="60">
        <v>0</v>
      </c>
      <c r="V55" s="60">
        <v>0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35.212499999999999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8.6045217391304369</v>
      </c>
      <c r="C66" s="61">
        <f t="shared" si="21"/>
        <v>8.6045217391304369</v>
      </c>
      <c r="D66" s="61">
        <f t="shared" si="21"/>
        <v>7.7718260869565237</v>
      </c>
      <c r="E66" s="61">
        <f t="shared" si="21"/>
        <v>7.7718260869565237</v>
      </c>
      <c r="F66" s="61">
        <f t="shared" si="21"/>
        <v>8.6045217391304369</v>
      </c>
      <c r="G66" s="61">
        <f t="shared" si="21"/>
        <v>8.6045217391304369</v>
      </c>
      <c r="H66" s="61">
        <f t="shared" si="21"/>
        <v>8.3269565217391328</v>
      </c>
      <c r="I66" s="61">
        <f t="shared" si="21"/>
        <v>8.3269565217391328</v>
      </c>
      <c r="J66" s="61">
        <f t="shared" si="21"/>
        <v>8.6045217391304369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8.3269565217391328</v>
      </c>
      <c r="X66" s="61">
        <f t="shared" si="21"/>
        <v>8.6045217391304369</v>
      </c>
      <c r="Y66" s="61">
        <f t="shared" si="21"/>
        <v>8.6045217391304369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639</v>
      </c>
      <c r="C73" s="64">
        <f t="shared" ref="C73:Y73" si="28">ROUND(SUM(C63:C72),0)</f>
        <v>634</v>
      </c>
      <c r="D73" s="64">
        <f t="shared" si="28"/>
        <v>567</v>
      </c>
      <c r="E73" s="64">
        <f t="shared" si="28"/>
        <v>312</v>
      </c>
      <c r="F73" s="64">
        <f t="shared" si="28"/>
        <v>344</v>
      </c>
      <c r="G73" s="64">
        <f t="shared" si="28"/>
        <v>328</v>
      </c>
      <c r="H73" s="64">
        <f t="shared" si="28"/>
        <v>316</v>
      </c>
      <c r="I73" s="64">
        <f t="shared" si="28"/>
        <v>314</v>
      </c>
      <c r="J73" s="64">
        <f t="shared" si="28"/>
        <v>344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330</v>
      </c>
      <c r="V73" s="64">
        <f t="shared" si="28"/>
        <v>612</v>
      </c>
      <c r="W73" s="64">
        <f t="shared" si="28"/>
        <v>619</v>
      </c>
      <c r="X73" s="64">
        <f t="shared" si="28"/>
        <v>639</v>
      </c>
      <c r="Y73" s="64">
        <f t="shared" si="28"/>
        <v>639</v>
      </c>
      <c r="Z73" s="52"/>
      <c r="AA73" s="56">
        <f>ROUND(SUM(B73:Y73),0)</f>
        <v>7825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Y54" sqref="Y5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2023-01-09T10:03:35Z</dcterms:modified>
</cp:coreProperties>
</file>