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23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L33" i="29"/>
  <c r="K33" i="29"/>
  <c r="I33" i="29"/>
  <c r="C33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I92" i="30" s="1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16" i="30" l="1"/>
  <c r="CX91" i="30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L72" i="30" s="1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W72" i="30" l="1"/>
  <c r="Q72" i="30"/>
  <c r="M8" i="29"/>
  <c r="X8" i="29"/>
  <c r="AB72" i="30"/>
  <c r="U72" i="30"/>
  <c r="Q8" i="29"/>
  <c r="Q201" i="29" s="1"/>
  <c r="Z8" i="29"/>
  <c r="Z201" i="29" s="1"/>
  <c r="AD72" i="30"/>
  <c r="V72" i="30"/>
  <c r="R8" i="29"/>
  <c r="P72" i="30"/>
  <c r="L8" i="29"/>
  <c r="L201" i="29" s="1"/>
  <c r="N72" i="30"/>
  <c r="J8" i="29"/>
  <c r="N8" i="29"/>
  <c r="N201" i="29" s="1"/>
  <c r="R72" i="30"/>
  <c r="O8" i="29"/>
  <c r="S72" i="30"/>
  <c r="O72" i="30"/>
  <c r="K8" i="29"/>
  <c r="K201" i="29" s="1"/>
  <c r="G72" i="30"/>
  <c r="C8" i="29"/>
  <c r="C201" i="29" s="1"/>
  <c r="C212" i="29" s="1"/>
  <c r="AC72" i="30"/>
  <c r="M72" i="30"/>
  <c r="I8" i="29"/>
  <c r="P8" i="29"/>
  <c r="T72" i="30"/>
  <c r="U8" i="29"/>
  <c r="U201" i="29" s="1"/>
  <c r="Y72" i="30"/>
  <c r="I72" i="30"/>
  <c r="E8" i="29"/>
  <c r="E201" i="29" s="1"/>
  <c r="E212" i="29" s="1"/>
  <c r="X72" i="30"/>
  <c r="T8" i="29"/>
  <c r="H72" i="30"/>
  <c r="D8" i="29"/>
  <c r="S8" i="29"/>
  <c r="S201" i="29" s="1"/>
  <c r="F8" i="29"/>
  <c r="F201" i="29" s="1"/>
  <c r="J72" i="30"/>
  <c r="AA72" i="30"/>
  <c r="G8" i="29"/>
  <c r="G201" i="29" s="1"/>
  <c r="K72" i="30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P201" i="29"/>
  <c r="I201" i="29"/>
  <c r="M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7" i="30"/>
  <c r="CD86" i="30"/>
  <c r="CC86" i="30"/>
  <c r="CC87" i="30"/>
  <c r="CB87" i="30"/>
  <c r="CB86" i="30"/>
  <c r="CF86" i="30"/>
  <c r="CF87" i="30"/>
  <c r="CE86" i="30"/>
  <c r="CE87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D230" i="33" l="1"/>
  <c r="F10" i="30"/>
  <c r="C249" i="33" s="1"/>
  <c r="C270" i="33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8" i="33" l="1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54" i="33"/>
  <c r="BC78" i="33"/>
  <c r="BC135" i="33" s="1"/>
  <c r="BC154" i="33"/>
  <c r="AZ78" i="33"/>
  <c r="AZ124" i="33" s="1"/>
  <c r="AZ170" i="33" s="1"/>
  <c r="AZ154" i="33"/>
  <c r="BB78" i="33"/>
  <c r="BB135" i="33" s="1"/>
  <c r="BB154" i="33"/>
  <c r="BA78" i="33"/>
  <c r="BA154" i="33"/>
  <c r="BO78" i="33"/>
  <c r="BO154" i="33"/>
  <c r="BQ78" i="33"/>
  <c r="BQ124" i="33" s="1"/>
  <c r="BQ170" i="33" s="1"/>
  <c r="BQ154" i="33"/>
  <c r="AX78" i="33"/>
  <c r="AX124" i="33" s="1"/>
  <c r="AX170" i="33" s="1"/>
  <c r="AX154" i="33"/>
  <c r="AV78" i="33"/>
  <c r="AV154" i="33"/>
  <c r="BR78" i="33"/>
  <c r="BR124" i="33" s="1"/>
  <c r="BR170" i="33" s="1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B130" i="33"/>
  <c r="BB176" i="33" s="1"/>
  <c r="BB141" i="33"/>
  <c r="CM125" i="33"/>
  <c r="CM171" i="33" s="1"/>
  <c r="CM136" i="33"/>
  <c r="BC124" i="33"/>
  <c r="BC170" i="33" s="1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R135" i="33" l="1"/>
  <c r="BQ135" i="33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BJ143" i="33" l="1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201" i="24" l="1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71" i="33" l="1"/>
  <c r="D159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T10" i="7"/>
  <c r="V22" i="7"/>
  <c r="T22" i="7"/>
  <c r="BB24" i="29" s="1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BB25" i="29" s="1"/>
  <c r="U15" i="7"/>
  <c r="V6" i="7"/>
  <c r="V15" i="7"/>
  <c r="V4" i="7"/>
  <c r="T4" i="7"/>
  <c r="U4" i="7"/>
  <c r="V9" i="7"/>
  <c r="T9" i="7"/>
  <c r="T8" i="7"/>
  <c r="V8" i="7"/>
  <c r="U7" i="7"/>
  <c r="BC9" i="29" s="1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AQ228" i="33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C237" i="33" l="1"/>
  <c r="D237" i="33"/>
  <c r="D241" i="33" s="1"/>
  <c r="D242" i="33" s="1"/>
  <c r="D157" i="33"/>
  <c r="C241" i="33"/>
  <c r="C174" i="33"/>
  <c r="D173" i="33"/>
  <c r="B180" i="31"/>
  <c r="B181" i="31" s="1"/>
  <c r="B175" i="31"/>
  <c r="C238" i="33" l="1"/>
  <c r="D238" i="33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<sst xmlns="http://schemas.openxmlformats.org/spreadsheetml/2006/main" count="3098" uniqueCount="1464">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</sst>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2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48.710499999999996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161.62437024659135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</v>
      </c>
      <c r="L5" s="143">
        <f>CdTrp1!G215+CdTrp2!G215+CdTrp3!G215+CdTrp4!G215</f>
        <v>5.43085718852174</v>
      </c>
      <c r="M5" s="143">
        <f>CdTrp1!H215+CdTrp2!H215+CdTrp3!H215+CdTrp4!H215</f>
        <v>7.6314436617391337</v>
      </c>
      <c r="N5" s="143">
        <f>CdTrp1!I215+CdTrp2!I215+CdTrp3!I215+CdTrp4!I215</f>
        <v>7.6085906765217395</v>
      </c>
      <c r="O5" s="143">
        <f>CdTrp1!J215+CdTrp2!J215+CdTrp3!J215+CdTrp4!J215</f>
        <v>5.4266094229565223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2.5483915950956533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149.29258497857393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1.286376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1.24488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1.3979363999999999</v>
      </c>
      <c r="AB6" s="143">
        <f>CdTrp1!W216+CdTrp2!W216+CdTrp3!W216+CdTrp4!W216</f>
        <v>1.4252279999999999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149.69999999999999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9.5619097486956566</v>
      </c>
      <c r="N8" s="143">
        <f t="shared" si="0"/>
        <v>9.5390567634782624</v>
      </c>
      <c r="O8" s="143">
        <f t="shared" si="0"/>
        <v>9.75195012947826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5.1320283150956527</v>
      </c>
      <c r="Z8" s="143">
        <f t="shared" si="0"/>
        <v>6.3175624753043484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110.81176298205219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47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25.5</v>
      </c>
      <c r="H18" s="158">
        <f>G18/G17</f>
        <v>0.54255319148936165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12.5</v>
      </c>
      <c r="H19" s="158">
        <f>G19/G17</f>
        <v>0.26595744680851063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0.11702127659574468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2"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9.5619097486956566</v>
      </c>
      <c r="AZ5" s="13">
        <f>'Conduite Trp'!N8</f>
        <v>9.5390567634782624</v>
      </c>
      <c r="BA5" s="13">
        <f>'Conduite Trp'!O8</f>
        <v>9.75195012947826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5.1320283150956527</v>
      </c>
      <c r="BL5" s="13">
        <f>'Conduite Trp'!Z8</f>
        <v>6.3175624753043484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2.5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8.25</v>
      </c>
      <c r="AF7" s="61">
        <f t="shared" ref="AF7:AF26" si="1">$R7*W7</f>
        <v>7.5</v>
      </c>
      <c r="AG7" s="61">
        <f t="shared" ref="AG7:AG26" si="2">$R7*X7</f>
        <v>5.75</v>
      </c>
      <c r="AH7" s="61">
        <f t="shared" ref="AH7:AH26" si="3">$R7*Y7</f>
        <v>1.25</v>
      </c>
      <c r="AI7" s="61">
        <f t="shared" ref="AI7:AI26" si="4">$R7*Z7</f>
        <v>1.75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9.5619097486956566</v>
      </c>
      <c r="AZ7" s="61">
        <f t="shared" si="7"/>
        <v>9.5390567634782624</v>
      </c>
      <c r="BA7" s="61">
        <f t="shared" si="7"/>
        <v>9.75195012947826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51.563139994434792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48.710499999999996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18.700000000000003</v>
      </c>
      <c r="P8">
        <v>2</v>
      </c>
      <c r="Q8" s="39">
        <v>241</v>
      </c>
      <c r="R8" s="39">
        <v>9.1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13.649999999999999</v>
      </c>
      <c r="AF8" s="61">
        <f t="shared" si="1"/>
        <v>0</v>
      </c>
      <c r="AG8" s="61">
        <f t="shared" si="2"/>
        <v>6.8249999999999993</v>
      </c>
      <c r="AH8" s="61">
        <f t="shared" si="3"/>
        <v>6.8249999999999993</v>
      </c>
      <c r="AI8" s="61">
        <f t="shared" si="4"/>
        <v>9.1</v>
      </c>
      <c r="AJ8" s="61">
        <f t="shared" si="5"/>
        <v>0</v>
      </c>
      <c r="AK8" s="141"/>
      <c r="AL8" s="61">
        <f t="shared" si="6"/>
        <v>45.5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48.710499999999996</v>
      </c>
      <c r="G9" s="81"/>
      <c r="H9" s="61">
        <f>SUM(L34:L43)</f>
        <v>0</v>
      </c>
      <c r="I9" s="81"/>
      <c r="J9" s="81"/>
      <c r="K9" s="93">
        <f>H9-F9</f>
        <v>-48.710499999999996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5.1320283150956527</v>
      </c>
      <c r="BL9" s="61">
        <f t="shared" si="10"/>
        <v>6.3175624753043484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26.726053233878261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2.1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3.7800000000000002</v>
      </c>
      <c r="AF11" s="61">
        <f t="shared" si="1"/>
        <v>2.52</v>
      </c>
      <c r="AG11" s="61">
        <f t="shared" si="2"/>
        <v>3.7800000000000002</v>
      </c>
      <c r="AH11" s="61">
        <f t="shared" si="3"/>
        <v>1.05</v>
      </c>
      <c r="AI11" s="61">
        <f t="shared" si="4"/>
        <v>1.47</v>
      </c>
      <c r="AJ11" s="61">
        <f t="shared" si="5"/>
        <v>0</v>
      </c>
      <c r="AK11" s="141"/>
      <c r="AL11" s="61">
        <f t="shared" si="6"/>
        <v>7.9799999999999995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23.000000000000004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</v>
      </c>
      <c r="AX15" s="13">
        <f>'Conduite Trp'!L5</f>
        <v>5.43085718852174</v>
      </c>
      <c r="AY15" s="13">
        <f>'Conduite Trp'!M5</f>
        <v>7.6314436617391337</v>
      </c>
      <c r="AZ15" s="13">
        <f>'Conduite Trp'!N5</f>
        <v>7.6085906765217395</v>
      </c>
      <c r="BA15" s="13">
        <f>'Conduite Trp'!O5</f>
        <v>5.4266094229565223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2.5483915950956533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1.286376</v>
      </c>
      <c r="AX16" s="13">
        <f>'Conduite Trp'!L6</f>
        <v>1.286376</v>
      </c>
      <c r="AY16" s="13">
        <f>'Conduite Trp'!M6</f>
        <v>1.24488</v>
      </c>
      <c r="AZ16" s="13">
        <f>'Conduite Trp'!N6</f>
        <v>1.24488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</v>
      </c>
      <c r="BM16" s="13">
        <f>'Conduite Trp'!AA6</f>
        <v>1.3979363999999999</v>
      </c>
      <c r="BN16" s="13">
        <f>'Conduite Trp'!AB6</f>
        <v>1.4252279999999999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7.6314436617391337</v>
      </c>
      <c r="AZ19" s="61">
        <f t="shared" si="15"/>
        <v>7.6085906765217395</v>
      </c>
      <c r="BA19" s="61">
        <f t="shared" si="15"/>
        <v>5.4266094229565223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32.759510364000008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2.5483915950956533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11.579757543443479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</v>
      </c>
      <c r="AX23" s="61">
        <f t="shared" si="20"/>
        <v>5.43085718852174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6.7106178841739137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52.629999999999995</v>
      </c>
      <c r="E24" s="61">
        <f t="shared" si="21"/>
        <v>19.694999999999997</v>
      </c>
      <c r="F24" s="61">
        <f t="shared" si="21"/>
        <v>37.085000000000001</v>
      </c>
      <c r="G24" s="61">
        <f t="shared" si="21"/>
        <v>17.006</v>
      </c>
      <c r="H24" s="61">
        <f t="shared" si="21"/>
        <v>25.890999999999998</v>
      </c>
      <c r="I24" s="61">
        <f t="shared" si="21"/>
        <v>0</v>
      </c>
      <c r="J24" s="63"/>
      <c r="K24" s="61">
        <f>AL27+AL49+AL71</f>
        <v>103.58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51.563139994434792</v>
      </c>
      <c r="E25" s="61">
        <f>BR8</f>
        <v>18.988566130434783</v>
      </c>
      <c r="F25" s="61">
        <f>BR9</f>
        <v>26.726053233878261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149.69999999999999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1.0668600055652036</v>
      </c>
      <c r="E27" s="93">
        <f t="shared" si="23"/>
        <v>0.70643386956521326</v>
      </c>
      <c r="F27" s="93">
        <f t="shared" si="23"/>
        <v>10.35894676612174</v>
      </c>
      <c r="G27" s="93">
        <f t="shared" si="23"/>
        <v>14.172244173913043</v>
      </c>
      <c r="H27" s="93">
        <f t="shared" si="23"/>
        <v>15.190752202782607</v>
      </c>
      <c r="I27" s="93">
        <f t="shared" si="23"/>
        <v>0</v>
      </c>
      <c r="J27" s="63"/>
      <c r="K27" s="93">
        <f>K24-K25</f>
        <v>-46.11999999999999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33.18</v>
      </c>
      <c r="AF27" s="75">
        <f t="shared" ref="AF27:AJ27" si="24">SUM(AF7:AF26)</f>
        <v>10.02</v>
      </c>
      <c r="AG27" s="75">
        <f t="shared" si="24"/>
        <v>20.105</v>
      </c>
      <c r="AH27" s="75">
        <f t="shared" si="24"/>
        <v>12.875</v>
      </c>
      <c r="AI27" s="75">
        <f t="shared" si="24"/>
        <v>17.619999999999997</v>
      </c>
      <c r="AJ27" s="75">
        <f t="shared" si="24"/>
        <v>0</v>
      </c>
      <c r="AK27"/>
      <c r="AL27" s="75">
        <f>SUM(AL7:AL26)</f>
        <v>69.83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1.24488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16.7240185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</v>
      </c>
      <c r="BM29" s="61">
        <f t="shared" si="35"/>
        <v>1.3979363999999999</v>
      </c>
      <c r="BN29" s="61">
        <f t="shared" si="35"/>
        <v>1.4252279999999999</v>
      </c>
      <c r="BO29" s="61">
        <f t="shared" si="35"/>
        <v>0</v>
      </c>
      <c r="BP29" s="61">
        <f t="shared" si="35"/>
        <v>0</v>
      </c>
      <c r="BR29" s="61">
        <f t="shared" si="27"/>
        <v>9.1501643999999995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1.286376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2.5727519999999999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33.18</v>
      </c>
      <c r="E72" s="61">
        <f t="shared" ref="E72:H72" si="69">AF27</f>
        <v>10.02</v>
      </c>
      <c r="F72" s="61">
        <f t="shared" si="69"/>
        <v>20.105</v>
      </c>
      <c r="G72" s="61">
        <f t="shared" si="69"/>
        <v>12.875</v>
      </c>
      <c r="H72" s="61">
        <f t="shared" si="69"/>
        <v>17.619999999999997</v>
      </c>
      <c r="I72" s="61">
        <f t="shared" ref="I72" si="70">AJ75+AJ97+AJ119</f>
        <v>0</v>
      </c>
      <c r="J72" s="63"/>
      <c r="K72" s="61">
        <f>+K24</f>
        <v>103.58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32.759510364000008</v>
      </c>
      <c r="E73" s="61">
        <f>BR20</f>
        <v>11.512536380434783</v>
      </c>
      <c r="F73" s="61">
        <f>BR21</f>
        <v>11.579757543443479</v>
      </c>
      <c r="G73" s="61">
        <f>BR22</f>
        <v>2.8337558260869566</v>
      </c>
      <c r="H73" s="61">
        <f>BR23</f>
        <v>6.7106178841739137</v>
      </c>
      <c r="I73" s="61">
        <f>BR60</f>
        <v>0</v>
      </c>
      <c r="J73" s="63"/>
      <c r="K73" s="76">
        <f>+K25</f>
        <v>149.69999999999999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0.42048963599999212</v>
      </c>
      <c r="E75" s="93">
        <f t="shared" ref="E75:I75" si="71">E72-E73</f>
        <v>-1.4925363804347835</v>
      </c>
      <c r="F75" s="93">
        <f t="shared" si="71"/>
        <v>8.525242456556521</v>
      </c>
      <c r="G75" s="93">
        <f t="shared" si="71"/>
        <v>10.041244173913043</v>
      </c>
      <c r="H75" s="93">
        <f t="shared" si="71"/>
        <v>10.909382115826084</v>
      </c>
      <c r="I75" s="93">
        <f t="shared" si="71"/>
        <v>0</v>
      </c>
      <c r="J75" s="63"/>
      <c r="K75" s="93">
        <f>+K27</f>
        <v>-46.11999999999999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16.7240185</v>
      </c>
      <c r="E83" s="61">
        <f>BR28</f>
        <v>7.4760297499999986</v>
      </c>
      <c r="F83" s="61">
        <f>BR29</f>
        <v>9.1501643999999995</v>
      </c>
      <c r="G83" s="61">
        <f>BR30</f>
        <v>0</v>
      </c>
      <c r="H83" s="61">
        <f>BR31</f>
        <v>2.5727519999999999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0.57598149999999748</v>
      </c>
      <c r="E85" s="93">
        <f t="shared" ref="E85:H85" si="73">E82-E83</f>
        <v>1.1239702500000011</v>
      </c>
      <c r="F85" s="93">
        <f t="shared" si="73"/>
        <v>1.4398356000000003</v>
      </c>
      <c r="G85" s="93">
        <f t="shared" si="73"/>
        <v>3.1849999999999996</v>
      </c>
      <c r="H85" s="93">
        <f t="shared" si="73"/>
        <v>4.7522479999999998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0.94599999999999995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topLeftCell="A3" zoomScale="80" workbookViewId="0">
      <selection activeCell="O15" sqref="O15:Q16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5457.8290163783731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5457.8290163783731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29.8</v>
      </c>
      <c r="H66" s="170"/>
      <c r="I66" s="170">
        <f>SUMIF(Parcellaire!$B$2:$B$65,1,Parcellaire!I2:I65)</f>
        <v>34</v>
      </c>
      <c r="J66" s="170">
        <f>SUMIF(Parcellaire!$B$2:$B$65,1,Parcellaire!J2:J65)</f>
        <v>8</v>
      </c>
      <c r="K66" s="170">
        <f>SUMIF(Parcellaire!$B$2:$B$65,1,Parcellaire!K2:K65)</f>
        <v>32.010000000000005</v>
      </c>
      <c r="L66" s="170">
        <f>SUMIF(Parcellaire!$B$2:$B$65,1,Parcellaire!L2:L65)</f>
        <v>36.132000000000005</v>
      </c>
      <c r="M66" s="170">
        <f>SUMIF(Parcellaire!$B$2:$B$65,1,Parcellaire!M2:M65)</f>
        <v>1339.6217754484478</v>
      </c>
      <c r="N66" s="170">
        <f>SUMIF(Parcellaire!$B$2:$B$65,1,Parcellaire!N2:N65)</f>
        <v>78</v>
      </c>
      <c r="O66" s="170">
        <f>SUMIF(Parcellaire!$B$2:$B$65,1,Parcellaire!O2:O65)</f>
        <v>66</v>
      </c>
      <c r="P66" s="170">
        <f>SUMIF(Parcellaire!$B$2:$B$65,1,Parcellaire!P2:P65)</f>
        <v>0</v>
      </c>
      <c r="Q66" s="170">
        <f>SUMIF(Parcellaire!$B$2:$B$65,1,Parcellaire!Q2:Q65)</f>
        <v>39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5457.8290163783731</v>
      </c>
      <c r="U66" s="170">
        <f>SUMIF(Parcellaire!$B$2:$B$65,1,Parcellaire!U2:U65)</f>
        <v>5159.8032726246274</v>
      </c>
      <c r="V66" s="170">
        <f>SUMIF(Parcellaire!$B$2:$B$65,1,Parcellaire!V2:V65)</f>
        <v>8037.7306526906868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5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21.2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14.1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23.000000000000004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2.12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29.000000000000004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2.5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9.1</v>
      </c>
      <c r="T165" s="173">
        <f>VLOOKUP(R165,[1]MEP!$A$4:$M$300,13)</f>
        <v>2</v>
      </c>
      <c r="U165" s="173">
        <f t="shared" ref="U165:U207" si="10">IF($T165&gt;0,$S165,0)</f>
        <v>9.1</v>
      </c>
      <c r="V165" s="173">
        <f t="shared" ref="V165:V207" si="11">IF($T165&gt;1,$S165,0)</f>
        <v>9.1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9.1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9.1</v>
      </c>
      <c r="AL165" s="5"/>
      <c r="AN165" s="32" t="s">
        <v>659</v>
      </c>
      <c r="AO165" s="173">
        <f>SUM(AD164:AD183)</f>
        <v>18.700000000000003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10"/>
        <v>2.1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2.1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2.1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28.000000000000004</v>
      </c>
      <c r="U228" s="62">
        <f>SUM(U164:U227)</f>
        <v>21.2</v>
      </c>
      <c r="V228" s="62">
        <f t="shared" ref="V228:W228" si="22">SUM(V164:V227)</f>
        <v>14.1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23.000000000000004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6.8</v>
      </c>
      <c r="AI228" s="62">
        <f t="shared" si="24"/>
        <v>7.1</v>
      </c>
      <c r="AJ228" s="62">
        <f t="shared" si="24"/>
        <v>9.1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5458</v>
      </c>
      <c r="AQ4">
        <f>SUM(BJ31:BL31)</f>
        <v>29.799999999999997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2</v>
      </c>
      <c r="H8" s="177">
        <f>(H3+H4)*[1]Protect!$B$12</f>
        <v>2</v>
      </c>
      <c r="I8" s="177">
        <f>(I3+I4)*[1]Protect!$B$12</f>
        <v>2</v>
      </c>
      <c r="J8" s="177">
        <f>(J3+J4)*[1]Protect!$B$12</f>
        <v>2</v>
      </c>
      <c r="K8" s="177">
        <f>(K3+K4)*[1]Protect!$B$12</f>
        <v>2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2</v>
      </c>
      <c r="W8" s="177">
        <f>(W3+W4)*[1]Protect!$B$12</f>
        <v>0</v>
      </c>
      <c r="X8" s="177">
        <f>(X3+X4)*[1]Protect!$B$12</f>
        <v>0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5</v>
      </c>
      <c r="H11" s="177">
        <f t="shared" si="14"/>
        <v>5</v>
      </c>
      <c r="I11" s="177">
        <f t="shared" si="14"/>
        <v>5</v>
      </c>
      <c r="J11" s="177">
        <f t="shared" si="14"/>
        <v>5</v>
      </c>
      <c r="K11" s="177">
        <f t="shared" si="14"/>
        <v>5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5</v>
      </c>
      <c r="W11" s="177">
        <f t="shared" si="14"/>
        <v>3</v>
      </c>
      <c r="X11" s="177">
        <f t="shared" si="14"/>
        <v>3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5</v>
      </c>
      <c r="H13" s="177">
        <f t="shared" si="15"/>
        <v>5</v>
      </c>
      <c r="I13" s="177">
        <f t="shared" si="15"/>
        <v>5</v>
      </c>
      <c r="J13" s="177">
        <f t="shared" si="15"/>
        <v>5</v>
      </c>
      <c r="K13" s="177">
        <f t="shared" si="15"/>
        <v>5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5</v>
      </c>
      <c r="W13" s="177">
        <f t="shared" si="15"/>
        <v>3</v>
      </c>
      <c r="X13" s="177">
        <f t="shared" si="15"/>
        <v>3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1</v>
      </c>
      <c r="D15" s="173">
        <f t="shared" si="16"/>
        <v>1</v>
      </c>
      <c r="E15" s="173">
        <f t="shared" si="16"/>
        <v>1</v>
      </c>
      <c r="F15" s="173">
        <f t="shared" si="16"/>
        <v>1</v>
      </c>
      <c r="G15" s="173">
        <f t="shared" si="16"/>
        <v>1</v>
      </c>
      <c r="H15" s="173">
        <f t="shared" si="16"/>
        <v>1</v>
      </c>
      <c r="I15" s="173">
        <f t="shared" si="16"/>
        <v>1</v>
      </c>
      <c r="J15" s="173">
        <f t="shared" si="16"/>
        <v>1</v>
      </c>
      <c r="K15" s="173">
        <f t="shared" si="16"/>
        <v>1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1</v>
      </c>
      <c r="X15" s="173">
        <f t="shared" si="16"/>
        <v>1</v>
      </c>
      <c r="Y15" s="173">
        <f t="shared" si="16"/>
        <v>1</v>
      </c>
      <c r="Z15" s="173">
        <f t="shared" si="16"/>
        <v>1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1</v>
      </c>
      <c r="I17" s="173">
        <f t="shared" si="18"/>
        <v>1</v>
      </c>
      <c r="J17" s="173">
        <f t="shared" si="18"/>
        <v>1</v>
      </c>
      <c r="K17" s="173">
        <f t="shared" si="18"/>
        <v>1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2</v>
      </c>
      <c r="D18" s="62">
        <f t="shared" ref="D18:Z18" si="19">IF(AND(D15=0,(D16+D17)&gt;0),1,IF(AND(D15&gt;0,(D16+D17)&gt;0),D15+1,D15))</f>
        <v>2</v>
      </c>
      <c r="E18" s="62">
        <f t="shared" si="19"/>
        <v>2</v>
      </c>
      <c r="F18" s="62">
        <f t="shared" si="19"/>
        <v>2</v>
      </c>
      <c r="G18" s="62">
        <f t="shared" si="19"/>
        <v>2</v>
      </c>
      <c r="H18" s="62">
        <f t="shared" si="19"/>
        <v>2</v>
      </c>
      <c r="I18" s="62">
        <f t="shared" si="19"/>
        <v>2</v>
      </c>
      <c r="J18" s="62">
        <f t="shared" si="19"/>
        <v>2</v>
      </c>
      <c r="K18" s="62">
        <f t="shared" si="19"/>
        <v>2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2</v>
      </c>
      <c r="X18" s="62">
        <f t="shared" si="19"/>
        <v>2</v>
      </c>
      <c r="Y18" s="62">
        <f t="shared" si="19"/>
        <v>2</v>
      </c>
      <c r="Z18" s="62">
        <f t="shared" si="19"/>
        <v>2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5458</v>
      </c>
      <c r="AE20" s="64">
        <v>0</v>
      </c>
      <c r="AF20" s="64">
        <f>SUM(AD20:AE20)</f>
        <v>5458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5458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2</v>
      </c>
      <c r="D22" s="62">
        <f t="shared" ref="D22:Z22" si="22">D18+D19+D21</f>
        <v>2</v>
      </c>
      <c r="E22" s="62">
        <f t="shared" si="22"/>
        <v>2</v>
      </c>
      <c r="F22" s="62">
        <f t="shared" si="22"/>
        <v>2</v>
      </c>
      <c r="G22" s="62">
        <f t="shared" si="22"/>
        <v>2</v>
      </c>
      <c r="H22" s="62">
        <f t="shared" si="22"/>
        <v>2</v>
      </c>
      <c r="I22" s="62">
        <f t="shared" si="22"/>
        <v>2</v>
      </c>
      <c r="J22" s="62">
        <f t="shared" si="22"/>
        <v>2</v>
      </c>
      <c r="K22" s="62">
        <f t="shared" si="22"/>
        <v>2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2</v>
      </c>
      <c r="W22" s="62">
        <f t="shared" si="22"/>
        <v>2</v>
      </c>
      <c r="X22" s="62">
        <f t="shared" si="22"/>
        <v>2</v>
      </c>
      <c r="Y22" s="62">
        <f t="shared" si="22"/>
        <v>2</v>
      </c>
      <c r="Z22" s="62">
        <f t="shared" si="22"/>
        <v>2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5458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29.799999999999997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11.1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2</v>
      </c>
      <c r="D180" s="173">
        <f>IF(Troupeau!$B$3="OL",Protection!D18,0)</f>
        <v>2</v>
      </c>
      <c r="E180" s="173">
        <f>IF(Troupeau!$B$3="OL",Protection!E18,0)</f>
        <v>2</v>
      </c>
      <c r="F180" s="173">
        <f>IF(Troupeau!$B$3="OL",Protection!F18,0)</f>
        <v>2</v>
      </c>
      <c r="G180" s="173">
        <f>IF(Troupeau!$B$3="OL",Protection!G18,0)</f>
        <v>2</v>
      </c>
      <c r="H180" s="173">
        <f>IF(Troupeau!$B$3="OL",Protection!H18,0)</f>
        <v>2</v>
      </c>
      <c r="I180" s="173">
        <f>IF(Troupeau!$B$3="OL",Protection!I18,0)</f>
        <v>2</v>
      </c>
      <c r="J180" s="173">
        <f>IF(Troupeau!$B$3="OL",Protection!J18,0)</f>
        <v>2</v>
      </c>
      <c r="K180" s="173">
        <f>IF(Troupeau!$B$3="OL",Protection!K18,0)</f>
        <v>2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2</v>
      </c>
      <c r="X180" s="173">
        <f>IF(Troupeau!$B$3="OL",Protection!X18,0)</f>
        <v>2</v>
      </c>
      <c r="Y180" s="173">
        <f>IF(Troupeau!$B$3="OL",Protection!Y18,0)</f>
        <v>2</v>
      </c>
      <c r="Z180" s="173">
        <f>IF(Troupeau!$B$3="OL",Protection!Z18,0)</f>
        <v>2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2</v>
      </c>
      <c r="D195" s="173">
        <f t="shared" ref="D195:Z196" si="50">D180+D183+D185+D187</f>
        <v>2</v>
      </c>
      <c r="E195" s="173">
        <f t="shared" si="50"/>
        <v>2</v>
      </c>
      <c r="F195" s="173">
        <f t="shared" si="50"/>
        <v>2</v>
      </c>
      <c r="G195" s="173">
        <f t="shared" si="50"/>
        <v>2</v>
      </c>
      <c r="H195" s="173">
        <f t="shared" si="50"/>
        <v>2</v>
      </c>
      <c r="I195" s="173">
        <f t="shared" si="50"/>
        <v>2</v>
      </c>
      <c r="J195" s="173">
        <f t="shared" si="50"/>
        <v>2</v>
      </c>
      <c r="K195" s="173">
        <f t="shared" si="50"/>
        <v>2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2</v>
      </c>
      <c r="X195" s="173">
        <f t="shared" si="50"/>
        <v>2</v>
      </c>
      <c r="Y195" s="173">
        <f t="shared" si="50"/>
        <v>2</v>
      </c>
      <c r="Z195" s="173">
        <f t="shared" si="50"/>
        <v>2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5</v>
      </c>
      <c r="H201" s="173">
        <f>IF(Troupeau!$B$3="OL",H8+H9,0)</f>
        <v>5</v>
      </c>
      <c r="I201" s="173">
        <f>IF(Troupeau!$B$3="OL",I8+I9,0)</f>
        <v>5</v>
      </c>
      <c r="J201" s="173">
        <f>IF(Troupeau!$B$3="OL",J8+J9,0)</f>
        <v>5</v>
      </c>
      <c r="K201" s="173">
        <f>IF(Troupeau!$B$3="OL",K8+K9,0)</f>
        <v>5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5</v>
      </c>
      <c r="W201" s="173">
        <f>IF(Troupeau!$B$3="OL",W8+W9,0)</f>
        <v>3</v>
      </c>
      <c r="X201" s="173">
        <f>IF(Troupeau!$B$3="OL",X8+X9,0)</f>
        <v>3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5</v>
      </c>
      <c r="H203" s="173">
        <f t="shared" si="51"/>
        <v>5</v>
      </c>
      <c r="I203" s="173">
        <f t="shared" si="51"/>
        <v>5</v>
      </c>
      <c r="J203" s="173">
        <f t="shared" si="51"/>
        <v>5</v>
      </c>
      <c r="K203" s="173">
        <f t="shared" si="51"/>
        <v>5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5</v>
      </c>
      <c r="W203" s="173">
        <f t="shared" si="51"/>
        <v>3</v>
      </c>
      <c r="X203" s="173">
        <f t="shared" si="51"/>
        <v>3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5</v>
      </c>
      <c r="H212" s="173">
        <f t="shared" si="52"/>
        <v>5</v>
      </c>
      <c r="I212" s="173">
        <f t="shared" si="52"/>
        <v>5</v>
      </c>
      <c r="J212" s="173">
        <f t="shared" si="52"/>
        <v>5</v>
      </c>
      <c r="K212" s="173">
        <f t="shared" si="52"/>
        <v>5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5</v>
      </c>
      <c r="W212" s="173">
        <f t="shared" si="52"/>
        <v>3</v>
      </c>
      <c r="X212" s="173">
        <f t="shared" si="52"/>
        <v>3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5</v>
      </c>
      <c r="H214" s="173">
        <f t="shared" si="53"/>
        <v>5</v>
      </c>
      <c r="I214" s="173">
        <f t="shared" si="53"/>
        <v>5</v>
      </c>
      <c r="J214" s="173">
        <f t="shared" si="53"/>
        <v>5</v>
      </c>
      <c r="K214" s="173">
        <f t="shared" si="53"/>
        <v>5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5</v>
      </c>
      <c r="W214" s="173">
        <f t="shared" si="53"/>
        <v>3</v>
      </c>
      <c r="X214" s="173">
        <f t="shared" si="53"/>
        <v>3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630</v>
      </c>
      <c r="G5" s="173">
        <f>AV117</f>
        <v>21</v>
      </c>
      <c r="H5" s="173">
        <f t="shared" ref="H5:AD5" si="0">AW117</f>
        <v>21</v>
      </c>
      <c r="I5" s="173">
        <f t="shared" si="0"/>
        <v>21</v>
      </c>
      <c r="J5" s="173">
        <f t="shared" si="0"/>
        <v>35</v>
      </c>
      <c r="K5" s="173">
        <f t="shared" si="0"/>
        <v>42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42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42</v>
      </c>
      <c r="AA5" s="173">
        <f t="shared" si="0"/>
        <v>28</v>
      </c>
      <c r="AB5" s="173">
        <f t="shared" si="0"/>
        <v>28</v>
      </c>
      <c r="AC5" s="173">
        <f t="shared" si="0"/>
        <v>21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967.73600000000022</v>
      </c>
      <c r="G9" s="30">
        <f>AV102</f>
        <v>52.18530434782609</v>
      </c>
      <c r="H9" s="30">
        <f t="shared" ref="H9:AD9" si="4">AW102</f>
        <v>52.092782608695657</v>
      </c>
      <c r="I9" s="30">
        <f t="shared" si="4"/>
        <v>52.000260869565217</v>
      </c>
      <c r="J9" s="30">
        <f t="shared" si="4"/>
        <v>51.954000000000001</v>
      </c>
      <c r="K9" s="30">
        <f t="shared" si="4"/>
        <v>51.907739130434784</v>
      </c>
      <c r="L9" s="30">
        <f t="shared" si="4"/>
        <v>51.861478260869568</v>
      </c>
      <c r="M9" s="30">
        <f t="shared" si="4"/>
        <v>51.815217391304351</v>
      </c>
      <c r="N9" s="30">
        <f t="shared" si="4"/>
        <v>51.768956521739128</v>
      </c>
      <c r="O9" s="30">
        <f t="shared" si="4"/>
        <v>51.676434782608695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50.288608695652172</v>
      </c>
      <c r="AA9" s="30">
        <f t="shared" si="4"/>
        <v>50.288608695652172</v>
      </c>
      <c r="AB9" s="30">
        <f t="shared" si="4"/>
        <v>52.18530434782609</v>
      </c>
      <c r="AC9" s="30">
        <f t="shared" si="4"/>
        <v>52.18530434782609</v>
      </c>
      <c r="AD9" s="30">
        <f t="shared" si="4"/>
        <v>52.18530434782609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2416.7359999999999</v>
      </c>
      <c r="G13" s="30">
        <f>SUM(G5:G11)</f>
        <v>115.18530434782609</v>
      </c>
      <c r="H13" s="30">
        <f t="shared" ref="H13:AD13" si="8">SUM(H5:H11)</f>
        <v>115.09278260869566</v>
      </c>
      <c r="I13" s="30">
        <f t="shared" si="8"/>
        <v>120.25026086956521</v>
      </c>
      <c r="J13" s="30">
        <f t="shared" si="8"/>
        <v>134.20400000000001</v>
      </c>
      <c r="K13" s="30">
        <f t="shared" si="8"/>
        <v>141.15773913043478</v>
      </c>
      <c r="L13" s="30">
        <f t="shared" si="8"/>
        <v>144.61147826086957</v>
      </c>
      <c r="M13" s="30">
        <f t="shared" si="8"/>
        <v>134.06521739130434</v>
      </c>
      <c r="N13" s="30">
        <f t="shared" si="8"/>
        <v>134.01895652173914</v>
      </c>
      <c r="O13" s="30">
        <f t="shared" si="8"/>
        <v>137.42643478260868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134.28860869565216</v>
      </c>
      <c r="AA13" s="30">
        <f t="shared" si="8"/>
        <v>127.28860869565217</v>
      </c>
      <c r="AB13" s="30">
        <f t="shared" si="8"/>
        <v>129.1853043478261</v>
      </c>
      <c r="AC13" s="30">
        <f t="shared" si="8"/>
        <v>115.18530434782609</v>
      </c>
      <c r="AD13" s="30">
        <f t="shared" si="8"/>
        <v>115.18530434782609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28.000000000000004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19.079999999999998</v>
      </c>
      <c r="C55" s="190">
        <f>IF(B55&gt;[1]Trav!E121,[1]Trav!C121,[1]Trav!B121)</f>
        <v>7.2</v>
      </c>
      <c r="D55"/>
      <c r="E55" s="172"/>
      <c r="F55" s="173">
        <f t="shared" si="32"/>
        <v>137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14.1</v>
      </c>
      <c r="C56" s="190">
        <f>IF(B56&gt;[1]Trav!E121,[1]Trav!C121,[1]Trav!B121)</f>
        <v>7.2</v>
      </c>
      <c r="D56"/>
      <c r="E56" s="172"/>
      <c r="F56" s="173">
        <f t="shared" si="32"/>
        <v>102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2.120000000000001</v>
      </c>
      <c r="C58" s="190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211</v>
      </c>
      <c r="AW61" s="173">
        <f>IF(AW16=0,0,IF(AW38=3,0,VALUE(CONCATENATE(Travail!AW27,Travail!AW38,Travail!AW49))))</f>
        <v>211</v>
      </c>
      <c r="AX61" s="173">
        <f>IF(AX16=0,0,IF(AX38=3,0,VALUE(CONCATENATE(Travail!AX27,Travail!AX38,Travail!AX49))))</f>
        <v>211</v>
      </c>
      <c r="AY61" s="173">
        <f>IF(AY16=0,0,IF(AY38=3,0,VALUE(CONCATENATE(Travail!AY27,Travail!AY38,Travail!AY49))))</f>
        <v>211</v>
      </c>
      <c r="AZ61" s="173">
        <f>IF(AZ16=0,0,IF(AZ38=3,0,VALUE(CONCATENATE(Travail!AZ27,Travail!AZ38,Travail!AZ49))))</f>
        <v>212</v>
      </c>
      <c r="BA61" s="173">
        <f>IF(BA16=0,0,IF(BA38=3,0,VALUE(CONCATENATE(Travail!BA27,Travail!BA38,Travail!BA49))))</f>
        <v>212</v>
      </c>
      <c r="BB61" s="173">
        <f>IF(BB16=0,0,IF(BB38=3,0,VALUE(CONCATENATE(Travail!BB27,Travail!BB38,Travail!BB49))))</f>
        <v>212</v>
      </c>
      <c r="BC61" s="173">
        <f>IF(BC16=0,0,IF(BC38=3,0,VALUE(CONCATENATE(Travail!BC27,Travail!BC38,Travail!BC49))))</f>
        <v>212</v>
      </c>
      <c r="BD61" s="173">
        <f>IF(BD16=0,0,IF(BD38=3,0,VALUE(CONCATENATE(Travail!BD27,Travail!BD38,Travail!BD49))))</f>
        <v>212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212</v>
      </c>
      <c r="BP61" s="173">
        <f>IF(BP16=0,0,IF(BP38=3,0,VALUE(CONCATENATE(Travail!BP27,Travail!BP38,Travail!BP49))))</f>
        <v>212</v>
      </c>
      <c r="BQ61" s="173">
        <f>IF(BQ16=0,0,IF(BQ38=3,0,VALUE(CONCATENATE(Travail!BQ27,Travail!BQ38,Travail!BQ49))))</f>
        <v>212</v>
      </c>
      <c r="BR61" s="173">
        <f>IF(BR16=0,0,IF(BR38=3,0,VALUE(CONCATENATE(Travail!BR27,Travail!BR38,Travail!BR49))))</f>
        <v>211</v>
      </c>
      <c r="BS61" s="173">
        <f>IF(BS16=0,0,IF(BS38=3,0,VALUE(CONCATENATE(Travail!BS27,Travail!BS38,Travail!BS49))))</f>
        <v>211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21</v>
      </c>
      <c r="AW72" s="173">
        <f t="shared" si="36"/>
        <v>21</v>
      </c>
      <c r="AX72" s="173">
        <f t="shared" si="36"/>
        <v>21</v>
      </c>
      <c r="AY72" s="173">
        <f t="shared" si="36"/>
        <v>21</v>
      </c>
      <c r="AZ72" s="173">
        <f t="shared" si="36"/>
        <v>21</v>
      </c>
      <c r="BA72" s="173">
        <f t="shared" si="36"/>
        <v>21</v>
      </c>
      <c r="BB72" s="173">
        <f t="shared" si="36"/>
        <v>21</v>
      </c>
      <c r="BC72" s="173">
        <f t="shared" si="36"/>
        <v>21</v>
      </c>
      <c r="BD72" s="173">
        <f t="shared" si="36"/>
        <v>21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21</v>
      </c>
      <c r="BP72" s="173">
        <f t="shared" si="36"/>
        <v>21</v>
      </c>
      <c r="BQ72" s="173">
        <f t="shared" si="36"/>
        <v>21</v>
      </c>
      <c r="BR72" s="173">
        <f t="shared" si="36"/>
        <v>21</v>
      </c>
      <c r="BS72" s="173">
        <f t="shared" si="36"/>
        <v>21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133</v>
      </c>
      <c r="G75" s="198">
        <f>IF(Protection!C195=0,0,[1]Protect!$B$9*Protection!C195*14)</f>
        <v>7</v>
      </c>
      <c r="H75" s="198">
        <f>IF(Protection!D195=0,0,[1]Protect!$B$9*Protection!D195*14)</f>
        <v>7</v>
      </c>
      <c r="I75" s="198">
        <f>IF(Protection!E195=0,0,[1]Protect!$B$9*Protection!E195*14)</f>
        <v>7</v>
      </c>
      <c r="J75" s="198">
        <f>IF(Protection!F195=0,0,[1]Protect!$B$9*Protection!F195*14)</f>
        <v>7</v>
      </c>
      <c r="K75" s="198">
        <f>IF(Protection!G195=0,0,[1]Protect!$B$9*Protection!G195*14)</f>
        <v>7</v>
      </c>
      <c r="L75" s="198">
        <f>IF(Protection!H195=0,0,[1]Protect!$B$9*Protection!H195*14)</f>
        <v>7</v>
      </c>
      <c r="M75" s="198">
        <f>IF(Protection!I195=0,0,[1]Protect!$B$9*Protection!I195*14)</f>
        <v>7</v>
      </c>
      <c r="N75" s="198">
        <f>IF(Protection!J195=0,0,[1]Protect!$B$9*Protection!J195*14)</f>
        <v>7</v>
      </c>
      <c r="O75" s="198">
        <f>IF(Protection!K195=0,0,[1]Protect!$B$9*Protection!K195*14)</f>
        <v>7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7</v>
      </c>
      <c r="AB75" s="198">
        <f>IF(Protection!X195=0,0,[1]Protect!$B$9*Protection!X195*14)</f>
        <v>7</v>
      </c>
      <c r="AC75" s="198">
        <f>IF(Protection!Y195=0,0,[1]Protect!$B$9*Protection!Y195*14)</f>
        <v>7</v>
      </c>
      <c r="AD75" s="198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327.5</v>
      </c>
      <c r="G77" s="46">
        <f t="shared" ref="G77:AD77" si="43">+SUM(G69:G76)</f>
        <v>12</v>
      </c>
      <c r="H77" s="46">
        <f t="shared" si="43"/>
        <v>12</v>
      </c>
      <c r="I77" s="46">
        <f t="shared" si="43"/>
        <v>12</v>
      </c>
      <c r="J77" s="46">
        <f t="shared" si="43"/>
        <v>17</v>
      </c>
      <c r="K77" s="46">
        <f t="shared" si="43"/>
        <v>17</v>
      </c>
      <c r="L77" s="46">
        <f t="shared" si="43"/>
        <v>17</v>
      </c>
      <c r="M77" s="46">
        <f t="shared" si="43"/>
        <v>17</v>
      </c>
      <c r="N77" s="46">
        <f t="shared" si="43"/>
        <v>17</v>
      </c>
      <c r="O77" s="46">
        <f t="shared" si="43"/>
        <v>17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17</v>
      </c>
      <c r="AA77" s="46">
        <f t="shared" si="43"/>
        <v>12</v>
      </c>
      <c r="AB77" s="46">
        <f t="shared" si="43"/>
        <v>12</v>
      </c>
      <c r="AC77" s="46">
        <f t="shared" si="43"/>
        <v>12</v>
      </c>
      <c r="AD77" s="46">
        <f t="shared" si="43"/>
        <v>12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5.4580000000000002</v>
      </c>
      <c r="C83" s="190">
        <f>[1]Protect!$B$24+[1]Protect!$B$26</f>
        <v>0.33</v>
      </c>
      <c r="D83" s="172"/>
      <c r="E83" s="172"/>
      <c r="F83" s="173">
        <f>ROUND(B83*C83,1)</f>
        <v>1.8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1</v>
      </c>
      <c r="BB83" s="173">
        <f t="shared" si="50"/>
        <v>1</v>
      </c>
      <c r="BC83" s="173">
        <f t="shared" si="50"/>
        <v>1</v>
      </c>
      <c r="BD83" s="173">
        <f t="shared" si="50"/>
        <v>1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4.4000000000000004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0.70000000000000007</v>
      </c>
      <c r="C86" s="176"/>
      <c r="D86" s="176"/>
      <c r="E86" s="176"/>
      <c r="F86" s="173">
        <f>B86*[1]Eco!$B$108*[1]Eco!$B$109</f>
        <v>168.00000000000003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1597.7360000000003</v>
      </c>
      <c r="C91" s="5"/>
      <c r="D91" s="202">
        <f>B91/Troupeau!$B$17</f>
        <v>5.2557105263157906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2290.7360000000003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341.00869565217391</v>
      </c>
      <c r="AW99" s="62">
        <f t="shared" ref="AW99:BS99" si="68">SUM(AW90:AW98)</f>
        <v>338.36521739130438</v>
      </c>
      <c r="AX99" s="62">
        <f t="shared" si="68"/>
        <v>335.7217391304348</v>
      </c>
      <c r="AY99" s="62">
        <f t="shared" si="68"/>
        <v>334.40000000000003</v>
      </c>
      <c r="AZ99" s="62">
        <f t="shared" si="68"/>
        <v>333.07826086956521</v>
      </c>
      <c r="BA99" s="62">
        <f t="shared" si="68"/>
        <v>331.75652173913045</v>
      </c>
      <c r="BB99" s="62">
        <f t="shared" si="68"/>
        <v>330.43478260869568</v>
      </c>
      <c r="BC99" s="62">
        <f t="shared" si="68"/>
        <v>329.11304347826086</v>
      </c>
      <c r="BD99" s="62">
        <f t="shared" si="68"/>
        <v>326.46956521739133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286.81739130434784</v>
      </c>
      <c r="BP99" s="62">
        <f t="shared" si="68"/>
        <v>286.81739130434784</v>
      </c>
      <c r="BQ99" s="62">
        <f t="shared" si="68"/>
        <v>341.00869565217391</v>
      </c>
      <c r="BR99" s="62">
        <f t="shared" si="68"/>
        <v>341.00869565217391</v>
      </c>
      <c r="BS99" s="62">
        <f t="shared" si="68"/>
        <v>341.00869565217391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6.8201739130434786</v>
      </c>
      <c r="AW100" s="173">
        <f t="shared" ref="AW100:BS100" si="71">IF($AT$2="OL",AW99/50,AW99/10)</f>
        <v>6.7673043478260873</v>
      </c>
      <c r="AX100" s="173">
        <f t="shared" si="71"/>
        <v>6.7144347826086959</v>
      </c>
      <c r="AY100" s="173">
        <f t="shared" si="71"/>
        <v>6.6880000000000006</v>
      </c>
      <c r="AZ100" s="173">
        <f t="shared" si="71"/>
        <v>6.6615652173913045</v>
      </c>
      <c r="BA100" s="173">
        <f t="shared" si="71"/>
        <v>6.6351304347826092</v>
      </c>
      <c r="BB100" s="173">
        <f t="shared" si="71"/>
        <v>6.608695652173914</v>
      </c>
      <c r="BC100" s="173">
        <f t="shared" si="71"/>
        <v>6.5822608695652169</v>
      </c>
      <c r="BD100" s="173">
        <f t="shared" si="71"/>
        <v>6.5293913043478264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5.7363478260869565</v>
      </c>
      <c r="BP100" s="173">
        <f t="shared" si="71"/>
        <v>5.7363478260869565</v>
      </c>
      <c r="BQ100" s="173">
        <f t="shared" si="71"/>
        <v>6.8201739130434786</v>
      </c>
      <c r="BR100" s="173">
        <f t="shared" si="71"/>
        <v>6.8201739130434786</v>
      </c>
      <c r="BS100" s="173">
        <f t="shared" si="71"/>
        <v>6.8201739130434786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5.8201739130434786</v>
      </c>
      <c r="AW101" s="173">
        <f t="shared" ref="AW101:BS101" si="74">IF(AW100&gt;1,AW100-1,0)</f>
        <v>5.7673043478260873</v>
      </c>
      <c r="AX101" s="173">
        <f t="shared" si="74"/>
        <v>5.7144347826086959</v>
      </c>
      <c r="AY101" s="173">
        <f t="shared" si="74"/>
        <v>5.6880000000000006</v>
      </c>
      <c r="AZ101" s="173">
        <f t="shared" si="74"/>
        <v>5.6615652173913045</v>
      </c>
      <c r="BA101" s="173">
        <f t="shared" si="74"/>
        <v>5.6351304347826092</v>
      </c>
      <c r="BB101" s="173">
        <f t="shared" si="74"/>
        <v>5.608695652173914</v>
      </c>
      <c r="BC101" s="173">
        <f t="shared" si="74"/>
        <v>5.5822608695652169</v>
      </c>
      <c r="BD101" s="173">
        <f t="shared" si="74"/>
        <v>5.5293913043478264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4.7363478260869565</v>
      </c>
      <c r="BP101" s="173">
        <f t="shared" si="74"/>
        <v>4.7363478260869565</v>
      </c>
      <c r="BQ101" s="173">
        <f t="shared" si="74"/>
        <v>5.8201739130434786</v>
      </c>
      <c r="BR101" s="173">
        <f t="shared" si="74"/>
        <v>5.8201739130434786</v>
      </c>
      <c r="BS101" s="173">
        <f t="shared" si="74"/>
        <v>5.8201739130434786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52.18530434782609</v>
      </c>
      <c r="AW102" s="62">
        <f t="shared" ref="AW102:BS102" si="77">AW86+AW87*AW101</f>
        <v>52.092782608695657</v>
      </c>
      <c r="AX102" s="62">
        <f t="shared" si="77"/>
        <v>52.000260869565217</v>
      </c>
      <c r="AY102" s="62">
        <f t="shared" si="77"/>
        <v>51.954000000000001</v>
      </c>
      <c r="AZ102" s="62">
        <f t="shared" si="77"/>
        <v>51.907739130434784</v>
      </c>
      <c r="BA102" s="62">
        <f t="shared" si="77"/>
        <v>51.861478260869568</v>
      </c>
      <c r="BB102" s="62">
        <f t="shared" si="77"/>
        <v>51.815217391304351</v>
      </c>
      <c r="BC102" s="62">
        <f t="shared" si="77"/>
        <v>51.768956521739128</v>
      </c>
      <c r="BD102" s="62">
        <f t="shared" si="77"/>
        <v>51.676434782608695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50.288608695652172</v>
      </c>
      <c r="BP102" s="62">
        <f t="shared" si="77"/>
        <v>50.288608695652172</v>
      </c>
      <c r="BQ102" s="62">
        <f t="shared" si="77"/>
        <v>52.18530434782609</v>
      </c>
      <c r="BR102" s="62">
        <f t="shared" si="77"/>
        <v>52.18530434782609</v>
      </c>
      <c r="BS102" s="62">
        <f t="shared" si="77"/>
        <v>52.18530434782609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28</v>
      </c>
      <c r="BA107" s="190">
        <f>IF(BA61&gt;0,HLOOKUP(BA61,[1]Trav!$C$11:$O$31,$AU$105),0)</f>
        <v>28</v>
      </c>
      <c r="BB107" s="190">
        <f>IF(BB61&gt;0,HLOOKUP(BB61,[1]Trav!$C$11:$O$31,$AU$105),0)</f>
        <v>28</v>
      </c>
      <c r="BC107" s="190">
        <f>IF(BC61&gt;0,HLOOKUP(BC61,[1]Trav!$C$11:$O$31,$AU$105),0)</f>
        <v>28</v>
      </c>
      <c r="BD107" s="190">
        <f>IF(BD61&gt;0,HLOOKUP(BD61,[1]Trav!$C$11:$O$31,$AU$105),0)</f>
        <v>28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28</v>
      </c>
      <c r="BP107" s="190">
        <f>IF(BP61&gt;0,HLOOKUP(BP61,[1]Trav!$C$11:$O$31,$AU$105),0)</f>
        <v>28</v>
      </c>
      <c r="BQ107" s="190">
        <f>IF(BQ61&gt;0,HLOOKUP(BQ61,[1]Trav!$C$11:$O$31,$AU$105),0)</f>
        <v>28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6.2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168.00000000000003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21</v>
      </c>
      <c r="AW117" s="173">
        <f t="shared" ref="AW117:BS117" si="83">SUM(AW106:AW115)</f>
        <v>21</v>
      </c>
      <c r="AX117" s="173">
        <f t="shared" si="83"/>
        <v>21</v>
      </c>
      <c r="AY117" s="173">
        <f t="shared" si="83"/>
        <v>35</v>
      </c>
      <c r="AZ117" s="173">
        <f t="shared" si="83"/>
        <v>42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42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42</v>
      </c>
      <c r="BP117" s="173">
        <f t="shared" si="83"/>
        <v>28</v>
      </c>
      <c r="BQ117" s="173">
        <f t="shared" si="83"/>
        <v>28</v>
      </c>
      <c r="BR117" s="173">
        <f t="shared" si="83"/>
        <v>21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3145.8860000000004</v>
      </c>
      <c r="D118" s="202">
        <f>B118/Troupeau!$B$17</f>
        <v>10.348309210526317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783</v>
      </c>
      <c r="D119" s="202">
        <f>IF(B119=0,0,B119/Troupeau!$C$17)</f>
        <v>41.210526315789473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3928.8860000000004</v>
      </c>
    </row>
    <row r="123" spans="1:132" x14ac:dyDescent="0.25">
      <c r="A123" s="2" t="s">
        <v>856</v>
      </c>
      <c r="B123" s="30">
        <f>B108</f>
        <v>304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202.20000000000005</v>
      </c>
    </row>
    <row r="128" spans="1:132" x14ac:dyDescent="0.25">
      <c r="A128" s="2" t="s">
        <v>873</v>
      </c>
      <c r="B128" s="201">
        <f>SUM(B122:B126)</f>
        <v>5229.5860000000002</v>
      </c>
    </row>
    <row r="129" spans="1:2" x14ac:dyDescent="0.25">
      <c r="A129" s="2" t="s">
        <v>874</v>
      </c>
      <c r="B129" s="30">
        <f>IF(Scénario!K129=1,Travail!F77+Travail!F86,F86)</f>
        <v>495.5</v>
      </c>
    </row>
    <row r="130" spans="1:2" x14ac:dyDescent="0.25">
      <c r="A130" s="2" t="s">
        <v>875</v>
      </c>
      <c r="B130" s="201">
        <f>ROUND((B128-B129)/(Scénario!K4+Scénario!K6),0)</f>
        <v>3156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6212.8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112736.32000000001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46.11999999999999</v>
      </c>
      <c r="C118" s="190">
        <f>IF(Scénario!$K$12="BV",[1]Eco!$B$78,IF(Scénario!$K$12="BL",[1]Eco!$B$77,[1]Eco!$B$76))</f>
        <v>223</v>
      </c>
      <c r="J118" s="173">
        <f>B118*C118</f>
        <v>10284.759999999998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48.710499999999996</v>
      </c>
      <c r="C119" s="190">
        <f>[1]Eco!$B$79</f>
        <v>80</v>
      </c>
      <c r="J119" s="173">
        <f>B119*C119</f>
        <v>3896.8399999999997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6.8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183.6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7.1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331.00199999999995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9.1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456.18299999999999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531.22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51220.00499999999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29.000000000000004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2508.5000000000005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21.2</v>
      </c>
      <c r="X153" t="s">
        <v>52</v>
      </c>
      <c r="Y153" s="173">
        <f>W153-Scénario!K28</f>
        <v>-2.3000000000000007</v>
      </c>
      <c r="Z153" s="173">
        <f>Y153-Y156</f>
        <v>-2.0700000000000007</v>
      </c>
    </row>
    <row r="154" spans="1:39" x14ac:dyDescent="0.25">
      <c r="A154" t="s">
        <v>1076</v>
      </c>
      <c r="B154" s="173">
        <f>Scénario!K48</f>
        <v>29.000000000000004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8430.3000000000011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14.1</v>
      </c>
      <c r="X154" t="s">
        <v>52</v>
      </c>
      <c r="Y154" s="173">
        <f>W154-Scénario!K29</f>
        <v>-1.9000000000000004</v>
      </c>
      <c r="Z154" s="173">
        <f>Y154</f>
        <v>-1.9000000000000004</v>
      </c>
    </row>
    <row r="155" spans="1:39" x14ac:dyDescent="0.25">
      <c r="A155" s="17" t="s">
        <v>1078</v>
      </c>
      <c r="B155" s="239">
        <f>B154</f>
        <v>29.000000000000004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1740.0000000000002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-0.23000000000000007</v>
      </c>
      <c r="Z156" s="173">
        <f t="shared" si="68"/>
        <v>-0.23000000000000007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-2.0700000000000007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-74.934000000000026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-1.9000000000000004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-57.000000000000014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-0.23000000000000007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-35.742000000000012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2.5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9.1</v>
      </c>
      <c r="T165" s="173">
        <f>VLOOKUP(R165,[1]MEP!$A$4:$M$300,13)</f>
        <v>2</v>
      </c>
      <c r="U165" s="173">
        <f t="shared" ref="U165:U207" si="72">IF($T165&gt;0,$S165,0)</f>
        <v>9.1</v>
      </c>
      <c r="V165" s="173">
        <f t="shared" ref="V165:V207" si="73">IF($T165&gt;1,$S165,0)</f>
        <v>9.1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9.1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9.1</v>
      </c>
      <c r="AN165" s="32" t="s">
        <v>659</v>
      </c>
      <c r="AO165" s="173">
        <f>SUM(AD164:AD183)</f>
        <v>18.700000000000003</v>
      </c>
    </row>
    <row r="166" spans="1:41" x14ac:dyDescent="0.25">
      <c r="A166" s="5" t="s">
        <v>1423</v>
      </c>
      <c r="B166" s="30">
        <f>T246*[1]Eco!$B$108*[1]Eco!$B$109</f>
        <v>168.00000000000003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1785.8400000000004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337.2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3584.4360000000001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72"/>
        <v>2.1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2.1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2.1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35255.4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26260.915000000015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17507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2175.8385855382489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12685.076414461766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8457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28.000000000000004</v>
      </c>
      <c r="U228" s="62">
        <f>SUM(U164:U227)</f>
        <v>21.2</v>
      </c>
      <c r="V228" s="62">
        <f t="shared" ref="V228:W228" si="84">SUM(V164:V227)</f>
        <v>14.1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23.000000000000004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6.8</v>
      </c>
      <c r="AI228" s="62">
        <f t="shared" si="86"/>
        <v>7.1</v>
      </c>
      <c r="AJ228" s="62">
        <f t="shared" si="86"/>
        <v>9.1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5458</v>
      </c>
      <c r="U234" t="s">
        <v>1101</v>
      </c>
      <c r="V234" s="173"/>
      <c r="W234" s="173">
        <f>[1]Protect!$B$4</f>
        <v>6</v>
      </c>
      <c r="X234" s="173">
        <f>T234*W234</f>
        <v>32748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33148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17648</v>
      </c>
      <c r="AB237" s="30">
        <f>(Scénario!K127/100)*AA237</f>
        <v>0</v>
      </c>
      <c r="AC237" s="30">
        <f>AA237-AB237</f>
        <v>17648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2175.8385855382489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0.70000000000000007</v>
      </c>
      <c r="W246" s="173">
        <f>[1]Eco!$B$106*[1]Eco!$B$108*[1]Eco!$B$109</f>
        <v>2551.2000000000003</v>
      </c>
      <c r="X246" s="173">
        <f>T246*W246</f>
        <v>1785.8400000000004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7766.52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7766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6212.8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6212.8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6212.8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81.87</v>
      </c>
      <c r="U272" s="173"/>
      <c r="V272" s="173"/>
      <c r="W272" s="173">
        <f>W234</f>
        <v>6</v>
      </c>
      <c r="X272" s="173">
        <f>T272*W272</f>
        <v>491.22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Z1_OLBV_T3PT_MC1s2</v>
      </c>
      <c r="D1" s="275" t="str">
        <f>CONCATENATE(C1,"_corr")</f>
        <v>Z1_OLBV_T3PT_MC1s2_corr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18.700000000000003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21.2</v>
      </c>
      <c r="D85" s="261">
        <f>ROUND(C85*$D$82/$C$82,3)</f>
        <v>20.353999999999999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14.1</v>
      </c>
      <c r="D86" s="261">
        <f t="shared" ref="D86:D97" si="14">ROUND(C86*$D$82/$C$82,3)</f>
        <v>13.537000000000001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2.12</v>
      </c>
      <c r="D88" s="261">
        <f t="shared" si="14"/>
        <v>2.0350000000000001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47</v>
      </c>
      <c r="D109" s="173">
        <f t="shared" si="25"/>
        <v>47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13</v>
      </c>
      <c r="D110" s="173">
        <f t="shared" si="25"/>
        <v>13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</v>
      </c>
      <c r="D116" s="173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211</v>
      </c>
      <c r="AW122" s="173">
        <f>IF(AW76=0,0,IF(AW99=3,0,VALUE(CONCATENATE(Travail!AW27,Travail!AW38,Travail!AW49))))</f>
        <v>211</v>
      </c>
      <c r="AX122" s="173">
        <f>IF(AX76=0,0,IF(AX99=3,0,VALUE(CONCATENATE(Travail!AX27,Travail!AX38,Travail!AX49))))</f>
        <v>211</v>
      </c>
      <c r="AY122" s="173">
        <f>IF(AY76=0,0,IF(AY99=3,0,VALUE(CONCATENATE(Travail!AY27,Travail!AY38,Travail!AY49))))</f>
        <v>211</v>
      </c>
      <c r="AZ122" s="173">
        <f>IF(AZ76=0,0,IF(AZ99=3,0,VALUE(CONCATENATE(Travail!AZ27,Travail!AZ38,Travail!AZ49))))</f>
        <v>212</v>
      </c>
      <c r="BA122" s="173">
        <f>IF(BA76=0,0,IF(BA99=3,0,VALUE(CONCATENATE(Travail!BA27,Travail!BA38,Travail!BA49))))</f>
        <v>212</v>
      </c>
      <c r="BB122" s="173">
        <f>IF(BB76=0,0,IF(BB99=3,0,VALUE(CONCATENATE(Travail!BB27,Travail!BB38,Travail!BB49))))</f>
        <v>212</v>
      </c>
      <c r="BC122" s="173">
        <f>IF(BC76=0,0,IF(BC99=3,0,VALUE(CONCATENATE(Travail!BC27,Travail!BC38,Travail!BC49))))</f>
        <v>212</v>
      </c>
      <c r="BD122" s="173">
        <f>IF(BD76=0,0,IF(BD99=3,0,VALUE(CONCATENATE(Travail!BD27,Travail!BD38,Travail!BD49))))</f>
        <v>212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212</v>
      </c>
      <c r="BP122" s="173">
        <f>IF(BP76=0,0,IF(BP99=3,0,VALUE(CONCATENATE(Travail!BP27,Travail!BP38,Travail!BP49))))</f>
        <v>212</v>
      </c>
      <c r="BQ122" s="173">
        <f>IF(BQ76=0,0,IF(BQ99=3,0,VALUE(CONCATENATE(Travail!BQ27,Travail!BQ38,Travail!BQ49))))</f>
        <v>212</v>
      </c>
      <c r="BR122" s="173">
        <f>IF(BR76=0,0,IF(BR99=3,0,VALUE(CONCATENATE(Travail!BR27,Travail!BR38,Travail!BR49))))</f>
        <v>211</v>
      </c>
      <c r="BS122" s="173">
        <f>IF(BS76=0,0,IF(BS99=3,0,VALUE(CONCATENATE(Travail!BS27,Travail!BS38,Travail!BS49))))</f>
        <v>211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0.76470588235294112</v>
      </c>
      <c r="D133" s="262">
        <f t="shared" si="25"/>
        <v>0.76470588235294112</v>
      </c>
      <c r="AT133" s="189" t="str">
        <f t="shared" ref="AT133:AT141" si="42">AT122</f>
        <v>vides</v>
      </c>
      <c r="AV133" s="173">
        <f t="shared" si="39"/>
        <v>21</v>
      </c>
      <c r="AW133" s="173">
        <f t="shared" si="39"/>
        <v>21</v>
      </c>
      <c r="AX133" s="173">
        <f t="shared" si="39"/>
        <v>21</v>
      </c>
      <c r="AY133" s="173">
        <f t="shared" si="39"/>
        <v>21</v>
      </c>
      <c r="AZ133" s="173">
        <f t="shared" si="39"/>
        <v>21</v>
      </c>
      <c r="BA133" s="173">
        <f t="shared" si="39"/>
        <v>21</v>
      </c>
      <c r="BB133" s="173">
        <f t="shared" si="39"/>
        <v>21</v>
      </c>
      <c r="BC133" s="173">
        <f t="shared" si="39"/>
        <v>21</v>
      </c>
      <c r="BD133" s="173">
        <f t="shared" si="39"/>
        <v>21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21</v>
      </c>
      <c r="BP133" s="173">
        <f t="shared" si="39"/>
        <v>21</v>
      </c>
      <c r="BQ133" s="173">
        <f t="shared" si="39"/>
        <v>21</v>
      </c>
      <c r="BR133" s="173">
        <f t="shared" si="39"/>
        <v>21</v>
      </c>
      <c r="BS133" s="173">
        <f t="shared" si="39"/>
        <v>21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0.58620689655172409</v>
      </c>
      <c r="D136" s="262">
        <f t="shared" si="25"/>
        <v>0.58620689655172409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1</v>
      </c>
      <c r="BB144" s="173">
        <f t="shared" si="64"/>
        <v>1</v>
      </c>
      <c r="BC144" s="173">
        <f t="shared" si="64"/>
        <v>1</v>
      </c>
      <c r="BD144" s="173">
        <f t="shared" si="64"/>
        <v>1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327.40236365607717</v>
      </c>
      <c r="AW160" s="62">
        <f t="shared" ref="AW160:BS160" si="83">SUM(AW151:AW159)</f>
        <v>324.86436083703785</v>
      </c>
      <c r="AX160" s="62">
        <f t="shared" si="83"/>
        <v>322.32635801799847</v>
      </c>
      <c r="AY160" s="62">
        <f t="shared" si="83"/>
        <v>321.05735660847881</v>
      </c>
      <c r="AZ160" s="62">
        <f t="shared" si="83"/>
        <v>319.7883551989591</v>
      </c>
      <c r="BA160" s="62">
        <f t="shared" si="83"/>
        <v>318.51935378943944</v>
      </c>
      <c r="BB160" s="62">
        <f t="shared" si="83"/>
        <v>317.25035237991978</v>
      </c>
      <c r="BC160" s="62">
        <f t="shared" si="83"/>
        <v>315.98135097040006</v>
      </c>
      <c r="BD160" s="62">
        <f t="shared" si="83"/>
        <v>313.44334815136074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275.37330586577036</v>
      </c>
      <c r="BP160" s="62">
        <f t="shared" si="83"/>
        <v>275.37330586577036</v>
      </c>
      <c r="BQ160" s="62">
        <f t="shared" si="83"/>
        <v>327.40236365607717</v>
      </c>
      <c r="BR160" s="62">
        <f t="shared" si="83"/>
        <v>327.40236365607717</v>
      </c>
      <c r="BS160" s="62">
        <f t="shared" si="83"/>
        <v>327.40236365607717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91.785440018573851</v>
      </c>
      <c r="D161" s="263">
        <f t="shared" si="50"/>
        <v>88.123178072695595</v>
      </c>
      <c r="AT161" s="189" t="s">
        <v>844</v>
      </c>
      <c r="AV161" s="173">
        <f>IF($AT$62="OL",AV160/50,AV160/10)</f>
        <v>6.5480472731215436</v>
      </c>
      <c r="AW161" s="173">
        <f t="shared" ref="AW161:BS161" si="86">IF($AT$62="OL",AW160/50,AW160/10)</f>
        <v>6.4972872167407569</v>
      </c>
      <c r="AX161" s="173">
        <f t="shared" si="86"/>
        <v>6.4465271603599694</v>
      </c>
      <c r="AY161" s="173">
        <f t="shared" si="86"/>
        <v>6.4211471321695761</v>
      </c>
      <c r="AZ161" s="173">
        <f t="shared" si="86"/>
        <v>6.3957671039791819</v>
      </c>
      <c r="BA161" s="173">
        <f t="shared" si="86"/>
        <v>6.3703870757887886</v>
      </c>
      <c r="BB161" s="173">
        <f t="shared" si="86"/>
        <v>6.3450070475983953</v>
      </c>
      <c r="BC161" s="173">
        <f t="shared" si="86"/>
        <v>6.3196270194080011</v>
      </c>
      <c r="BD161" s="173">
        <f t="shared" si="86"/>
        <v>6.2688669630272145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5.5074661173154071</v>
      </c>
      <c r="BP161" s="173">
        <f t="shared" si="86"/>
        <v>5.5074661173154071</v>
      </c>
      <c r="BQ161" s="173">
        <f t="shared" si="86"/>
        <v>6.5480472731215436</v>
      </c>
      <c r="BR161" s="173">
        <f t="shared" si="86"/>
        <v>6.5480472731215436</v>
      </c>
      <c r="BS161" s="173">
        <f t="shared" si="86"/>
        <v>6.5480472731215436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124.20535979035137</v>
      </c>
      <c r="D162" s="263">
        <f t="shared" si="50"/>
        <v>119.24953496081115</v>
      </c>
      <c r="AT162" s="189" t="s">
        <v>846</v>
      </c>
      <c r="AV162" s="173">
        <f>IF(AV161&gt;1,AV161-1,0)</f>
        <v>5.5480472731215436</v>
      </c>
      <c r="AW162" s="173">
        <f t="shared" ref="AW162:BS162" si="89">IF(AW161&gt;1,AW161-1,0)</f>
        <v>5.4972872167407569</v>
      </c>
      <c r="AX162" s="173">
        <f t="shared" si="89"/>
        <v>5.4465271603599694</v>
      </c>
      <c r="AY162" s="173">
        <f t="shared" si="89"/>
        <v>5.4211471321695761</v>
      </c>
      <c r="AZ162" s="173">
        <f t="shared" si="89"/>
        <v>5.3957671039791819</v>
      </c>
      <c r="BA162" s="173">
        <f t="shared" si="89"/>
        <v>5.3703870757887886</v>
      </c>
      <c r="BB162" s="173">
        <f t="shared" si="89"/>
        <v>5.3450070475983953</v>
      </c>
      <c r="BC162" s="173">
        <f t="shared" si="89"/>
        <v>5.3196270194080011</v>
      </c>
      <c r="BD162" s="173">
        <f t="shared" si="89"/>
        <v>5.2688669630272145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4.5074661173154071</v>
      </c>
      <c r="BP162" s="173">
        <f t="shared" si="89"/>
        <v>4.5074661173154071</v>
      </c>
      <c r="BQ162" s="173">
        <f t="shared" si="89"/>
        <v>5.5480472731215436</v>
      </c>
      <c r="BR162" s="173">
        <f t="shared" si="89"/>
        <v>5.5480472731215436</v>
      </c>
      <c r="BS162" s="173">
        <f t="shared" si="89"/>
        <v>5.5480472731215436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51.709082727962702</v>
      </c>
      <c r="AW163" s="62">
        <f t="shared" ref="AW163:BS163" si="92">AW147+AW148*AW162</f>
        <v>51.620252629296324</v>
      </c>
      <c r="AX163" s="62">
        <f t="shared" si="92"/>
        <v>51.531422530629946</v>
      </c>
      <c r="AY163" s="62">
        <f t="shared" si="92"/>
        <v>51.487007481296757</v>
      </c>
      <c r="AZ163" s="62">
        <f t="shared" si="92"/>
        <v>51.442592431963568</v>
      </c>
      <c r="BA163" s="62">
        <f t="shared" si="92"/>
        <v>51.398177382630379</v>
      </c>
      <c r="BB163" s="62">
        <f t="shared" si="92"/>
        <v>51.35376233329719</v>
      </c>
      <c r="BC163" s="62">
        <f t="shared" si="92"/>
        <v>51.309347283964001</v>
      </c>
      <c r="BD163" s="62">
        <f t="shared" si="92"/>
        <v>51.220517185297624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49.888065705301962</v>
      </c>
      <c r="BP163" s="62">
        <f t="shared" si="92"/>
        <v>49.888065705301962</v>
      </c>
      <c r="BQ163" s="62">
        <f t="shared" si="92"/>
        <v>51.709082727962702</v>
      </c>
      <c r="BR163" s="62">
        <f t="shared" si="92"/>
        <v>51.709082727962702</v>
      </c>
      <c r="BS163" s="62">
        <f t="shared" si="92"/>
        <v>51.709082727962702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28</v>
      </c>
      <c r="BA168" s="190">
        <f>IF(BA122&gt;0,HLOOKUP(BA122,[1]Trav!$C$11:$O$31,$AU$166),0)</f>
        <v>28</v>
      </c>
      <c r="BB168" s="190">
        <f>IF(BB122&gt;0,HLOOKUP(BB122,[1]Trav!$C$11:$O$31,$AU$166),0)</f>
        <v>28</v>
      </c>
      <c r="BC168" s="190">
        <f>IF(BC122&gt;0,HLOOKUP(BC122,[1]Trav!$C$11:$O$31,$AU$166),0)</f>
        <v>28</v>
      </c>
      <c r="BD168" s="190">
        <f>IF(BD122&gt;0,HLOOKUP(BD122,[1]Trav!$C$11:$O$31,$AU$166),0)</f>
        <v>28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28</v>
      </c>
      <c r="BP168" s="190">
        <f>IF(BP122&gt;0,HLOOKUP(BP122,[1]Trav!$C$11:$O$31,$AU$166),0)</f>
        <v>28</v>
      </c>
      <c r="BQ168" s="190">
        <f>IF(BQ122&gt;0,HLOOKUP(BQ122,[1]Trav!$C$11:$O$31,$AU$166),0)</f>
        <v>28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152.30699999999999</v>
      </c>
      <c r="D169" s="263">
        <f t="shared" si="50"/>
        <v>146.22991271820447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110.81176298205219</v>
      </c>
      <c r="D170" s="263">
        <f t="shared" si="50"/>
        <v>106.39034600521219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103.58</v>
      </c>
      <c r="D171" s="263">
        <f t="shared" si="50"/>
        <v>99.447132169576051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149.69999999999999</v>
      </c>
      <c r="D172" s="263">
        <f t="shared" si="50"/>
        <v>143.72693266832917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41.495237017947801</v>
      </c>
      <c r="D173" s="263">
        <f t="shared" si="50"/>
        <v>39.83956671299228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72.8</v>
      </c>
      <c r="D174" s="263">
        <f t="shared" si="50"/>
        <v>69.895261845386528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-46.11999999999999</v>
      </c>
      <c r="D175" s="263">
        <f>C175*$D$82/$C$82</f>
        <v>-44.279800498753104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46.11999999999999</v>
      </c>
      <c r="D176" s="263">
        <f>C176*$D$82/$C$82</f>
        <v>44.279800498753104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82</v>
      </c>
      <c r="D178" s="173">
        <f>ROUND((D170+D171)/(D170+D172),2)*100</f>
        <v>82</v>
      </c>
      <c r="AT178" s="40" t="s">
        <v>865</v>
      </c>
      <c r="AV178" s="173">
        <f>SUM(AV167:AV176)</f>
        <v>21</v>
      </c>
      <c r="AW178" s="173">
        <f t="shared" ref="AW178:BS178" si="98">SUM(AW167:AW176)</f>
        <v>21</v>
      </c>
      <c r="AX178" s="173">
        <f t="shared" si="98"/>
        <v>21</v>
      </c>
      <c r="AY178" s="173">
        <f t="shared" si="98"/>
        <v>35</v>
      </c>
      <c r="AZ178" s="173">
        <f t="shared" si="98"/>
        <v>42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42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42</v>
      </c>
      <c r="BP178" s="173">
        <f t="shared" si="98"/>
        <v>28</v>
      </c>
      <c r="BQ178" s="173">
        <f t="shared" si="98"/>
        <v>28</v>
      </c>
      <c r="BR178" s="173">
        <f t="shared" si="98"/>
        <v>21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5458</v>
      </c>
      <c r="D183" s="264">
        <f>ROUND(D184*D185,0)</f>
        <v>5236</v>
      </c>
      <c r="E183" s="17" t="s">
        <v>1295</v>
      </c>
    </row>
    <row r="184" spans="1:132" x14ac:dyDescent="0.25">
      <c r="B184" s="14" t="s">
        <v>1296</v>
      </c>
      <c r="C184" s="173">
        <f>Protection!AK26</f>
        <v>29.799999999999997</v>
      </c>
      <c r="D184" s="265">
        <f>C184*D82/C82</f>
        <v>28.61097256857855</v>
      </c>
    </row>
    <row r="185" spans="1:132" x14ac:dyDescent="0.25">
      <c r="B185" s="14" t="s">
        <v>1297</v>
      </c>
      <c r="C185" s="173">
        <f>IF(C183=0,0,ROUND(C183/C184,0))</f>
        <v>183</v>
      </c>
      <c r="D185" s="173">
        <f>C185</f>
        <v>183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21.000000000000004</v>
      </c>
      <c r="D190" s="173">
        <f>C190</f>
        <v>21.000000000000004</v>
      </c>
      <c r="AH190" s="15"/>
      <c r="AJ190" s="14" t="s">
        <v>1115</v>
      </c>
      <c r="AK190" s="30">
        <f>D190/30</f>
        <v>0.70000000000000007</v>
      </c>
      <c r="AN190" s="173">
        <f>[1]Eco!$B$106*[1]Eco!$B$108*[1]Eco!$B$109</f>
        <v>2551.2000000000003</v>
      </c>
      <c r="AO190" s="173">
        <f>AK190*AN190</f>
        <v>1785.8400000000004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0.77500000000000002</v>
      </c>
      <c r="D192" s="266">
        <f>ROUND((D183/1000)*([1]Protect!$B$25*8/10+[1]Protect!$B$26),2)/8</f>
        <v>0.74</v>
      </c>
      <c r="E192" s="17" t="s">
        <v>1308</v>
      </c>
      <c r="I192" s="5"/>
      <c r="AN192" s="14" t="s">
        <v>1117</v>
      </c>
      <c r="AO192" s="173">
        <f>SUM(AO189:AO191)</f>
        <v>7766.52</v>
      </c>
    </row>
    <row r="193" spans="1:43" x14ac:dyDescent="0.25">
      <c r="B193" s="14" t="s">
        <v>1309</v>
      </c>
      <c r="C193" s="173">
        <f>(Travail!F75+Travail!F76+Travail!F81)/8</f>
        <v>23.1875</v>
      </c>
      <c r="D193" s="173">
        <f>C193</f>
        <v>23.1875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7766.52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7766.52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7766.52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6213</v>
      </c>
      <c r="D210" s="264">
        <f>ROUND(AL207,0)</f>
        <v>7767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50819.199999999997</v>
      </c>
      <c r="D211" s="264">
        <f>ROUND(SUM(D201:D210),0)</f>
        <v>51331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78.540000000000006</v>
      </c>
      <c r="AK216" s="173"/>
      <c r="AL216" s="173"/>
      <c r="AM216" s="173">
        <f>'Calcul éco'!W272</f>
        <v>6</v>
      </c>
      <c r="AN216" s="173">
        <f>AJ216*AM216</f>
        <v>471.24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1998.1849999999999</v>
      </c>
      <c r="D217" s="261">
        <f t="shared" si="106"/>
        <v>1918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14181.599999999999</v>
      </c>
      <c r="D218" s="261">
        <f t="shared" si="106"/>
        <v>13616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5210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531.22</v>
      </c>
      <c r="D220" s="264">
        <f>SUM(AN215:AN219)</f>
        <v>511.24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51220</v>
      </c>
      <c r="D221" s="264">
        <f>ROUND(SUM(D216:D220),0)</f>
        <v>49178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2508.5000000000005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5236</v>
      </c>
      <c r="AL225" t="s">
        <v>1101</v>
      </c>
      <c r="AM225" s="173"/>
      <c r="AN225" s="173">
        <f>[1]Protect!$B$4</f>
        <v>6</v>
      </c>
      <c r="AO225" s="173">
        <f>AK225*AN225</f>
        <v>31416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8430.3000000000011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31816</v>
      </c>
      <c r="AQ228" s="30">
        <f>IF(Scénario!K84=1,MIN(0.8*AO228,[1]Protect!$B$68),IF(Scénario!K84=2,MIN(0.8*AO228,[1]Protect!$B$67),0))</f>
        <v>15500</v>
      </c>
      <c r="AR228" s="30">
        <f>AO228-AQ228</f>
        <v>16316</v>
      </c>
      <c r="AS228" s="30">
        <f>(1-Scénario!K127/100)*AR228</f>
        <v>16316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-74.934000000000026</v>
      </c>
      <c r="D230" s="261">
        <f t="shared" si="109"/>
        <v>-72</v>
      </c>
    </row>
    <row r="231" spans="1:49" x14ac:dyDescent="0.25">
      <c r="B231" s="14" t="s">
        <v>1083</v>
      </c>
      <c r="C231" s="173">
        <f>'Calcul éco'!J159</f>
        <v>-57.000000000000014</v>
      </c>
      <c r="D231" s="261">
        <f t="shared" si="109"/>
        <v>-55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-35.742000000000012</v>
      </c>
      <c r="D233" s="261">
        <f t="shared" si="109"/>
        <v>-34</v>
      </c>
    </row>
    <row r="234" spans="1:49" x14ac:dyDescent="0.25">
      <c r="B234" s="14" t="s">
        <v>1352</v>
      </c>
      <c r="C234" s="173">
        <f>'Calcul éco'!J166</f>
        <v>1785.8400000000004</v>
      </c>
      <c r="D234" s="173">
        <f>C234</f>
        <v>1785.8400000000004</v>
      </c>
    </row>
    <row r="235" spans="1:49" x14ac:dyDescent="0.25">
      <c r="B235" s="14" t="s">
        <v>1353</v>
      </c>
      <c r="C235" s="173">
        <f>'Calcul éco'!J167</f>
        <v>3584.4360000000001</v>
      </c>
      <c r="D235" s="264">
        <f>(D191+D192)*8*[1]Eco!$B$106</f>
        <v>1874.2816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35255</v>
      </c>
      <c r="D236" s="264">
        <f>ROUND(SUM(D222:D235),0)</f>
        <v>32598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26261.199999999997</v>
      </c>
      <c r="D237" s="264">
        <f>D194+D211-D221-D236</f>
        <v>29001</v>
      </c>
    </row>
    <row r="238" spans="1:49" x14ac:dyDescent="0.25">
      <c r="B238" s="211" t="s">
        <v>1090</v>
      </c>
      <c r="C238" s="173">
        <f>ROUND(C237/Scénario!$K$4,0)</f>
        <v>17507</v>
      </c>
      <c r="D238" s="264">
        <f>ROUND(D237/D83,0)</f>
        <v>14501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2175.8385855382489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12685</v>
      </c>
      <c r="D241" s="268">
        <f>ROUND(D237-D239-D240,0)</f>
        <v>17601</v>
      </c>
    </row>
    <row r="242" spans="1:15" x14ac:dyDescent="0.25">
      <c r="B242" s="211" t="s">
        <v>1094</v>
      </c>
      <c r="C242" s="173">
        <f>ROUND(C241/Scénario!K4,0)</f>
        <v>8457</v>
      </c>
      <c r="D242" s="264">
        <f>ROUND(D241/D83,0)</f>
        <v>8801</v>
      </c>
    </row>
    <row r="243" spans="1:15" x14ac:dyDescent="0.25">
      <c r="B243" s="211" t="s">
        <v>1357</v>
      </c>
      <c r="C243" s="173">
        <f>'Calcul éco'!X237+'Calcul éco'!X240</f>
        <v>33148</v>
      </c>
      <c r="D243" s="173">
        <f>C243</f>
        <v>33148</v>
      </c>
    </row>
    <row r="244" spans="1:15" x14ac:dyDescent="0.25">
      <c r="B244" s="211" t="s">
        <v>1358</v>
      </c>
      <c r="C244" s="173">
        <f>'Calcul éco'!AA237+'Calcul éco'!AA240</f>
        <v>17648</v>
      </c>
      <c r="D244" s="173">
        <f>C244</f>
        <v>17648</v>
      </c>
    </row>
    <row r="245" spans="1:15" x14ac:dyDescent="0.25">
      <c r="A245" s="2" t="s">
        <v>1359</v>
      </c>
      <c r="B245" s="14" t="s">
        <v>568</v>
      </c>
      <c r="C245" s="270">
        <f>Travail!F5</f>
        <v>630</v>
      </c>
      <c r="D245" s="173">
        <f>C245</f>
        <v>630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967.73600000000022</v>
      </c>
      <c r="D248" s="264">
        <f>ROUND(SUM(AV163:BS163),1)</f>
        <v>959.3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18.3186</v>
      </c>
      <c r="L258" s="190">
        <f>IF(K258&gt;[1]Trav!E121,[1]Trav!C121,[1]Trav!B121)</f>
        <v>7.2</v>
      </c>
      <c r="N258" s="274"/>
      <c r="O258">
        <f t="shared" si="114"/>
        <v>131.89392000000001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13.537000000000001</v>
      </c>
      <c r="L259" s="190">
        <f>IF(K259&gt;[1]Trav!E121,[1]Trav!C121,[1]Trav!B121)</f>
        <v>7.2</v>
      </c>
      <c r="N259" s="274"/>
      <c r="O259">
        <f t="shared" si="114"/>
        <v>97.466400000000007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2.0350000000000001</v>
      </c>
      <c r="L261" s="190">
        <f>IF(K261&gt;[1]Trav!E122,[1]Trav!C122,[1]Trav!B122)</f>
        <v>4.4000000000000004</v>
      </c>
      <c r="M261" s="5"/>
      <c r="N261" s="274"/>
      <c r="O261">
        <f t="shared" si="114"/>
        <v>8.9540000000000006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137</v>
      </c>
      <c r="D267" s="264">
        <f t="shared" si="116"/>
        <v>132</v>
      </c>
    </row>
    <row r="268" spans="1:15" x14ac:dyDescent="0.25">
      <c r="B268" s="32" t="s">
        <v>791</v>
      </c>
      <c r="C268" s="270">
        <f>Travail!F56</f>
        <v>102</v>
      </c>
      <c r="D268" s="264">
        <f t="shared" si="116"/>
        <v>97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9</v>
      </c>
      <c r="D270" s="264">
        <f t="shared" si="116"/>
        <v>9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6.2</v>
      </c>
      <c r="D276" s="264">
        <f>D192*8</f>
        <v>5.92</v>
      </c>
    </row>
    <row r="277" spans="1:4" x14ac:dyDescent="0.25">
      <c r="B277" s="32" t="s">
        <v>1419</v>
      </c>
      <c r="C277" s="270">
        <f>Travail!F75+Travail!F81</f>
        <v>161</v>
      </c>
      <c r="D277" s="173">
        <f>C277</f>
        <v>161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168.00000000000003</v>
      </c>
      <c r="D279" s="270">
        <f>C279</f>
        <v>168.00000000000003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3146</v>
      </c>
      <c r="D281" s="264">
        <f>ROUND(D245+D248+D251+D254+D257+D260+D261,0)</f>
        <v>3091</v>
      </c>
    </row>
    <row r="282" spans="1:4" x14ac:dyDescent="0.25">
      <c r="B282" s="14" t="s">
        <v>1372</v>
      </c>
      <c r="C282" s="173">
        <f>ROUND(C246+C249+C252+C255+C258,0)</f>
        <v>783</v>
      </c>
      <c r="D282" s="264">
        <f>ROUND(D246+D249+D252+D255+D258,0)</f>
        <v>779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10.35</v>
      </c>
      <c r="D284" s="173">
        <f>ROUND(D281/(Troupeau!$B$17*G63),2)</f>
        <v>10.59</v>
      </c>
    </row>
    <row r="285" spans="1:4" x14ac:dyDescent="0.25">
      <c r="B285" s="14" t="s">
        <v>1375</v>
      </c>
      <c r="C285" s="173">
        <f>IF(Troupeau!$C$17=0,0,ROUND(C282/Troupeau!$C$17,2))</f>
        <v>41.21</v>
      </c>
      <c r="D285" s="173">
        <f>IF(Troupeau!$C$17=0,0,ROUND(D282/Troupeau!$C$17*G63,2))</f>
        <v>39.36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3929</v>
      </c>
      <c r="D287" s="264">
        <f>SUM(D281:D283)</f>
        <v>3870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304</v>
      </c>
      <c r="D289" s="264">
        <f>SUM(D262:D271)</f>
        <v>295</v>
      </c>
    </row>
    <row r="290" spans="2:4" x14ac:dyDescent="0.25">
      <c r="B290" s="14" t="s">
        <v>1421</v>
      </c>
      <c r="C290" s="270">
        <f>C275+C276+C277</f>
        <v>337.6</v>
      </c>
      <c r="D290" s="277">
        <f>D275+D276+D277</f>
        <v>337.32</v>
      </c>
    </row>
    <row r="291" spans="2:4" x14ac:dyDescent="0.25">
      <c r="B291" s="14" t="s">
        <v>1422</v>
      </c>
      <c r="C291" s="270">
        <f>C278+C279+C280</f>
        <v>192.50000000000003</v>
      </c>
      <c r="D291" s="270">
        <f>D278+D279+D280</f>
        <v>192.50000000000003</v>
      </c>
    </row>
    <row r="292" spans="2:4" x14ac:dyDescent="0.25">
      <c r="B292" s="14" t="s">
        <v>873</v>
      </c>
      <c r="C292" s="173">
        <f>ROUND(SUM(C287:C291),0)</f>
        <v>5363</v>
      </c>
      <c r="D292" s="264">
        <f>ROUND(SUM(D287:D291),0)</f>
        <v>5295</v>
      </c>
    </row>
    <row r="293" spans="2:4" x14ac:dyDescent="0.25">
      <c r="B293" s="14" t="s">
        <v>874</v>
      </c>
      <c r="C293" s="173">
        <f>ROUND(IF(Scénario!$K$129=1,SUM(C275:C280),SUM(C278:C280)),0)</f>
        <v>530</v>
      </c>
      <c r="D293" s="173">
        <f>ROUND(IF(Scénario!$K$129=1,SUM(D275:D280),SUM(D278:D280)),0)</f>
        <v>530</v>
      </c>
    </row>
    <row r="294" spans="2:4" x14ac:dyDescent="0.25">
      <c r="B294" s="14" t="s">
        <v>875</v>
      </c>
      <c r="C294" s="173">
        <f>ROUND((C292-C293)/C83,0)</f>
        <v>3222</v>
      </c>
      <c r="D294" s="173">
        <f>ROUND((D292-D293)/D83,0)</f>
        <v>2383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53.304618022052161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32748</v>
      </c>
    </row>
    <row r="308" spans="2:3" x14ac:dyDescent="0.25">
      <c r="B308" s="14" t="s">
        <v>1460</v>
      </c>
      <c r="C308" s="173">
        <f>'Calcul éco'!X235</f>
        <v>400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52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34.5105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621</v>
      </c>
      <c r="C73" s="64">
        <f t="shared" ref="C73:Y73" si="28">ROUND(SUM(C63:C72),0)</f>
        <v>615</v>
      </c>
      <c r="D73" s="64">
        <f t="shared" si="28"/>
        <v>550</v>
      </c>
      <c r="E73" s="64">
        <f t="shared" si="28"/>
        <v>295</v>
      </c>
      <c r="F73" s="64">
        <f t="shared" si="28"/>
        <v>325</v>
      </c>
      <c r="G73" s="64">
        <f t="shared" si="28"/>
        <v>324</v>
      </c>
      <c r="H73" s="64">
        <f t="shared" si="28"/>
        <v>312</v>
      </c>
      <c r="I73" s="64">
        <f t="shared" si="28"/>
        <v>311</v>
      </c>
      <c r="J73" s="64">
        <f t="shared" si="28"/>
        <v>363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320</v>
      </c>
      <c r="V73" s="64">
        <f t="shared" si="28"/>
        <v>602</v>
      </c>
      <c r="W73" s="64">
        <f t="shared" si="28"/>
        <v>601</v>
      </c>
      <c r="X73" s="64">
        <f t="shared" si="28"/>
        <v>621</v>
      </c>
      <c r="Y73" s="64">
        <f t="shared" si="28"/>
        <v>621</v>
      </c>
      <c r="Z73" s="52"/>
      <c r="AA73" s="56">
        <f>ROUND(SUM(B73:Y73),0)</f>
        <v>7669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13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112.91396344577396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124.20535979035137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91.785440018573851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</v>
      </c>
      <c r="G172" s="61">
        <f t="shared" si="75"/>
        <v>5.3772581885217399</v>
      </c>
      <c r="H172" s="61">
        <f t="shared" si="75"/>
        <v>5.1768355617391331</v>
      </c>
      <c r="I172" s="61">
        <f t="shared" si="75"/>
        <v>5.1498728765217399</v>
      </c>
      <c r="J172" s="61">
        <f t="shared" si="75"/>
        <v>5.2658124229565226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2.4143940950956533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47.728517848139127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</v>
      </c>
      <c r="Y198" s="61">
        <f t="shared" si="96"/>
        <v>0</v>
      </c>
      <c r="AA198" s="64">
        <f>SUM(B198:Y198)</f>
        <v>5.5761001739130442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</v>
      </c>
      <c r="G215" s="61">
        <f t="shared" si="108"/>
        <v>5.3772581885217399</v>
      </c>
      <c r="H215" s="61">
        <f t="shared" si="108"/>
        <v>5.1768355617391331</v>
      </c>
      <c r="I215" s="61">
        <f t="shared" si="108"/>
        <v>5.1498728765217399</v>
      </c>
      <c r="J215" s="61">
        <f t="shared" si="108"/>
        <v>5.2658124229565226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2.4143940950956533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91.78544001857388</v>
      </c>
      <c r="AB219" t="s">
        <v>222</v>
      </c>
    </row>
    <row r="220" spans="1:28" x14ac:dyDescent="0.25">
      <c r="AA220" s="30">
        <f>SUM(B215:Y217)</f>
        <v>53.304618022052161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F53" sqref="B53:F5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2023-01-09T10:04:04Z</dcterms:modified>
</cp:coreProperties>
</file>