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280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CX91" i="30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W72" i="30" l="1"/>
  <c r="Q72" i="30"/>
  <c r="M8" i="29"/>
  <c r="M201" i="29" s="1"/>
  <c r="X8" i="29"/>
  <c r="AB72" i="30"/>
  <c r="U72" i="30"/>
  <c r="Q8" i="29"/>
  <c r="Q201" i="29" s="1"/>
  <c r="Z8" i="29"/>
  <c r="Z201" i="29" s="1"/>
  <c r="AD72" i="30"/>
  <c r="V72" i="30"/>
  <c r="R8" i="29"/>
  <c r="R201" i="29" s="1"/>
  <c r="P72" i="30"/>
  <c r="L8" i="29"/>
  <c r="L201" i="29" s="1"/>
  <c r="N72" i="30"/>
  <c r="J8" i="29"/>
  <c r="J201" i="29" s="1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AC72" i="30"/>
  <c r="M72" i="30"/>
  <c r="I8" i="29"/>
  <c r="P8" i="29"/>
  <c r="P201" i="29" s="1"/>
  <c r="T72" i="30"/>
  <c r="U8" i="29"/>
  <c r="Y72" i="30"/>
  <c r="I72" i="30"/>
  <c r="E8" i="29"/>
  <c r="E201" i="29" s="1"/>
  <c r="E212" i="29" s="1"/>
  <c r="X72" i="30"/>
  <c r="T8" i="29"/>
  <c r="H72" i="30"/>
  <c r="D8" i="29"/>
  <c r="S8" i="29"/>
  <c r="S201" i="29" s="1"/>
  <c r="F8" i="29"/>
  <c r="F201" i="29" s="1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I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8" i="33" l="1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Q135" i="33" l="1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Q172" i="24"/>
  <c r="Q215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T185" i="24" l="1"/>
  <c r="T216" i="24" s="1"/>
  <c r="AA221" i="24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F84" i="30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<sst xmlns="http://schemas.openxmlformats.org/spreadsheetml/2006/main" count="3098" uniqueCount="1464">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</sst>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28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50.375500000000002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172.15064252485223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4.6202567453913046</v>
      </c>
      <c r="Q5" s="143">
        <f>CdTrp1!L215+CdTrp2!L215+CdTrp3!L215+CdTrp4!L215</f>
        <v>4.4712162052173925</v>
      </c>
      <c r="R5" s="143">
        <f>CdTrp1!M215+CdTrp2!M215+CdTrp3!M215+CdTrp4!M215</f>
        <v>0.15561</v>
      </c>
      <c r="S5" s="143">
        <f>CdTrp1!N215+CdTrp2!N215+CdTrp3!N215+CdTrp4!N215</f>
        <v>0.160797</v>
      </c>
      <c r="T5" s="143">
        <f>CdTrp1!O215+CdTrp2!O215+CdTrp3!O215+CdTrp4!O215</f>
        <v>2.4913227499999997</v>
      </c>
      <c r="U5" s="143">
        <f>CdTrp1!P215+CdTrp2!P215+CdTrp3!P215+CdTrp4!P215</f>
        <v>2.4913227499999997</v>
      </c>
      <c r="V5" s="143">
        <f>CdTrp1!Q215+CdTrp2!Q215+CdTrp3!Q215+CdTrp4!Q215</f>
        <v>2.4913227499999997</v>
      </c>
      <c r="W5" s="143">
        <f>CdTrp1!R215+CdTrp2!R215+CdTrp3!R215+CdTrp4!R215</f>
        <v>0.15561</v>
      </c>
      <c r="X5" s="143">
        <f>CdTrp1!S215+CdTrp2!S215+CdTrp3!S215+CdTrp4!S215</f>
        <v>0.15561</v>
      </c>
      <c r="Y5" s="143">
        <f>CdTrp1!T215+CdTrp2!T215+CdTrp3!T215+CdTrp4!T215</f>
        <v>1.5789488124869573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139.72324654379128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160.19999999999999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8.237158495391304</v>
      </c>
      <c r="Q8" s="143">
        <f t="shared" si="0"/>
        <v>7.9714437052173928</v>
      </c>
      <c r="R8" s="143">
        <f t="shared" si="0"/>
        <v>3.6558375000000001</v>
      </c>
      <c r="S8" s="143">
        <f t="shared" si="0"/>
        <v>3.7776987499999994</v>
      </c>
      <c r="T8" s="143">
        <f t="shared" si="0"/>
        <v>3.7776987499999999</v>
      </c>
      <c r="U8" s="143">
        <f t="shared" si="0"/>
        <v>3.7776987499999999</v>
      </c>
      <c r="V8" s="143">
        <f t="shared" si="0"/>
        <v>3.7776987499999999</v>
      </c>
      <c r="W8" s="143">
        <f t="shared" si="0"/>
        <v>3.3191099999999998</v>
      </c>
      <c r="X8" s="143">
        <f t="shared" si="0"/>
        <v>3.3191099999999998</v>
      </c>
      <c r="Y8" s="143">
        <f t="shared" si="0"/>
        <v>4.1625855324869576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101.24242454726955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42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20.5</v>
      </c>
      <c r="H18" s="158">
        <f>G18/G17</f>
        <v>0.48809523809523808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0.29761904761904762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0.13095238095238096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2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8.237158495391304</v>
      </c>
      <c r="BC5" s="13">
        <f>'Conduite Trp'!Q8</f>
        <v>7.9714437052173928</v>
      </c>
      <c r="BD5" s="13">
        <f>'Conduite Trp'!R8</f>
        <v>3.6558375000000001</v>
      </c>
      <c r="BE5" s="13">
        <f>'Conduite Trp'!S8</f>
        <v>3.7776987499999994</v>
      </c>
      <c r="BF5" s="13">
        <f>'Conduite Trp'!T8</f>
        <v>3.7776987499999999</v>
      </c>
      <c r="BG5" s="13">
        <f>'Conduite Trp'!U8</f>
        <v>3.7776987499999999</v>
      </c>
      <c r="BH5" s="13">
        <f>'Conduite Trp'!V8</f>
        <v>3.7776987499999999</v>
      </c>
      <c r="BI5" s="13">
        <f>'Conduite Trp'!W8</f>
        <v>3.3191099999999998</v>
      </c>
      <c r="BJ5" s="13">
        <f>'Conduite Trp'!X8</f>
        <v>3.3191099999999998</v>
      </c>
      <c r="BK5" s="13">
        <f>'Conduite Trp'!Y8</f>
        <v>4.1625855324869576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</v>
      </c>
      <c r="AF7" s="61">
        <f t="shared" ref="AF7:AF26" si="1">$R7*W7</f>
        <v>3</v>
      </c>
      <c r="AG7" s="61">
        <f t="shared" ref="AG7:AG26" si="2">$R7*X7</f>
        <v>2.2999999999999998</v>
      </c>
      <c r="AH7" s="61">
        <f t="shared" ref="AH7:AH26" si="3">$R7*Y7</f>
        <v>0.5</v>
      </c>
      <c r="AI7" s="61">
        <f t="shared" ref="AI7:AI26" si="4">$R7*Z7</f>
        <v>0.7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8.237158495391304</v>
      </c>
      <c r="BC7" s="61">
        <f t="shared" si="7"/>
        <v>7.9714437052173928</v>
      </c>
      <c r="BD7" s="61">
        <f t="shared" si="7"/>
        <v>3.6558375000000001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48.717356342260878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50.375500000000002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10.6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15.899999999999999</v>
      </c>
      <c r="AF8" s="61">
        <f t="shared" si="1"/>
        <v>0</v>
      </c>
      <c r="AG8" s="61">
        <f t="shared" si="2"/>
        <v>7.9499999999999993</v>
      </c>
      <c r="AH8" s="61">
        <f t="shared" si="3"/>
        <v>7.9499999999999993</v>
      </c>
      <c r="AI8" s="61">
        <f t="shared" si="4"/>
        <v>10.6</v>
      </c>
      <c r="AJ8" s="61">
        <f t="shared" si="5"/>
        <v>0</v>
      </c>
      <c r="AK8" s="141"/>
      <c r="AL8" s="61">
        <f t="shared" si="6"/>
        <v>53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3.7776987499999994</v>
      </c>
      <c r="BF8" s="61">
        <f t="shared" si="8"/>
        <v>3.7776987499999999</v>
      </c>
      <c r="BG8" s="61">
        <f t="shared" si="8"/>
        <v>3.7776987499999999</v>
      </c>
      <c r="BH8" s="61">
        <f t="shared" si="8"/>
        <v>3.7776987499999999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15.110795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50.375500000000002</v>
      </c>
      <c r="G9" s="81"/>
      <c r="H9" s="61">
        <f>SUM(L34:L43)</f>
        <v>0</v>
      </c>
      <c r="I9" s="81"/>
      <c r="J9" s="81"/>
      <c r="K9" s="93">
        <f>H9-F9</f>
        <v>-50.375500000000002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3.3191099999999998</v>
      </c>
      <c r="BJ9" s="61">
        <f t="shared" si="10"/>
        <v>3.3191099999999998</v>
      </c>
      <c r="BK9" s="61">
        <f t="shared" si="10"/>
        <v>4.1625855324869576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23.880269581704351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4.6202567453913046</v>
      </c>
      <c r="BC15" s="13">
        <f>'Conduite Trp'!Q5</f>
        <v>4.4712162052173925</v>
      </c>
      <c r="BD15" s="13">
        <f>'Conduite Trp'!R5</f>
        <v>0.15561</v>
      </c>
      <c r="BE15" s="13">
        <f>'Conduite Trp'!S5</f>
        <v>0.160797</v>
      </c>
      <c r="BF15" s="13">
        <f>'Conduite Trp'!T5</f>
        <v>2.4913227499999997</v>
      </c>
      <c r="BG15" s="13">
        <f>'Conduite Trp'!U5</f>
        <v>2.4913227499999997</v>
      </c>
      <c r="BH15" s="13">
        <f>'Conduite Trp'!V5</f>
        <v>2.4913227499999997</v>
      </c>
      <c r="BI15" s="13">
        <f>'Conduite Trp'!W5</f>
        <v>0.15561</v>
      </c>
      <c r="BJ15" s="13">
        <f>'Conduite Trp'!X5</f>
        <v>0.15561</v>
      </c>
      <c r="BK15" s="13">
        <f>'Conduite Trp'!Y5</f>
        <v>1.5789488124869573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4.6202567453913046</v>
      </c>
      <c r="BC19" s="61">
        <f t="shared" si="15"/>
        <v>4.4712162052173925</v>
      </c>
      <c r="BD19" s="61">
        <f t="shared" si="15"/>
        <v>0.15561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29.91372671182609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0.160797</v>
      </c>
      <c r="BF20" s="61">
        <f t="shared" si="16"/>
        <v>2.4913227499999997</v>
      </c>
      <c r="BG20" s="61">
        <f t="shared" si="16"/>
        <v>2.4913227499999997</v>
      </c>
      <c r="BH20" s="61">
        <f t="shared" si="16"/>
        <v>2.4913227499999997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7.6347652499999992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0.15561</v>
      </c>
      <c r="BJ21" s="61">
        <f t="shared" si="18"/>
        <v>0.15561</v>
      </c>
      <c r="BK21" s="61">
        <f t="shared" si="18"/>
        <v>1.5789488124869573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8.7339738912695672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49.93</v>
      </c>
      <c r="E24" s="61">
        <f t="shared" si="21"/>
        <v>15.194999999999999</v>
      </c>
      <c r="F24" s="61">
        <f t="shared" si="21"/>
        <v>34.76</v>
      </c>
      <c r="G24" s="61">
        <f t="shared" si="21"/>
        <v>17.381</v>
      </c>
      <c r="H24" s="61">
        <f t="shared" si="21"/>
        <v>26.341000000000001</v>
      </c>
      <c r="I24" s="61">
        <f t="shared" si="21"/>
        <v>0</v>
      </c>
      <c r="J24" s="63"/>
      <c r="K24" s="61">
        <f>AL27+AL49+AL71</f>
        <v>111.08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48.717356342260878</v>
      </c>
      <c r="E25" s="61">
        <f>BR8</f>
        <v>15.110795</v>
      </c>
      <c r="F25" s="61">
        <f>BR9</f>
        <v>23.880269581704351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160.19999999999999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1.2126436577391217</v>
      </c>
      <c r="E27" s="93">
        <f t="shared" si="23"/>
        <v>8.4204999999998975E-2</v>
      </c>
      <c r="F27" s="93">
        <f t="shared" si="23"/>
        <v>10.879730418295647</v>
      </c>
      <c r="G27" s="93">
        <f t="shared" si="23"/>
        <v>14.547244173913043</v>
      </c>
      <c r="H27" s="93">
        <f t="shared" si="23"/>
        <v>15.640752202782609</v>
      </c>
      <c r="I27" s="93">
        <f t="shared" si="23"/>
        <v>0</v>
      </c>
      <c r="J27" s="63"/>
      <c r="K27" s="93">
        <f>K24-K25</f>
        <v>-49.11999999999999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30.48</v>
      </c>
      <c r="AF27" s="75">
        <f t="shared" ref="AF27:AJ27" si="24">SUM(AF7:AF26)</f>
        <v>5.52</v>
      </c>
      <c r="AG27" s="75">
        <f t="shared" si="24"/>
        <v>17.78</v>
      </c>
      <c r="AH27" s="75">
        <f t="shared" si="24"/>
        <v>13.25</v>
      </c>
      <c r="AI27" s="75">
        <f t="shared" si="24"/>
        <v>18.07</v>
      </c>
      <c r="AJ27" s="75">
        <f t="shared" si="24"/>
        <v>0</v>
      </c>
      <c r="AK27"/>
      <c r="AL27" s="75">
        <f>SUM(AL7:AL26)</f>
        <v>77.33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30.48</v>
      </c>
      <c r="E72" s="61">
        <f t="shared" ref="E72:H72" si="69">AF27</f>
        <v>5.52</v>
      </c>
      <c r="F72" s="61">
        <f t="shared" si="69"/>
        <v>17.78</v>
      </c>
      <c r="G72" s="61">
        <f t="shared" si="69"/>
        <v>13.25</v>
      </c>
      <c r="H72" s="61">
        <f t="shared" si="69"/>
        <v>18.07</v>
      </c>
      <c r="I72" s="61">
        <f t="shared" ref="I72" si="70">AJ75+AJ97+AJ119</f>
        <v>0</v>
      </c>
      <c r="J72" s="63"/>
      <c r="K72" s="61">
        <f>+K24</f>
        <v>111.08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29.91372671182609</v>
      </c>
      <c r="E73" s="61">
        <f>BR20</f>
        <v>7.6347652499999992</v>
      </c>
      <c r="F73" s="61">
        <f>BR21</f>
        <v>8.7339738912695672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160.19999999999999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0.56627328817391032</v>
      </c>
      <c r="E75" s="93">
        <f t="shared" ref="E75:I75" si="71">E72-E73</f>
        <v>-2.1147652499999996</v>
      </c>
      <c r="F75" s="93">
        <f t="shared" si="71"/>
        <v>9.0460261087304339</v>
      </c>
      <c r="G75" s="93">
        <f t="shared" si="71"/>
        <v>10.416244173913043</v>
      </c>
      <c r="H75" s="93">
        <f t="shared" si="71"/>
        <v>11.359382115826087</v>
      </c>
      <c r="I75" s="93">
        <f t="shared" si="71"/>
        <v>0</v>
      </c>
      <c r="J75" s="63"/>
      <c r="K75" s="93">
        <f>+K27</f>
        <v>-49.11999999999999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opLeftCell="A3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5457.8290163783731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5457.8290163783731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66</v>
      </c>
      <c r="P66" s="170">
        <f>SUMIF(Parcellaire!$B$2:$B$65,1,Parcellaire!P2:P65)</f>
        <v>0</v>
      </c>
      <c r="Q66" s="170">
        <f>SUMIF(Parcellaire!$B$2:$B$65,1,Parcellaire!Q2:Q65)</f>
        <v>39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5457.8290163783731</v>
      </c>
      <c r="U66" s="170">
        <f>SUMIF(Parcellaire!$B$2:$B$65,1,Parcellaire!U2:U65)</f>
        <v>5159.8032726246274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27" zoomScale="80" zoomScaleNormal="80" workbookViewId="0">
      <selection activeCell="M86" sqref="M86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22.7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15.6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2.27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10.6</v>
      </c>
      <c r="T165" s="173">
        <f>VLOOKUP(R165,[1]MEP!$A$4:$M$300,13)</f>
        <v>2</v>
      </c>
      <c r="U165" s="173">
        <f t="shared" ref="U165:U207" si="10">IF($T165&gt;0,$S165,0)</f>
        <v>10.6</v>
      </c>
      <c r="V165" s="173">
        <f t="shared" ref="V165:V207" si="11">IF($T165&gt;1,$S165,0)</f>
        <v>10.6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10.6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10.6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22.7</v>
      </c>
      <c r="V228" s="62">
        <f t="shared" ref="V228:W228" si="22">SUM(V164:V227)</f>
        <v>15.6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5.3</v>
      </c>
      <c r="AI228" s="62">
        <f t="shared" si="24"/>
        <v>7.1</v>
      </c>
      <c r="AJ228" s="62">
        <f t="shared" si="24"/>
        <v>10.6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1</v>
      </c>
      <c r="M3" s="177">
        <f t="shared" si="0"/>
        <v>1</v>
      </c>
      <c r="N3" s="177">
        <f t="shared" si="0"/>
        <v>0</v>
      </c>
      <c r="O3" s="177">
        <f t="shared" si="0"/>
        <v>0</v>
      </c>
      <c r="P3" s="177">
        <f t="shared" si="0"/>
        <v>0</v>
      </c>
      <c r="Q3" s="177">
        <f t="shared" si="0"/>
        <v>0</v>
      </c>
      <c r="R3" s="177">
        <f t="shared" si="0"/>
        <v>0</v>
      </c>
      <c r="S3" s="177">
        <f t="shared" si="0"/>
        <v>0</v>
      </c>
      <c r="T3" s="177">
        <f t="shared" si="0"/>
        <v>0</v>
      </c>
      <c r="U3" s="177">
        <f t="shared" si="0"/>
        <v>1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5458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5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2</v>
      </c>
      <c r="M8" s="177">
        <f>(M3+M4)*[1]Protect!$B$12</f>
        <v>2</v>
      </c>
      <c r="N8" s="177">
        <f>(N3+N4)*[1]Protect!$B$12</f>
        <v>0</v>
      </c>
      <c r="O8" s="177">
        <f>(O3+O4)*[1]Protect!$B$12</f>
        <v>0</v>
      </c>
      <c r="P8" s="177">
        <f>(P3+P4)*[1]Protect!$B$12</f>
        <v>0</v>
      </c>
      <c r="Q8" s="177">
        <f>(Q3+Q4)*[1]Protect!$B$12</f>
        <v>0</v>
      </c>
      <c r="R8" s="177">
        <f>(R3+R4)*[1]Protect!$B$12</f>
        <v>0</v>
      </c>
      <c r="S8" s="177">
        <f>(S3+S4)*[1]Protect!$B$12</f>
        <v>0</v>
      </c>
      <c r="T8" s="177">
        <f>(T3+T4)*[1]Protect!$B$12</f>
        <v>0</v>
      </c>
      <c r="U8" s="177">
        <f>(U3+U4)*[1]Protect!$B$12</f>
        <v>2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5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2</v>
      </c>
      <c r="M11" s="177">
        <f t="shared" si="14"/>
        <v>2</v>
      </c>
      <c r="N11" s="177">
        <f t="shared" si="14"/>
        <v>0</v>
      </c>
      <c r="O11" s="177">
        <f t="shared" si="14"/>
        <v>0</v>
      </c>
      <c r="P11" s="177">
        <f t="shared" si="14"/>
        <v>0</v>
      </c>
      <c r="Q11" s="177">
        <f t="shared" si="14"/>
        <v>0</v>
      </c>
      <c r="R11" s="177">
        <f t="shared" si="14"/>
        <v>0</v>
      </c>
      <c r="S11" s="177">
        <f t="shared" si="14"/>
        <v>0</v>
      </c>
      <c r="T11" s="177">
        <f t="shared" si="14"/>
        <v>0</v>
      </c>
      <c r="U11" s="177">
        <f t="shared" si="14"/>
        <v>2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2</v>
      </c>
      <c r="M13" s="177">
        <f t="shared" si="15"/>
        <v>2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2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1</v>
      </c>
      <c r="M16" s="173">
        <f t="shared" si="17"/>
        <v>1</v>
      </c>
      <c r="N16" s="173">
        <f t="shared" si="17"/>
        <v>1</v>
      </c>
      <c r="O16" s="173">
        <f t="shared" si="17"/>
        <v>1</v>
      </c>
      <c r="P16" s="173">
        <f t="shared" si="17"/>
        <v>1</v>
      </c>
      <c r="Q16" s="173">
        <f t="shared" si="17"/>
        <v>1</v>
      </c>
      <c r="R16" s="173">
        <f t="shared" si="17"/>
        <v>1</v>
      </c>
      <c r="S16" s="173">
        <f t="shared" si="17"/>
        <v>1</v>
      </c>
      <c r="T16" s="173">
        <f t="shared" si="17"/>
        <v>1</v>
      </c>
      <c r="U16" s="173">
        <f t="shared" si="17"/>
        <v>1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1</v>
      </c>
      <c r="I17" s="173">
        <f t="shared" si="18"/>
        <v>1</v>
      </c>
      <c r="J17" s="173">
        <f t="shared" si="18"/>
        <v>1</v>
      </c>
      <c r="K17" s="173">
        <f t="shared" si="18"/>
        <v>1</v>
      </c>
      <c r="L17" s="173">
        <f t="shared" si="18"/>
        <v>1</v>
      </c>
      <c r="M17" s="173">
        <f t="shared" si="18"/>
        <v>1</v>
      </c>
      <c r="N17" s="173">
        <f t="shared" si="18"/>
        <v>0</v>
      </c>
      <c r="O17" s="173">
        <f t="shared" si="18"/>
        <v>0</v>
      </c>
      <c r="P17" s="173">
        <f t="shared" si="18"/>
        <v>0</v>
      </c>
      <c r="Q17" s="173">
        <f t="shared" si="18"/>
        <v>0</v>
      </c>
      <c r="R17" s="173">
        <f t="shared" si="18"/>
        <v>0</v>
      </c>
      <c r="S17" s="173">
        <f t="shared" si="18"/>
        <v>0</v>
      </c>
      <c r="T17" s="173">
        <f t="shared" si="18"/>
        <v>0</v>
      </c>
      <c r="U17" s="173">
        <f t="shared" si="18"/>
        <v>1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5458</v>
      </c>
      <c r="AE20" s="64">
        <v>0</v>
      </c>
      <c r="AF20" s="64">
        <f>SUM(AD20:AE20)</f>
        <v>5458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5458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5458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1</v>
      </c>
      <c r="M70" s="173">
        <f>IF($AA70=0,99,IF(M83&gt;3,CdTrp1!L78,CdTrp1!L54))</f>
        <v>1</v>
      </c>
      <c r="N70" s="173">
        <f>IF($AA70=0,99,IF(N83&gt;3,CdTrp1!M78,CdTrp1!M54))</f>
        <v>1</v>
      </c>
      <c r="O70" s="173">
        <f>IF($AA70=0,99,IF(O83&gt;3,CdTrp1!N78,CdTrp1!N54))</f>
        <v>1</v>
      </c>
      <c r="P70" s="173">
        <f>IF($AA70=0,99,IF(P83&gt;3,CdTrp1!O78,CdTrp1!O54))</f>
        <v>1</v>
      </c>
      <c r="Q70" s="173">
        <f>IF($AA70=0,99,IF(Q83&gt;3,CdTrp1!P78,CdTrp1!P54))</f>
        <v>1</v>
      </c>
      <c r="R70" s="173">
        <f>IF($AA70=0,99,IF(R83&gt;3,CdTrp1!Q78,CdTrp1!Q54))</f>
        <v>1</v>
      </c>
      <c r="S70" s="173">
        <f>IF($AA70=0,99,IF(S83&gt;3,CdTrp1!R78,CdTrp1!R54))</f>
        <v>1</v>
      </c>
      <c r="T70" s="173">
        <f>IF($AA70=0,99,IF(T83&gt;3,CdTrp1!S78,CdTrp1!S54))</f>
        <v>1</v>
      </c>
      <c r="U70" s="173">
        <f>IF($AA70=0,99,IF(U83&gt;3,CdTrp1!T78,CdTrp1!T54))</f>
        <v>1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2</v>
      </c>
      <c r="M201" s="173">
        <f>IF(Troupeau!$B$3="OL",M8+M9,0)</f>
        <v>2</v>
      </c>
      <c r="N201" s="173">
        <f>IF(Troupeau!$B$3="OL",N8+N9,0)</f>
        <v>0</v>
      </c>
      <c r="O201" s="173">
        <f>IF(Troupeau!$B$3="OL",O8+O9,0)</f>
        <v>0</v>
      </c>
      <c r="P201" s="173">
        <f>IF(Troupeau!$B$3="OL",P8+P9,0)</f>
        <v>0</v>
      </c>
      <c r="Q201" s="173">
        <f>IF(Troupeau!$B$3="OL",Q8+Q9,0)</f>
        <v>0</v>
      </c>
      <c r="R201" s="173">
        <f>IF(Troupeau!$B$3="OL",R8+R9,0)</f>
        <v>0</v>
      </c>
      <c r="S201" s="173">
        <f>IF(Troupeau!$B$3="OL",S8+S9,0)</f>
        <v>0</v>
      </c>
      <c r="T201" s="173">
        <f>IF(Troupeau!$B$3="OL",T8+T9,0)</f>
        <v>0</v>
      </c>
      <c r="U201" s="173">
        <f>IF(Troupeau!$B$3="OL",U8+U9,0)</f>
        <v>2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2</v>
      </c>
      <c r="M203" s="173">
        <f t="shared" si="51"/>
        <v>2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2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2</v>
      </c>
      <c r="M212" s="173">
        <f t="shared" si="52"/>
        <v>2</v>
      </c>
      <c r="N212" s="173">
        <f t="shared" si="52"/>
        <v>0</v>
      </c>
      <c r="O212" s="173">
        <f t="shared" si="52"/>
        <v>0</v>
      </c>
      <c r="P212" s="173">
        <f t="shared" si="52"/>
        <v>0</v>
      </c>
      <c r="Q212" s="173">
        <f t="shared" si="52"/>
        <v>0</v>
      </c>
      <c r="R212" s="173">
        <f t="shared" si="52"/>
        <v>0</v>
      </c>
      <c r="S212" s="173">
        <f t="shared" si="52"/>
        <v>0</v>
      </c>
      <c r="T212" s="173">
        <f t="shared" si="52"/>
        <v>0</v>
      </c>
      <c r="U212" s="173">
        <f t="shared" si="52"/>
        <v>2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2</v>
      </c>
      <c r="M214" s="173">
        <f t="shared" si="53"/>
        <v>2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2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490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42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42</v>
      </c>
      <c r="P5" s="173">
        <f t="shared" si="0"/>
        <v>14</v>
      </c>
      <c r="Q5" s="173">
        <f t="shared" si="0"/>
        <v>14</v>
      </c>
      <c r="R5" s="173">
        <f t="shared" si="0"/>
        <v>0</v>
      </c>
      <c r="S5" s="173">
        <f t="shared" si="0"/>
        <v>0</v>
      </c>
      <c r="T5" s="173">
        <f t="shared" si="0"/>
        <v>0</v>
      </c>
      <c r="U5" s="173">
        <f t="shared" si="0"/>
        <v>0</v>
      </c>
      <c r="V5" s="173">
        <f t="shared" si="0"/>
        <v>0</v>
      </c>
      <c r="W5" s="173">
        <f t="shared" si="0"/>
        <v>0</v>
      </c>
      <c r="X5" s="173">
        <f t="shared" si="0"/>
        <v>0</v>
      </c>
      <c r="Y5" s="173">
        <f t="shared" si="0"/>
        <v>14</v>
      </c>
      <c r="Z5" s="173">
        <f t="shared" si="0"/>
        <v>42</v>
      </c>
      <c r="AA5" s="173">
        <f t="shared" si="0"/>
        <v>28</v>
      </c>
      <c r="AB5" s="173">
        <f t="shared" si="0"/>
        <v>28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1177.7360000000001</v>
      </c>
      <c r="G9" s="30">
        <f>AV102</f>
        <v>52.18530434782609</v>
      </c>
      <c r="H9" s="30">
        <f t="shared" ref="H9:AD9" si="4">AW102</f>
        <v>52.092782608695657</v>
      </c>
      <c r="I9" s="30">
        <f t="shared" si="4"/>
        <v>52.000260869565217</v>
      </c>
      <c r="J9" s="30">
        <f t="shared" si="4"/>
        <v>51.954000000000001</v>
      </c>
      <c r="K9" s="30">
        <f t="shared" si="4"/>
        <v>51.907739130434784</v>
      </c>
      <c r="L9" s="30">
        <f t="shared" si="4"/>
        <v>51.861478260869568</v>
      </c>
      <c r="M9" s="30">
        <f t="shared" si="4"/>
        <v>51.815217391304351</v>
      </c>
      <c r="N9" s="30">
        <f t="shared" si="4"/>
        <v>51.768956521739128</v>
      </c>
      <c r="O9" s="30">
        <f t="shared" si="4"/>
        <v>51.676434782608695</v>
      </c>
      <c r="P9" s="30">
        <f t="shared" si="4"/>
        <v>51.583913043478262</v>
      </c>
      <c r="Q9" s="30">
        <f t="shared" si="4"/>
        <v>51.583913043478262</v>
      </c>
      <c r="R9" s="30">
        <f t="shared" si="4"/>
        <v>42.655565217391306</v>
      </c>
      <c r="S9" s="30">
        <f t="shared" si="4"/>
        <v>42.655565217391306</v>
      </c>
      <c r="T9" s="30">
        <f t="shared" si="4"/>
        <v>42.655565217391306</v>
      </c>
      <c r="U9" s="30">
        <f t="shared" si="4"/>
        <v>42.655565217391306</v>
      </c>
      <c r="V9" s="30">
        <f t="shared" si="4"/>
        <v>42.655565217391306</v>
      </c>
      <c r="W9" s="30">
        <f t="shared" si="4"/>
        <v>42.655565217391306</v>
      </c>
      <c r="X9" s="30">
        <f t="shared" si="4"/>
        <v>42.655565217391306</v>
      </c>
      <c r="Y9" s="30">
        <f t="shared" si="4"/>
        <v>51.583913043478262</v>
      </c>
      <c r="Z9" s="30">
        <f t="shared" si="4"/>
        <v>50.288608695652172</v>
      </c>
      <c r="AA9" s="30">
        <f t="shared" si="4"/>
        <v>50.288608695652172</v>
      </c>
      <c r="AB9" s="30">
        <f t="shared" si="4"/>
        <v>52.18530434782609</v>
      </c>
      <c r="AC9" s="30">
        <f t="shared" si="4"/>
        <v>52.18530434782609</v>
      </c>
      <c r="AD9" s="30">
        <f t="shared" si="4"/>
        <v>52.18530434782609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2486.7359999999999</v>
      </c>
      <c r="G13" s="30">
        <f>SUM(G5:G11)</f>
        <v>115.18530434782609</v>
      </c>
      <c r="H13" s="30">
        <f t="shared" ref="H13:AD13" si="8">SUM(H5:H11)</f>
        <v>115.09278260869566</v>
      </c>
      <c r="I13" s="30">
        <f t="shared" si="8"/>
        <v>120.25026086956521</v>
      </c>
      <c r="J13" s="30">
        <f t="shared" si="8"/>
        <v>134.20400000000001</v>
      </c>
      <c r="K13" s="30">
        <f t="shared" si="8"/>
        <v>141.15773913043478</v>
      </c>
      <c r="L13" s="30">
        <f t="shared" si="8"/>
        <v>144.61147826086957</v>
      </c>
      <c r="M13" s="30">
        <f t="shared" si="8"/>
        <v>134.06521739130434</v>
      </c>
      <c r="N13" s="30">
        <f t="shared" si="8"/>
        <v>134.01895652173914</v>
      </c>
      <c r="O13" s="30">
        <f t="shared" si="8"/>
        <v>137.42643478260868</v>
      </c>
      <c r="P13" s="30">
        <f t="shared" si="8"/>
        <v>109.33391304347826</v>
      </c>
      <c r="Q13" s="30">
        <f t="shared" si="8"/>
        <v>79.583913043478262</v>
      </c>
      <c r="R13" s="30">
        <f t="shared" si="8"/>
        <v>56.655565217391306</v>
      </c>
      <c r="S13" s="30">
        <f t="shared" si="8"/>
        <v>56.655565217391306</v>
      </c>
      <c r="T13" s="30">
        <f t="shared" si="8"/>
        <v>54.905565217391306</v>
      </c>
      <c r="U13" s="30">
        <f t="shared" si="8"/>
        <v>54.905565217391306</v>
      </c>
      <c r="V13" s="30">
        <f t="shared" si="8"/>
        <v>54.905565217391306</v>
      </c>
      <c r="W13" s="30">
        <f t="shared" si="8"/>
        <v>56.655565217391306</v>
      </c>
      <c r="X13" s="30">
        <f t="shared" si="8"/>
        <v>56.655565217391306</v>
      </c>
      <c r="Y13" s="30">
        <f t="shared" si="8"/>
        <v>109.33391304347826</v>
      </c>
      <c r="Z13" s="30">
        <f t="shared" si="8"/>
        <v>134.28860869565216</v>
      </c>
      <c r="AA13" s="30">
        <f t="shared" si="8"/>
        <v>127.28860869565217</v>
      </c>
      <c r="AB13" s="30">
        <f t="shared" si="8"/>
        <v>129.1853043478261</v>
      </c>
      <c r="AC13" s="30">
        <f t="shared" si="8"/>
        <v>115.18530434782609</v>
      </c>
      <c r="AD13" s="30">
        <f t="shared" si="8"/>
        <v>115.18530434782609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3</v>
      </c>
      <c r="BF39" s="173">
        <f>IF(CdTrp1!L54=1,3,IF(CdTrp1!L54=0.5,2,IF(CdTrp1!L54=0,1,0)))</f>
        <v>3</v>
      </c>
      <c r="BG39" s="173">
        <f>IF(CdTrp1!M54=1,3,IF(CdTrp1!M54=0.5,2,IF(CdTrp1!M54=0,1,0)))</f>
        <v>3</v>
      </c>
      <c r="BH39" s="173">
        <f>IF(CdTrp1!N54=1,3,IF(CdTrp1!N54=0.5,2,IF(CdTrp1!N54=0,1,0)))</f>
        <v>3</v>
      </c>
      <c r="BI39" s="173">
        <f>IF(CdTrp1!O54=1,3,IF(CdTrp1!O54=0.5,2,IF(CdTrp1!O54=0,1,0)))</f>
        <v>3</v>
      </c>
      <c r="BJ39" s="173">
        <f>IF(CdTrp1!P54=1,3,IF(CdTrp1!P54=0.5,2,IF(CdTrp1!P54=0,1,0)))</f>
        <v>3</v>
      </c>
      <c r="BK39" s="173">
        <f>IF(CdTrp1!Q54=1,3,IF(CdTrp1!Q54=0.5,2,IF(CdTrp1!Q54=0,1,0)))</f>
        <v>3</v>
      </c>
      <c r="BL39" s="173">
        <f>IF(CdTrp1!R54=1,3,IF(CdTrp1!R54=0.5,2,IF(CdTrp1!R54=0,1,0)))</f>
        <v>3</v>
      </c>
      <c r="BM39" s="173">
        <f>IF(CdTrp1!S54=1,3,IF(CdTrp1!S54=0.5,2,IF(CdTrp1!S54=0,1,0)))</f>
        <v>3</v>
      </c>
      <c r="BN39" s="173">
        <f>IF(CdTrp1!T54=1,3,IF(CdTrp1!T54=0.5,2,IF(CdTrp1!T54=0,1,0)))</f>
        <v>3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20.43</v>
      </c>
      <c r="C55" s="190">
        <f>IF(B55&gt;[1]Trav!E121,[1]Trav!C121,[1]Trav!B121)</f>
        <v>7.2</v>
      </c>
      <c r="D55"/>
      <c r="E55" s="172"/>
      <c r="F55" s="173">
        <f t="shared" si="32"/>
        <v>147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15.6</v>
      </c>
      <c r="C56" s="190">
        <f>IF(B56&gt;[1]Trav!E121,[1]Trav!C121,[1]Trav!B121)</f>
        <v>7.2</v>
      </c>
      <c r="D56"/>
      <c r="E56" s="172"/>
      <c r="F56" s="173">
        <f t="shared" si="32"/>
        <v>112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2.2699999999999996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211</v>
      </c>
      <c r="AW61" s="173">
        <f>IF(AW16=0,0,IF(AW38=3,0,VALUE(CONCATENATE(Travail!AW27,Travail!AW38,Travail!AW49))))</f>
        <v>211</v>
      </c>
      <c r="AX61" s="173">
        <f>IF(AX16=0,0,IF(AX38=3,0,VALUE(CONCATENATE(Travail!AX27,Travail!AX38,Travail!AX49))))</f>
        <v>211</v>
      </c>
      <c r="AY61" s="173">
        <f>IF(AY16=0,0,IF(AY38=3,0,VALUE(CONCATENATE(Travail!AY27,Travail!AY38,Travail!AY49))))</f>
        <v>211</v>
      </c>
      <c r="AZ61" s="173">
        <f>IF(AZ16=0,0,IF(AZ38=3,0,VALUE(CONCATENATE(Travail!AZ27,Travail!AZ38,Travail!AZ49))))</f>
        <v>212</v>
      </c>
      <c r="BA61" s="173">
        <f>IF(BA16=0,0,IF(BA38=3,0,VALUE(CONCATENATE(Travail!BA27,Travail!BA38,Travail!BA49))))</f>
        <v>212</v>
      </c>
      <c r="BB61" s="173">
        <f>IF(BB16=0,0,IF(BB38=3,0,VALUE(CONCATENATE(Travail!BB27,Travail!BB38,Travail!BB49))))</f>
        <v>212</v>
      </c>
      <c r="BC61" s="173">
        <f>IF(BC16=0,0,IF(BC38=3,0,VALUE(CONCATENATE(Travail!BC27,Travail!BC38,Travail!BC49))))</f>
        <v>212</v>
      </c>
      <c r="BD61" s="173">
        <f>IF(BD16=0,0,IF(BD38=3,0,VALUE(CONCATENATE(Travail!BD27,Travail!BD38,Travail!BD49))))</f>
        <v>212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212</v>
      </c>
      <c r="BP61" s="173">
        <f>IF(BP16=0,0,IF(BP38=3,0,VALUE(CONCATENATE(Travail!BP27,Travail!BP38,Travail!BP49))))</f>
        <v>212</v>
      </c>
      <c r="BQ61" s="173">
        <f>IF(BQ16=0,0,IF(BQ38=3,0,VALUE(CONCATENATE(Travail!BQ27,Travail!BQ38,Travail!BQ49))))</f>
        <v>212</v>
      </c>
      <c r="BR61" s="173">
        <f>IF(BR16=0,0,IF(BR38=3,0,VALUE(CONCATENATE(Travail!BR27,Travail!BR38,Travail!BR49))))</f>
        <v>211</v>
      </c>
      <c r="BS61" s="173">
        <f>IF(BS16=0,0,IF(BS38=3,0,VALUE(CONCATENATE(Travail!BS27,Travail!BS38,Travail!BS49))))</f>
        <v>211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120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5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5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21</v>
      </c>
      <c r="AW72" s="173">
        <f t="shared" si="36"/>
        <v>21</v>
      </c>
      <c r="AX72" s="173">
        <f t="shared" si="36"/>
        <v>21</v>
      </c>
      <c r="AY72" s="173">
        <f t="shared" si="36"/>
        <v>21</v>
      </c>
      <c r="AZ72" s="173">
        <f t="shared" si="36"/>
        <v>21</v>
      </c>
      <c r="BA72" s="173">
        <f t="shared" si="36"/>
        <v>21</v>
      </c>
      <c r="BB72" s="173">
        <f t="shared" si="36"/>
        <v>21</v>
      </c>
      <c r="BC72" s="173">
        <f t="shared" si="36"/>
        <v>21</v>
      </c>
      <c r="BD72" s="173">
        <f t="shared" si="36"/>
        <v>21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21</v>
      </c>
      <c r="BP72" s="173">
        <f t="shared" si="36"/>
        <v>21</v>
      </c>
      <c r="BQ72" s="173">
        <f t="shared" si="36"/>
        <v>21</v>
      </c>
      <c r="BR72" s="173">
        <f t="shared" si="36"/>
        <v>21</v>
      </c>
      <c r="BS72" s="173">
        <f t="shared" si="36"/>
        <v>21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23</v>
      </c>
      <c r="BF73" s="173">
        <f t="shared" si="36"/>
        <v>23</v>
      </c>
      <c r="BG73" s="173">
        <f t="shared" si="36"/>
        <v>23</v>
      </c>
      <c r="BH73" s="173">
        <f t="shared" si="36"/>
        <v>23</v>
      </c>
      <c r="BI73" s="173">
        <f t="shared" si="36"/>
        <v>23</v>
      </c>
      <c r="BJ73" s="173">
        <f t="shared" si="36"/>
        <v>23</v>
      </c>
      <c r="BK73" s="173">
        <f t="shared" si="36"/>
        <v>23</v>
      </c>
      <c r="BL73" s="173">
        <f t="shared" si="36"/>
        <v>23</v>
      </c>
      <c r="BM73" s="173">
        <f t="shared" si="36"/>
        <v>23</v>
      </c>
      <c r="BN73" s="173">
        <f t="shared" si="36"/>
        <v>23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277.5</v>
      </c>
      <c r="G77" s="46">
        <f t="shared" ref="G77:AD77" si="43">+SUM(G69:G76)</f>
        <v>12</v>
      </c>
      <c r="H77" s="46">
        <f t="shared" si="43"/>
        <v>12</v>
      </c>
      <c r="I77" s="46">
        <f t="shared" si="43"/>
        <v>12</v>
      </c>
      <c r="J77" s="46">
        <f t="shared" si="43"/>
        <v>17</v>
      </c>
      <c r="K77" s="46">
        <f t="shared" si="43"/>
        <v>17</v>
      </c>
      <c r="L77" s="46">
        <f t="shared" si="43"/>
        <v>17</v>
      </c>
      <c r="M77" s="46">
        <f t="shared" si="43"/>
        <v>17</v>
      </c>
      <c r="N77" s="46">
        <f t="shared" si="43"/>
        <v>17</v>
      </c>
      <c r="O77" s="46">
        <f t="shared" si="43"/>
        <v>17</v>
      </c>
      <c r="P77" s="46">
        <f t="shared" si="43"/>
        <v>8.5</v>
      </c>
      <c r="Q77" s="46">
        <f t="shared" si="43"/>
        <v>8.5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8.5</v>
      </c>
      <c r="Z77" s="46">
        <f t="shared" si="43"/>
        <v>17</v>
      </c>
      <c r="AA77" s="46">
        <f t="shared" si="43"/>
        <v>12</v>
      </c>
      <c r="AB77" s="46">
        <f t="shared" si="43"/>
        <v>12</v>
      </c>
      <c r="AC77" s="46">
        <f t="shared" si="43"/>
        <v>12</v>
      </c>
      <c r="AD77" s="46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0.71</v>
      </c>
      <c r="C81" s="190">
        <f>[1]Protect!$B$10</f>
        <v>4</v>
      </c>
      <c r="D81" s="172"/>
      <c r="E81" s="172"/>
      <c r="F81" s="173">
        <f>ROUND(C81*B81*8,0)</f>
        <v>23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1</v>
      </c>
      <c r="BF81" s="173">
        <f t="shared" si="44"/>
        <v>1</v>
      </c>
      <c r="BG81" s="173">
        <f t="shared" si="44"/>
        <v>1</v>
      </c>
      <c r="BH81" s="173">
        <f t="shared" si="44"/>
        <v>1</v>
      </c>
      <c r="BI81" s="173">
        <f t="shared" si="44"/>
        <v>1</v>
      </c>
      <c r="BJ81" s="173">
        <f t="shared" si="44"/>
        <v>1</v>
      </c>
      <c r="BK81" s="173">
        <f t="shared" si="44"/>
        <v>1</v>
      </c>
      <c r="BL81" s="173">
        <f t="shared" si="44"/>
        <v>1</v>
      </c>
      <c r="BM81" s="173">
        <f t="shared" si="44"/>
        <v>1</v>
      </c>
      <c r="BN81" s="173">
        <f t="shared" si="44"/>
        <v>1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5.4580000000000002</v>
      </c>
      <c r="C83" s="190">
        <f>[1]Protect!$B$24+[1]Protect!$B$26</f>
        <v>0.33</v>
      </c>
      <c r="D83" s="172"/>
      <c r="E83" s="172"/>
      <c r="F83" s="173">
        <f>ROUND(B83*C83,1)</f>
        <v>1.8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1</v>
      </c>
      <c r="BB83" s="173">
        <f t="shared" si="50"/>
        <v>1</v>
      </c>
      <c r="BC83" s="173">
        <f t="shared" si="50"/>
        <v>1</v>
      </c>
      <c r="BD83" s="173">
        <f t="shared" si="50"/>
        <v>1</v>
      </c>
      <c r="BE83" s="173">
        <f t="shared" si="50"/>
        <v>1</v>
      </c>
      <c r="BF83" s="173">
        <f t="shared" si="50"/>
        <v>1</v>
      </c>
      <c r="BG83" s="173">
        <f t="shared" si="50"/>
        <v>0</v>
      </c>
      <c r="BH83" s="173">
        <f t="shared" si="50"/>
        <v>0</v>
      </c>
      <c r="BI83" s="173">
        <f t="shared" si="50"/>
        <v>0</v>
      </c>
      <c r="BJ83" s="173">
        <f t="shared" si="50"/>
        <v>0</v>
      </c>
      <c r="BK83" s="173">
        <f t="shared" si="50"/>
        <v>0</v>
      </c>
      <c r="BL83" s="173">
        <f t="shared" si="50"/>
        <v>0</v>
      </c>
      <c r="BM83" s="173">
        <f t="shared" si="50"/>
        <v>0</v>
      </c>
      <c r="BN83" s="173">
        <f t="shared" si="50"/>
        <v>1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4.4000000000000004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1.1666666666666665</v>
      </c>
      <c r="C86" s="176"/>
      <c r="D86" s="176"/>
      <c r="E86" s="176"/>
      <c r="F86" s="173">
        <f>B86*[1]Eco!$B$108*[1]Eco!$B$109</f>
        <v>279.99999999999994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1667.7360000000001</v>
      </c>
      <c r="C91" s="5"/>
      <c r="D91" s="202">
        <f>B91/Troupeau!$B$17</f>
        <v>5.4859736842105269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2360.7359999999999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0.85964912280701744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341.00869565217391</v>
      </c>
      <c r="AW99" s="62">
        <f t="shared" ref="AW99:BS99" si="68">SUM(AW90:AW98)</f>
        <v>338.36521739130438</v>
      </c>
      <c r="AX99" s="62">
        <f t="shared" si="68"/>
        <v>335.7217391304348</v>
      </c>
      <c r="AY99" s="62">
        <f t="shared" si="68"/>
        <v>334.40000000000003</v>
      </c>
      <c r="AZ99" s="62">
        <f t="shared" si="68"/>
        <v>333.07826086956521</v>
      </c>
      <c r="BA99" s="62">
        <f t="shared" si="68"/>
        <v>331.75652173913045</v>
      </c>
      <c r="BB99" s="62">
        <f t="shared" si="68"/>
        <v>330.43478260869568</v>
      </c>
      <c r="BC99" s="62">
        <f t="shared" si="68"/>
        <v>329.11304347826086</v>
      </c>
      <c r="BD99" s="62">
        <f t="shared" si="68"/>
        <v>326.46956521739133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286.81739130434784</v>
      </c>
      <c r="BP99" s="62">
        <f t="shared" si="68"/>
        <v>286.81739130434784</v>
      </c>
      <c r="BQ99" s="62">
        <f t="shared" si="68"/>
        <v>341.00869565217391</v>
      </c>
      <c r="BR99" s="62">
        <f t="shared" si="68"/>
        <v>341.00869565217391</v>
      </c>
      <c r="BS99" s="62">
        <f t="shared" si="68"/>
        <v>341.00869565217391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6.8201739130434786</v>
      </c>
      <c r="AW100" s="173">
        <f t="shared" ref="AW100:BS100" si="71">IF($AT$2="OL",AW99/50,AW99/10)</f>
        <v>6.7673043478260873</v>
      </c>
      <c r="AX100" s="173">
        <f t="shared" si="71"/>
        <v>6.7144347826086959</v>
      </c>
      <c r="AY100" s="173">
        <f t="shared" si="71"/>
        <v>6.6880000000000006</v>
      </c>
      <c r="AZ100" s="173">
        <f t="shared" si="71"/>
        <v>6.6615652173913045</v>
      </c>
      <c r="BA100" s="173">
        <f t="shared" si="71"/>
        <v>6.6351304347826092</v>
      </c>
      <c r="BB100" s="173">
        <f t="shared" si="71"/>
        <v>6.608695652173914</v>
      </c>
      <c r="BC100" s="173">
        <f t="shared" si="71"/>
        <v>6.5822608695652169</v>
      </c>
      <c r="BD100" s="173">
        <f t="shared" si="71"/>
        <v>6.5293913043478264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5.7363478260869565</v>
      </c>
      <c r="BP100" s="173">
        <f t="shared" si="71"/>
        <v>5.7363478260869565</v>
      </c>
      <c r="BQ100" s="173">
        <f t="shared" si="71"/>
        <v>6.8201739130434786</v>
      </c>
      <c r="BR100" s="173">
        <f t="shared" si="71"/>
        <v>6.8201739130434786</v>
      </c>
      <c r="BS100" s="173">
        <f t="shared" si="71"/>
        <v>6.8201739130434786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5.8201739130434786</v>
      </c>
      <c r="AW101" s="173">
        <f t="shared" ref="AW101:BS101" si="74">IF(AW100&gt;1,AW100-1,0)</f>
        <v>5.7673043478260873</v>
      </c>
      <c r="AX101" s="173">
        <f t="shared" si="74"/>
        <v>5.7144347826086959</v>
      </c>
      <c r="AY101" s="173">
        <f t="shared" si="74"/>
        <v>5.6880000000000006</v>
      </c>
      <c r="AZ101" s="173">
        <f t="shared" si="74"/>
        <v>5.6615652173913045</v>
      </c>
      <c r="BA101" s="173">
        <f t="shared" si="74"/>
        <v>5.6351304347826092</v>
      </c>
      <c r="BB101" s="173">
        <f t="shared" si="74"/>
        <v>5.608695652173914</v>
      </c>
      <c r="BC101" s="173">
        <f t="shared" si="74"/>
        <v>5.5822608695652169</v>
      </c>
      <c r="BD101" s="173">
        <f t="shared" si="74"/>
        <v>5.5293913043478264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4.7363478260869565</v>
      </c>
      <c r="BP101" s="173">
        <f t="shared" si="74"/>
        <v>4.7363478260869565</v>
      </c>
      <c r="BQ101" s="173">
        <f t="shared" si="74"/>
        <v>5.8201739130434786</v>
      </c>
      <c r="BR101" s="173">
        <f t="shared" si="74"/>
        <v>5.8201739130434786</v>
      </c>
      <c r="BS101" s="173">
        <f t="shared" si="74"/>
        <v>5.8201739130434786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52.18530434782609</v>
      </c>
      <c r="AW102" s="62">
        <f t="shared" ref="AW102:BS102" si="77">AW86+AW87*AW101</f>
        <v>52.092782608695657</v>
      </c>
      <c r="AX102" s="62">
        <f t="shared" si="77"/>
        <v>52.000260869565217</v>
      </c>
      <c r="AY102" s="62">
        <f t="shared" si="77"/>
        <v>51.954000000000001</v>
      </c>
      <c r="AZ102" s="62">
        <f t="shared" si="77"/>
        <v>51.907739130434784</v>
      </c>
      <c r="BA102" s="62">
        <f t="shared" si="77"/>
        <v>51.861478260869568</v>
      </c>
      <c r="BB102" s="62">
        <f t="shared" si="77"/>
        <v>51.815217391304351</v>
      </c>
      <c r="BC102" s="62">
        <f t="shared" si="77"/>
        <v>51.768956521739128</v>
      </c>
      <c r="BD102" s="62">
        <f t="shared" si="77"/>
        <v>51.676434782608695</v>
      </c>
      <c r="BE102" s="62">
        <f t="shared" si="77"/>
        <v>51.583913043478262</v>
      </c>
      <c r="BF102" s="62">
        <f t="shared" si="77"/>
        <v>51.583913043478262</v>
      </c>
      <c r="BG102" s="62">
        <f t="shared" si="77"/>
        <v>42.655565217391306</v>
      </c>
      <c r="BH102" s="62">
        <f t="shared" si="77"/>
        <v>42.655565217391306</v>
      </c>
      <c r="BI102" s="62">
        <f t="shared" si="77"/>
        <v>42.655565217391306</v>
      </c>
      <c r="BJ102" s="62">
        <f t="shared" si="77"/>
        <v>42.655565217391306</v>
      </c>
      <c r="BK102" s="62">
        <f t="shared" si="77"/>
        <v>42.655565217391306</v>
      </c>
      <c r="BL102" s="62">
        <f t="shared" si="77"/>
        <v>42.655565217391306</v>
      </c>
      <c r="BM102" s="62">
        <f t="shared" si="77"/>
        <v>42.655565217391306</v>
      </c>
      <c r="BN102" s="62">
        <f t="shared" si="77"/>
        <v>51.583913043478262</v>
      </c>
      <c r="BO102" s="62">
        <f t="shared" si="77"/>
        <v>50.288608695652172</v>
      </c>
      <c r="BP102" s="62">
        <f t="shared" si="77"/>
        <v>50.288608695652172</v>
      </c>
      <c r="BQ102" s="62">
        <f t="shared" si="77"/>
        <v>52.18530434782609</v>
      </c>
      <c r="BR102" s="62">
        <f t="shared" si="77"/>
        <v>52.18530434782609</v>
      </c>
      <c r="BS102" s="62">
        <f t="shared" si="77"/>
        <v>52.18530434782609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28</v>
      </c>
      <c r="BA107" s="190">
        <f>IF(BA61&gt;0,HLOOKUP(BA61,[1]Trav!$C$11:$O$31,$AU$105),0)</f>
        <v>28</v>
      </c>
      <c r="BB107" s="190">
        <f>IF(BB61&gt;0,HLOOKUP(BB61,[1]Trav!$C$11:$O$31,$AU$105),0)</f>
        <v>28</v>
      </c>
      <c r="BC107" s="190">
        <f>IF(BC61&gt;0,HLOOKUP(BC61,[1]Trav!$C$11:$O$31,$AU$105),0)</f>
        <v>28</v>
      </c>
      <c r="BD107" s="190">
        <f>IF(BD61&gt;0,HLOOKUP(BD61,[1]Trav!$C$11:$O$31,$AU$105),0)</f>
        <v>28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28</v>
      </c>
      <c r="BP107" s="190">
        <f>IF(BP61&gt;0,HLOOKUP(BP61,[1]Trav!$C$11:$O$31,$AU$105),0)</f>
        <v>28</v>
      </c>
      <c r="BQ107" s="190">
        <f>IF(BQ61&gt;0,HLOOKUP(BQ61,[1]Trav!$C$11:$O$31,$AU$105),0)</f>
        <v>28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325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120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120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23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6.2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279.99999999999994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42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42</v>
      </c>
      <c r="BE117" s="173">
        <f t="shared" si="83"/>
        <v>14</v>
      </c>
      <c r="BF117" s="173">
        <f t="shared" si="83"/>
        <v>14</v>
      </c>
      <c r="BG117" s="173">
        <f t="shared" si="83"/>
        <v>0</v>
      </c>
      <c r="BH117" s="173">
        <f t="shared" si="83"/>
        <v>0</v>
      </c>
      <c r="BI117" s="173">
        <f t="shared" si="83"/>
        <v>0</v>
      </c>
      <c r="BJ117" s="173">
        <f t="shared" si="83"/>
        <v>0</v>
      </c>
      <c r="BK117" s="173">
        <f t="shared" si="83"/>
        <v>0</v>
      </c>
      <c r="BL117" s="173">
        <f t="shared" si="83"/>
        <v>0</v>
      </c>
      <c r="BM117" s="173">
        <f t="shared" si="83"/>
        <v>0</v>
      </c>
      <c r="BN117" s="173">
        <f t="shared" si="83"/>
        <v>14</v>
      </c>
      <c r="BO117" s="173">
        <f t="shared" si="83"/>
        <v>42</v>
      </c>
      <c r="BP117" s="173">
        <f t="shared" si="83"/>
        <v>28</v>
      </c>
      <c r="BQ117" s="173">
        <f t="shared" si="83"/>
        <v>28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3320.4193333333333</v>
      </c>
      <c r="D118" s="202">
        <f>B118/Troupeau!$B$17</f>
        <v>10.92243201754386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4103.4193333333333</v>
      </c>
    </row>
    <row r="123" spans="1:132" x14ac:dyDescent="0.25">
      <c r="A123" s="2" t="s">
        <v>856</v>
      </c>
      <c r="B123" s="30">
        <f>B108</f>
        <v>325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144.5</v>
      </c>
    </row>
    <row r="126" spans="1:132" x14ac:dyDescent="0.25">
      <c r="A126" s="2" t="s">
        <v>872</v>
      </c>
      <c r="B126" s="30">
        <f>B114+B115+B116</f>
        <v>309.19999999999993</v>
      </c>
    </row>
    <row r="128" spans="1:132" x14ac:dyDescent="0.25">
      <c r="A128" s="2" t="s">
        <v>873</v>
      </c>
      <c r="B128" s="201">
        <f>SUM(B122:B126)</f>
        <v>5482.1193333333331</v>
      </c>
    </row>
    <row r="129" spans="1:2" x14ac:dyDescent="0.25">
      <c r="A129" s="2" t="s">
        <v>874</v>
      </c>
      <c r="B129" s="30">
        <f>IF(Scénario!K129=1,Travail!F77+Travail!F86,F86)</f>
        <v>557.5</v>
      </c>
    </row>
    <row r="130" spans="1:2" x14ac:dyDescent="0.25">
      <c r="A130" s="2" t="s">
        <v>875</v>
      </c>
      <c r="B130" s="201">
        <f>ROUND((B128-B129)/(Scénario!K4+Scénario!K6),0)</f>
        <v>3283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6737.6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113261.12000000001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49.11999999999999</v>
      </c>
      <c r="C118" s="190">
        <f>IF(Scénario!$K$12="BV",[1]Eco!$B$78,IF(Scénario!$K$12="BL",[1]Eco!$B$77,[1]Eco!$B$76))</f>
        <v>223</v>
      </c>
      <c r="J118" s="173">
        <f>B118*C118</f>
        <v>10953.759999999998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50.375500000000002</v>
      </c>
      <c r="C119" s="190">
        <f>[1]Eco!$B$79</f>
        <v>80</v>
      </c>
      <c r="J119" s="173">
        <f>B119*C119</f>
        <v>4030.04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5.3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143.1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331.00199999999995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10.6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531.37800000000004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4521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557.88666666666666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51178.566666666658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2508.5000000000005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22.7</v>
      </c>
      <c r="X153" t="s">
        <v>52</v>
      </c>
      <c r="Y153" s="173">
        <f>W153-Scénario!K28</f>
        <v>-0.80000000000000071</v>
      </c>
      <c r="Z153" s="173">
        <f>Y153-Y156</f>
        <v>-0.72000000000000064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15.6</v>
      </c>
      <c r="X154" t="s">
        <v>52</v>
      </c>
      <c r="Y154" s="173">
        <f>W154-Scénario!K29</f>
        <v>-0.40000000000000036</v>
      </c>
      <c r="Z154" s="173">
        <f>Y154</f>
        <v>-0.40000000000000036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-8.0000000000000071E-2</v>
      </c>
      <c r="Z156" s="173">
        <f t="shared" si="68"/>
        <v>-8.0000000000000071E-2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-0.72000000000000064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-26.064000000000025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-0.40000000000000036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-12.000000000000011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-8.0000000000000071E-2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-12.432000000000011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10.6</v>
      </c>
      <c r="T165" s="173">
        <f>VLOOKUP(R165,[1]MEP!$A$4:$M$300,13)</f>
        <v>2</v>
      </c>
      <c r="U165" s="173">
        <f t="shared" ref="U165:U207" si="72">IF($T165&gt;0,$S165,0)</f>
        <v>10.6</v>
      </c>
      <c r="V165" s="173">
        <f t="shared" ref="V165:V207" si="73">IF($T165&gt;1,$S165,0)</f>
        <v>10.6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10.6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10.6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279.99999999999994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2976.3999999999996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282.2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2999.7860000000001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35978.490000000005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26104.063333333346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17403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2208.7161706929519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12495.347162640395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8330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22.7</v>
      </c>
      <c r="V228" s="62">
        <f t="shared" ref="V228:W228" si="84">SUM(V164:V227)</f>
        <v>15.6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5.3</v>
      </c>
      <c r="AI228" s="62">
        <f t="shared" si="86"/>
        <v>7.1</v>
      </c>
      <c r="AJ228" s="62">
        <f t="shared" si="86"/>
        <v>10.6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5458</v>
      </c>
      <c r="U234" t="s">
        <v>1101</v>
      </c>
      <c r="V234" s="173"/>
      <c r="W234" s="173">
        <f>[1]Protect!$B$4</f>
        <v>6</v>
      </c>
      <c r="X234" s="173">
        <f>T234*W234</f>
        <v>32748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0.33333333333333331</v>
      </c>
      <c r="W235" s="173">
        <f>[1]Protect!$B$83</f>
        <v>2000</v>
      </c>
      <c r="X235" s="173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33414.666666666664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17914.666666666664</v>
      </c>
      <c r="AB237" s="30">
        <f>(Scénario!K127/100)*AA237</f>
        <v>0</v>
      </c>
      <c r="AC237" s="30">
        <f>AA237-AB237</f>
        <v>17914.666666666664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2208.7161706929519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5</v>
      </c>
      <c r="X245" s="173">
        <f>ROUND((([1]Protect!$B$5/[1]Protect!$B$11)+[1]Protect!$B$8)*T245,0)</f>
        <v>4521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1.1666666666666665</v>
      </c>
      <c r="W246" s="173">
        <f>[1]Eco!$B$106*[1]Eco!$B$108*[1]Eco!$B$109</f>
        <v>2551.2000000000003</v>
      </c>
      <c r="X246" s="173">
        <f>T246*W246</f>
        <v>2976.4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8421.8666666666668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8422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720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6737.6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6737.6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6737.6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81.87</v>
      </c>
      <c r="U272" s="173"/>
      <c r="V272" s="173"/>
      <c r="W272" s="173">
        <f>W234</f>
        <v>6</v>
      </c>
      <c r="X272" s="173">
        <f>T272*W272</f>
        <v>491.22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0.66666666666666663</v>
      </c>
      <c r="U274" s="173"/>
      <c r="V274" s="173"/>
      <c r="W274" s="173">
        <f>W271</f>
        <v>100</v>
      </c>
      <c r="X274" s="173">
        <f>T274*W274</f>
        <v>66.666666666666657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Z1_OLBV_T3PT_MC2s2</v>
      </c>
      <c r="D1" s="275" t="str">
        <f>CONCATENATE(C1,"_corr")</f>
        <v>Z1_OLBV_T3PT_MC2s2_corr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22.7</v>
      </c>
      <c r="D85" s="261">
        <f>ROUND(C85*$D$82/$C$82,3)</f>
        <v>21.794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15.6</v>
      </c>
      <c r="D86" s="261">
        <f t="shared" ref="D86:D97" si="14">ROUND(C86*$D$82/$C$82,3)</f>
        <v>14.978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2.27</v>
      </c>
      <c r="D88" s="261">
        <f t="shared" si="14"/>
        <v>2.1789999999999998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3</v>
      </c>
      <c r="BF100" s="173">
        <f>IF(CdTrp1!L54=1,3,IF(CdTrp1!L54=0.5,2,IF(CdTrp1!L54=0,1,0)))</f>
        <v>3</v>
      </c>
      <c r="BG100" s="173">
        <f>IF(CdTrp1!M54=1,3,IF(CdTrp1!M54=0.5,2,IF(CdTrp1!M54=0,1,0)))</f>
        <v>3</v>
      </c>
      <c r="BH100" s="173">
        <f>IF(CdTrp1!N54=1,3,IF(CdTrp1!N54=0.5,2,IF(CdTrp1!N54=0,1,0)))</f>
        <v>3</v>
      </c>
      <c r="BI100" s="173">
        <f>IF(CdTrp1!O54=1,3,IF(CdTrp1!O54=0.5,2,IF(CdTrp1!O54=0,1,0)))</f>
        <v>3</v>
      </c>
      <c r="BJ100" s="173">
        <f>IF(CdTrp1!P54=1,3,IF(CdTrp1!P54=0.5,2,IF(CdTrp1!P54=0,1,0)))</f>
        <v>3</v>
      </c>
      <c r="BK100" s="173">
        <f>IF(CdTrp1!Q54=1,3,IF(CdTrp1!Q54=0.5,2,IF(CdTrp1!Q54=0,1,0)))</f>
        <v>3</v>
      </c>
      <c r="BL100" s="173">
        <f>IF(CdTrp1!R54=1,3,IF(CdTrp1!R54=0.5,2,IF(CdTrp1!R54=0,1,0)))</f>
        <v>3</v>
      </c>
      <c r="BM100" s="173">
        <f>IF(CdTrp1!S54=1,3,IF(CdTrp1!S54=0.5,2,IF(CdTrp1!S54=0,1,0)))</f>
        <v>3</v>
      </c>
      <c r="BN100" s="173">
        <f>IF(CdTrp1!T54=1,3,IF(CdTrp1!T54=0.5,2,IF(CdTrp1!T54=0,1,0)))</f>
        <v>3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15.5</v>
      </c>
      <c r="D106" s="173">
        <f t="shared" si="25"/>
        <v>15.5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42</v>
      </c>
      <c r="D109" s="173">
        <f t="shared" si="25"/>
        <v>42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8</v>
      </c>
      <c r="D110" s="173">
        <f t="shared" si="25"/>
        <v>8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211</v>
      </c>
      <c r="AW122" s="173">
        <f>IF(AW76=0,0,IF(AW99=3,0,VALUE(CONCATENATE(Travail!AW27,Travail!AW38,Travail!AW49))))</f>
        <v>211</v>
      </c>
      <c r="AX122" s="173">
        <f>IF(AX76=0,0,IF(AX99=3,0,VALUE(CONCATENATE(Travail!AX27,Travail!AX38,Travail!AX49))))</f>
        <v>211</v>
      </c>
      <c r="AY122" s="173">
        <f>IF(AY76=0,0,IF(AY99=3,0,VALUE(CONCATENATE(Travail!AY27,Travail!AY38,Travail!AY49))))</f>
        <v>211</v>
      </c>
      <c r="AZ122" s="173">
        <f>IF(AZ76=0,0,IF(AZ99=3,0,VALUE(CONCATENATE(Travail!AZ27,Travail!AZ38,Travail!AZ49))))</f>
        <v>212</v>
      </c>
      <c r="BA122" s="173">
        <f>IF(BA76=0,0,IF(BA99=3,0,VALUE(CONCATENATE(Travail!BA27,Travail!BA38,Travail!BA49))))</f>
        <v>212</v>
      </c>
      <c r="BB122" s="173">
        <f>IF(BB76=0,0,IF(BB99=3,0,VALUE(CONCATENATE(Travail!BB27,Travail!BB38,Travail!BB49))))</f>
        <v>212</v>
      </c>
      <c r="BC122" s="173">
        <f>IF(BC76=0,0,IF(BC99=3,0,VALUE(CONCATENATE(Travail!BC27,Travail!BC38,Travail!BC49))))</f>
        <v>212</v>
      </c>
      <c r="BD122" s="173">
        <f>IF(BD76=0,0,IF(BD99=3,0,VALUE(CONCATENATE(Travail!BD27,Travail!BD38,Travail!BD49))))</f>
        <v>212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212</v>
      </c>
      <c r="BP122" s="173">
        <f>IF(BP76=0,0,IF(BP99=3,0,VALUE(CONCATENATE(Travail!BP27,Travail!BP38,Travail!BP49))))</f>
        <v>212</v>
      </c>
      <c r="BQ122" s="173">
        <f>IF(BQ76=0,0,IF(BQ99=3,0,VALUE(CONCATENATE(Travail!BQ27,Travail!BQ38,Travail!BQ49))))</f>
        <v>212</v>
      </c>
      <c r="BR122" s="173">
        <f>IF(BR76=0,0,IF(BR99=3,0,VALUE(CONCATENATE(Travail!BR27,Travail!BR38,Travail!BR49))))</f>
        <v>211</v>
      </c>
      <c r="BS122" s="173">
        <f>IF(BS76=0,0,IF(BS99=3,0,VALUE(CONCATENATE(Travail!BS27,Travail!BS38,Travail!BS49))))</f>
        <v>211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1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1</v>
      </c>
      <c r="W129">
        <f t="shared" si="35"/>
        <v>1</v>
      </c>
      <c r="X129">
        <f t="shared" si="35"/>
        <v>1</v>
      </c>
      <c r="Y129">
        <f t="shared" si="35"/>
        <v>1</v>
      </c>
      <c r="Z129">
        <f t="shared" si="35"/>
        <v>1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0.66666666666666663</v>
      </c>
      <c r="D133" s="262">
        <f t="shared" si="25"/>
        <v>0.66666666666666663</v>
      </c>
      <c r="AT133" s="189" t="str">
        <f t="shared" ref="AT133:AT141" si="42">AT122</f>
        <v>vides</v>
      </c>
      <c r="AV133" s="173">
        <f t="shared" si="39"/>
        <v>21</v>
      </c>
      <c r="AW133" s="173">
        <f t="shared" si="39"/>
        <v>21</v>
      </c>
      <c r="AX133" s="173">
        <f t="shared" si="39"/>
        <v>21</v>
      </c>
      <c r="AY133" s="173">
        <f t="shared" si="39"/>
        <v>21</v>
      </c>
      <c r="AZ133" s="173">
        <f t="shared" si="39"/>
        <v>21</v>
      </c>
      <c r="BA133" s="173">
        <f t="shared" si="39"/>
        <v>21</v>
      </c>
      <c r="BB133" s="173">
        <f t="shared" si="39"/>
        <v>21</v>
      </c>
      <c r="BC133" s="173">
        <f t="shared" si="39"/>
        <v>21</v>
      </c>
      <c r="BD133" s="173">
        <f t="shared" si="39"/>
        <v>21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21</v>
      </c>
      <c r="BP133" s="173">
        <f t="shared" si="39"/>
        <v>21</v>
      </c>
      <c r="BQ133" s="173">
        <f t="shared" si="39"/>
        <v>21</v>
      </c>
      <c r="BR133" s="173">
        <f t="shared" si="39"/>
        <v>21</v>
      </c>
      <c r="BS133" s="173">
        <f t="shared" si="39"/>
        <v>21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23</v>
      </c>
      <c r="BF134" s="173">
        <f t="shared" si="39"/>
        <v>23</v>
      </c>
      <c r="BG134" s="173">
        <f t="shared" si="39"/>
        <v>23</v>
      </c>
      <c r="BH134" s="173">
        <f t="shared" si="39"/>
        <v>23</v>
      </c>
      <c r="BI134" s="173">
        <f t="shared" si="39"/>
        <v>23</v>
      </c>
      <c r="BJ134" s="173">
        <f t="shared" si="39"/>
        <v>23</v>
      </c>
      <c r="BK134" s="173">
        <f t="shared" si="39"/>
        <v>23</v>
      </c>
      <c r="BL134" s="173">
        <f t="shared" si="39"/>
        <v>23</v>
      </c>
      <c r="BM134" s="173">
        <f t="shared" si="39"/>
        <v>23</v>
      </c>
      <c r="BN134" s="173">
        <f t="shared" si="39"/>
        <v>23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0.53246753246753242</v>
      </c>
      <c r="D136" s="262">
        <f t="shared" si="25"/>
        <v>0.53246753246753242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1</v>
      </c>
      <c r="BF142" s="173">
        <f t="shared" si="58"/>
        <v>1</v>
      </c>
      <c r="BG142" s="173">
        <f t="shared" si="58"/>
        <v>1</v>
      </c>
      <c r="BH142" s="173">
        <f t="shared" si="58"/>
        <v>1</v>
      </c>
      <c r="BI142" s="173">
        <f t="shared" si="58"/>
        <v>1</v>
      </c>
      <c r="BJ142" s="173">
        <f t="shared" si="58"/>
        <v>1</v>
      </c>
      <c r="BK142" s="173">
        <f t="shared" si="58"/>
        <v>1</v>
      </c>
      <c r="BL142" s="173">
        <f t="shared" si="58"/>
        <v>1</v>
      </c>
      <c r="BM142" s="173">
        <f t="shared" si="58"/>
        <v>1</v>
      </c>
      <c r="BN142" s="173">
        <f t="shared" si="58"/>
        <v>1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1</v>
      </c>
      <c r="BB144" s="173">
        <f t="shared" si="64"/>
        <v>1</v>
      </c>
      <c r="BC144" s="173">
        <f t="shared" si="64"/>
        <v>1</v>
      </c>
      <c r="BD144" s="173">
        <f t="shared" si="64"/>
        <v>1</v>
      </c>
      <c r="BE144" s="173">
        <f t="shared" si="64"/>
        <v>1</v>
      </c>
      <c r="BF144" s="173">
        <f t="shared" si="64"/>
        <v>1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1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42</v>
      </c>
      <c r="BF147" s="190">
        <f>IF(BF146=0,0,HLOOKUP(BF146,[1]Trav!$C$39:$G$59,$AU$166))</f>
        <v>42</v>
      </c>
      <c r="BG147" s="190">
        <f>IF(BG146=0,0,HLOOKUP(BG146,[1]Trav!$C$39:$G$59,$AU$166))</f>
        <v>42</v>
      </c>
      <c r="BH147" s="190">
        <f>IF(BH146=0,0,HLOOKUP(BH146,[1]Trav!$C$39:$G$59,$AU$166))</f>
        <v>42</v>
      </c>
      <c r="BI147" s="190">
        <f>IF(BI146=0,0,HLOOKUP(BI146,[1]Trav!$C$39:$G$59,$AU$166))</f>
        <v>42</v>
      </c>
      <c r="BJ147" s="190">
        <f>IF(BJ146=0,0,HLOOKUP(BJ146,[1]Trav!$C$39:$G$59,$AU$166))</f>
        <v>42</v>
      </c>
      <c r="BK147" s="190">
        <f>IF(BK146=0,0,HLOOKUP(BK146,[1]Trav!$C$39:$G$59,$AU$166))</f>
        <v>42</v>
      </c>
      <c r="BL147" s="190">
        <f>IF(BL146=0,0,HLOOKUP(BL146,[1]Trav!$C$39:$G$59,$AU$166))</f>
        <v>42</v>
      </c>
      <c r="BM147" s="190">
        <f>IF(BM146=0,0,HLOOKUP(BM146,[1]Trav!$C$39:$G$59,$AU$166))</f>
        <v>42</v>
      </c>
      <c r="BN147" s="190">
        <f>IF(BN146=0,0,HLOOKUP(BN146,[1]Trav!$C$39:$G$59,$AU$166))</f>
        <v>42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327.40236365607717</v>
      </c>
      <c r="AW160" s="62">
        <f t="shared" ref="AW160:BS160" si="83">SUM(AW151:AW159)</f>
        <v>324.86436083703785</v>
      </c>
      <c r="AX160" s="62">
        <f t="shared" si="83"/>
        <v>322.32635801799847</v>
      </c>
      <c r="AY160" s="62">
        <f t="shared" si="83"/>
        <v>321.05735660847881</v>
      </c>
      <c r="AZ160" s="62">
        <f t="shared" si="83"/>
        <v>319.7883551989591</v>
      </c>
      <c r="BA160" s="62">
        <f t="shared" si="83"/>
        <v>318.51935378943944</v>
      </c>
      <c r="BB160" s="62">
        <f t="shared" si="83"/>
        <v>317.25035237991978</v>
      </c>
      <c r="BC160" s="62">
        <f t="shared" si="83"/>
        <v>315.98135097040006</v>
      </c>
      <c r="BD160" s="62">
        <f t="shared" si="83"/>
        <v>313.44334815136074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275.37330586577036</v>
      </c>
      <c r="BP160" s="62">
        <f t="shared" si="83"/>
        <v>275.37330586577036</v>
      </c>
      <c r="BQ160" s="62">
        <f t="shared" si="83"/>
        <v>327.40236365607717</v>
      </c>
      <c r="BR160" s="62">
        <f t="shared" si="83"/>
        <v>327.40236365607717</v>
      </c>
      <c r="BS160" s="62">
        <f t="shared" si="83"/>
        <v>327.40236365607717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82.216101583791257</v>
      </c>
      <c r="D161" s="263">
        <f t="shared" si="50"/>
        <v>78.935658627829511</v>
      </c>
      <c r="AT161" s="189" t="s">
        <v>844</v>
      </c>
      <c r="AV161" s="173">
        <f>IF($AT$62="OL",AV160/50,AV160/10)</f>
        <v>6.5480472731215436</v>
      </c>
      <c r="AW161" s="173">
        <f t="shared" ref="AW161:BS161" si="86">IF($AT$62="OL",AW160/50,AW160/10)</f>
        <v>6.4972872167407569</v>
      </c>
      <c r="AX161" s="173">
        <f t="shared" si="86"/>
        <v>6.4465271603599694</v>
      </c>
      <c r="AY161" s="173">
        <f t="shared" si="86"/>
        <v>6.4211471321695761</v>
      </c>
      <c r="AZ161" s="173">
        <f t="shared" si="86"/>
        <v>6.3957671039791819</v>
      </c>
      <c r="BA161" s="173">
        <f t="shared" si="86"/>
        <v>6.3703870757887886</v>
      </c>
      <c r="BB161" s="173">
        <f t="shared" si="86"/>
        <v>6.3450070475983953</v>
      </c>
      <c r="BC161" s="173">
        <f t="shared" si="86"/>
        <v>6.3196270194080011</v>
      </c>
      <c r="BD161" s="173">
        <f t="shared" si="86"/>
        <v>6.2688669630272145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5.5074661173154071</v>
      </c>
      <c r="BP161" s="173">
        <f t="shared" si="86"/>
        <v>5.5074661173154071</v>
      </c>
      <c r="BQ161" s="173">
        <f t="shared" si="86"/>
        <v>6.5480472731215436</v>
      </c>
      <c r="BR161" s="173">
        <f t="shared" si="86"/>
        <v>6.5480472731215436</v>
      </c>
      <c r="BS161" s="173">
        <f t="shared" si="86"/>
        <v>6.5480472731215436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134.73163206861224</v>
      </c>
      <c r="D162" s="263">
        <f t="shared" si="50"/>
        <v>129.35580635016387</v>
      </c>
      <c r="AT162" s="189" t="s">
        <v>846</v>
      </c>
      <c r="AV162" s="173">
        <f>IF(AV161&gt;1,AV161-1,0)</f>
        <v>5.5480472731215436</v>
      </c>
      <c r="AW162" s="173">
        <f t="shared" ref="AW162:BS162" si="89">IF(AW161&gt;1,AW161-1,0)</f>
        <v>5.4972872167407569</v>
      </c>
      <c r="AX162" s="173">
        <f t="shared" si="89"/>
        <v>5.4465271603599694</v>
      </c>
      <c r="AY162" s="173">
        <f t="shared" si="89"/>
        <v>5.4211471321695761</v>
      </c>
      <c r="AZ162" s="173">
        <f t="shared" si="89"/>
        <v>5.3957671039791819</v>
      </c>
      <c r="BA162" s="173">
        <f t="shared" si="89"/>
        <v>5.3703870757887886</v>
      </c>
      <c r="BB162" s="173">
        <f t="shared" si="89"/>
        <v>5.3450070475983953</v>
      </c>
      <c r="BC162" s="173">
        <f t="shared" si="89"/>
        <v>5.3196270194080011</v>
      </c>
      <c r="BD162" s="173">
        <f t="shared" si="89"/>
        <v>5.2688669630272145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4.5074661173154071</v>
      </c>
      <c r="BP162" s="173">
        <f t="shared" si="89"/>
        <v>4.5074661173154071</v>
      </c>
      <c r="BQ162" s="173">
        <f t="shared" si="89"/>
        <v>5.5480472731215436</v>
      </c>
      <c r="BR162" s="173">
        <f t="shared" si="89"/>
        <v>5.5480472731215436</v>
      </c>
      <c r="BS162" s="173">
        <f t="shared" si="89"/>
        <v>5.5480472731215436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51.709082727962702</v>
      </c>
      <c r="AW163" s="62">
        <f t="shared" ref="AW163:BS163" si="92">AW147+AW148*AW162</f>
        <v>51.620252629296324</v>
      </c>
      <c r="AX163" s="62">
        <f t="shared" si="92"/>
        <v>51.531422530629946</v>
      </c>
      <c r="AY163" s="62">
        <f t="shared" si="92"/>
        <v>51.487007481296757</v>
      </c>
      <c r="AZ163" s="62">
        <f t="shared" si="92"/>
        <v>51.442592431963568</v>
      </c>
      <c r="BA163" s="62">
        <f t="shared" si="92"/>
        <v>51.398177382630379</v>
      </c>
      <c r="BB163" s="62">
        <f t="shared" si="92"/>
        <v>51.35376233329719</v>
      </c>
      <c r="BC163" s="62">
        <f t="shared" si="92"/>
        <v>51.309347283964001</v>
      </c>
      <c r="BD163" s="62">
        <f t="shared" si="92"/>
        <v>51.220517185297624</v>
      </c>
      <c r="BE163" s="62">
        <f t="shared" si="92"/>
        <v>51.131687086631246</v>
      </c>
      <c r="BF163" s="62">
        <f t="shared" si="92"/>
        <v>51.131687086631246</v>
      </c>
      <c r="BG163" s="62">
        <f t="shared" si="92"/>
        <v>42.559582565325819</v>
      </c>
      <c r="BH163" s="62">
        <f t="shared" si="92"/>
        <v>42.559582565325819</v>
      </c>
      <c r="BI163" s="62">
        <f t="shared" si="92"/>
        <v>42.559582565325819</v>
      </c>
      <c r="BJ163" s="62">
        <f t="shared" si="92"/>
        <v>42.559582565325819</v>
      </c>
      <c r="BK163" s="62">
        <f t="shared" si="92"/>
        <v>42.559582565325819</v>
      </c>
      <c r="BL163" s="62">
        <f t="shared" si="92"/>
        <v>42.559582565325819</v>
      </c>
      <c r="BM163" s="62">
        <f t="shared" si="92"/>
        <v>42.559582565325819</v>
      </c>
      <c r="BN163" s="62">
        <f t="shared" si="92"/>
        <v>51.131687086631246</v>
      </c>
      <c r="BO163" s="62">
        <f t="shared" si="92"/>
        <v>49.888065705301962</v>
      </c>
      <c r="BP163" s="62">
        <f t="shared" si="92"/>
        <v>49.888065705301962</v>
      </c>
      <c r="BQ163" s="62">
        <f t="shared" si="92"/>
        <v>51.709082727962702</v>
      </c>
      <c r="BR163" s="62">
        <f t="shared" si="92"/>
        <v>51.709082727962702</v>
      </c>
      <c r="BS163" s="62">
        <f t="shared" si="92"/>
        <v>51.709082727962702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28</v>
      </c>
      <c r="BA168" s="190">
        <f>IF(BA122&gt;0,HLOOKUP(BA122,[1]Trav!$C$11:$O$31,$AU$166),0)</f>
        <v>28</v>
      </c>
      <c r="BB168" s="190">
        <f>IF(BB122&gt;0,HLOOKUP(BB122,[1]Trav!$C$11:$O$31,$AU$166),0)</f>
        <v>28</v>
      </c>
      <c r="BC168" s="190">
        <f>IF(BC122&gt;0,HLOOKUP(BC122,[1]Trav!$C$11:$O$31,$AU$166),0)</f>
        <v>28</v>
      </c>
      <c r="BD168" s="190">
        <f>IF(BD122&gt;0,HLOOKUP(BD122,[1]Trav!$C$11:$O$31,$AU$166),0)</f>
        <v>28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28</v>
      </c>
      <c r="BP168" s="190">
        <f>IF(BP122&gt;0,HLOOKUP(BP122,[1]Trav!$C$11:$O$31,$AU$166),0)</f>
        <v>28</v>
      </c>
      <c r="BQ168" s="190">
        <f>IF(BQ122&gt;0,HLOOKUP(BQ122,[1]Trav!$C$11:$O$31,$AU$166),0)</f>
        <v>28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143.607</v>
      </c>
      <c r="D169" s="263">
        <f t="shared" si="50"/>
        <v>137.87704488778053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101.24242454726958</v>
      </c>
      <c r="D170" s="263">
        <f t="shared" si="50"/>
        <v>97.202826560346097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111.08</v>
      </c>
      <c r="D171" s="263">
        <f t="shared" si="50"/>
        <v>106.64788029925187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160.19999999999999</v>
      </c>
      <c r="D172" s="263">
        <f t="shared" si="50"/>
        <v>153.80798004987531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42.364575452730421</v>
      </c>
      <c r="D173" s="263">
        <f t="shared" si="50"/>
        <v>40.674218327434446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-49.11999999999999</v>
      </c>
      <c r="D175" s="263">
        <f>C175*$D$82/$C$82</f>
        <v>-47.160099750623431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49.11999999999999</v>
      </c>
      <c r="D176" s="263">
        <f>C176*$D$82/$C$82</f>
        <v>47.160099750623431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81</v>
      </c>
      <c r="D178" s="173">
        <f>ROUND((D170+D171)/(D170+D172),2)*100</f>
        <v>81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42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42</v>
      </c>
      <c r="BE178" s="173">
        <f t="shared" si="98"/>
        <v>14</v>
      </c>
      <c r="BF178" s="173">
        <f t="shared" si="98"/>
        <v>14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14</v>
      </c>
      <c r="BO178" s="173">
        <f t="shared" si="98"/>
        <v>42</v>
      </c>
      <c r="BP178" s="173">
        <f t="shared" si="98"/>
        <v>28</v>
      </c>
      <c r="BQ178" s="173">
        <f t="shared" si="98"/>
        <v>28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5458</v>
      </c>
      <c r="D183" s="264">
        <f>ROUND(D184*D185,0)</f>
        <v>5236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183</v>
      </c>
      <c r="D185" s="173">
        <f>C185</f>
        <v>183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0.33333333333333331</v>
      </c>
      <c r="D187" s="173">
        <f>C187</f>
        <v>0.33333333333333331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5</v>
      </c>
      <c r="D189" s="173">
        <f t="shared" si="101"/>
        <v>5</v>
      </c>
      <c r="AH189" s="15"/>
      <c r="AJ189" s="14" t="s">
        <v>1114</v>
      </c>
      <c r="AK189" s="30">
        <f>D189</f>
        <v>5</v>
      </c>
      <c r="AO189" s="173">
        <f>ROUND((([1]Protect!$B$5/[1]Protect!$B$11)+[1]Protect!$B$8)*AK189,0)</f>
        <v>4521</v>
      </c>
    </row>
    <row r="190" spans="1:132" x14ac:dyDescent="0.25">
      <c r="B190" s="14" t="s">
        <v>1302</v>
      </c>
      <c r="C190" s="173">
        <f>'Calcul éco'!T246*(30)</f>
        <v>34.999999999999993</v>
      </c>
      <c r="D190" s="173">
        <f>C190</f>
        <v>34.999999999999993</v>
      </c>
      <c r="AH190" s="15"/>
      <c r="AJ190" s="14" t="s">
        <v>1115</v>
      </c>
      <c r="AK190" s="30">
        <f>D190/30</f>
        <v>1.1666666666666665</v>
      </c>
      <c r="AN190" s="173">
        <f>[1]Eco!$B$106*[1]Eco!$B$108*[1]Eco!$B$109</f>
        <v>2551.2000000000003</v>
      </c>
      <c r="AO190" s="173">
        <f>AK190*AN190</f>
        <v>2976.4</v>
      </c>
    </row>
    <row r="191" spans="1:132" x14ac:dyDescent="0.25">
      <c r="B191" s="14" t="s">
        <v>1303</v>
      </c>
      <c r="C191" s="198">
        <f>ROUND(SUM(Travail!F69:F74)/8,1)</f>
        <v>15</v>
      </c>
      <c r="D191" s="173">
        <f>C191</f>
        <v>15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0.77500000000000002</v>
      </c>
      <c r="D192" s="266">
        <f>ROUND((D183/1000)*([1]Protect!$B$25*8/10+[1]Protect!$B$26),2)/8</f>
        <v>0.74</v>
      </c>
      <c r="E192" s="17" t="s">
        <v>1308</v>
      </c>
      <c r="I192" s="5"/>
      <c r="AN192" s="14" t="s">
        <v>1117</v>
      </c>
      <c r="AO192" s="173">
        <f>SUM(AO189:AO191)</f>
        <v>8421.8666666666668</v>
      </c>
    </row>
    <row r="193" spans="1:43" x14ac:dyDescent="0.25">
      <c r="B193" s="14" t="s">
        <v>1309</v>
      </c>
      <c r="C193" s="173">
        <f>(Travail!F75+Travail!F76+Travail!F81)/8</f>
        <v>22.5625</v>
      </c>
      <c r="D193" s="173">
        <f>C193</f>
        <v>22.5625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691.27182044887786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8421.8666666666668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8421.8666666666668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8421.8666666666668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6738</v>
      </c>
      <c r="D210" s="264">
        <f>ROUND(AL207,0)</f>
        <v>8422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51344.2</v>
      </c>
      <c r="D211" s="264">
        <f>ROUND(SUM(D201:D210),0)</f>
        <v>51986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78.540000000000006</v>
      </c>
      <c r="AK216" s="173"/>
      <c r="AL216" s="173"/>
      <c r="AM216" s="173">
        <f>'Calcul éco'!W272</f>
        <v>6</v>
      </c>
      <c r="AN216" s="173">
        <f>AJ216*AM216</f>
        <v>471.24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2032.88</v>
      </c>
      <c r="D217" s="261">
        <f t="shared" si="106"/>
        <v>1952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14983.8</v>
      </c>
      <c r="D218" s="261">
        <f t="shared" si="106"/>
        <v>14386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0.66666666666666663</v>
      </c>
      <c r="AK218" s="173"/>
      <c r="AL218" s="173"/>
      <c r="AM218" s="173">
        <f>'Calcul éco'!W274</f>
        <v>100</v>
      </c>
      <c r="AN218" s="173">
        <f>AJ218*AM218</f>
        <v>66.666666666666657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4521</v>
      </c>
      <c r="D219" s="261">
        <f t="shared" si="106"/>
        <v>4341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557.88666666666666</v>
      </c>
      <c r="D220" s="264">
        <f>SUM(AN215:AN219)</f>
        <v>537.90666666666664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51179</v>
      </c>
      <c r="D221" s="264">
        <f>ROUND(SUM(D216:D220),0)</f>
        <v>49140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2508.5000000000005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5236</v>
      </c>
      <c r="AL225" t="s">
        <v>1101</v>
      </c>
      <c r="AM225" s="173"/>
      <c r="AN225" s="173">
        <f>[1]Protect!$B$4</f>
        <v>6</v>
      </c>
      <c r="AO225" s="173">
        <f>AK225*AN225</f>
        <v>31416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0.33333333333333331</v>
      </c>
      <c r="AN226" s="173">
        <f>[1]Protect!$B$83</f>
        <v>2000</v>
      </c>
      <c r="AO226" s="173">
        <f t="shared" ref="AO226:AO227" si="108">AK226*AN226</f>
        <v>666.66666666666663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32082.666666666668</v>
      </c>
      <c r="AQ228" s="30">
        <f>IF(Scénario!K84=1,MIN(0.8*AO228,[1]Protect!$B$68),IF(Scénario!K84=2,MIN(0.8*AO228,[1]Protect!$B$67),0))</f>
        <v>15500</v>
      </c>
      <c r="AR228" s="30">
        <f>AO228-AQ228</f>
        <v>16582.666666666668</v>
      </c>
      <c r="AS228" s="30">
        <f>(1-Scénario!K127/100)*AR228</f>
        <v>16582.666666666668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-26.064000000000025</v>
      </c>
      <c r="D230" s="261">
        <f t="shared" si="109"/>
        <v>-25</v>
      </c>
    </row>
    <row r="231" spans="1:49" x14ac:dyDescent="0.25">
      <c r="B231" s="14" t="s">
        <v>1083</v>
      </c>
      <c r="C231" s="173">
        <f>'Calcul éco'!J159</f>
        <v>-12.000000000000011</v>
      </c>
      <c r="D231" s="261">
        <f t="shared" si="109"/>
        <v>-12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-12.432000000000011</v>
      </c>
      <c r="D233" s="261">
        <f t="shared" si="109"/>
        <v>-12</v>
      </c>
    </row>
    <row r="234" spans="1:49" x14ac:dyDescent="0.25">
      <c r="B234" s="14" t="s">
        <v>1352</v>
      </c>
      <c r="C234" s="173">
        <f>'Calcul éco'!J166</f>
        <v>2976.3999999999996</v>
      </c>
      <c r="D234" s="173">
        <f>C234</f>
        <v>2976.3999999999996</v>
      </c>
    </row>
    <row r="235" spans="1:49" x14ac:dyDescent="0.25">
      <c r="B235" s="14" t="s">
        <v>1353</v>
      </c>
      <c r="C235" s="173">
        <f>'Calcul éco'!J167</f>
        <v>2999.7860000000001</v>
      </c>
      <c r="D235" s="264">
        <f>(D191+D192)*8*[1]Eco!$B$106</f>
        <v>1338.5296000000001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35978</v>
      </c>
      <c r="D236" s="264">
        <f>ROUND(SUM(D222:D235),0)</f>
        <v>33365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26104.199999999997</v>
      </c>
      <c r="D237" s="264">
        <f>D194+D211-D221-D236</f>
        <v>28927</v>
      </c>
    </row>
    <row r="238" spans="1:49" x14ac:dyDescent="0.25">
      <c r="B238" s="211" t="s">
        <v>1090</v>
      </c>
      <c r="C238" s="173">
        <f>ROUND(C237/Scénario!$K$4,0)</f>
        <v>17403</v>
      </c>
      <c r="D238" s="264">
        <f>ROUND(D237/D83,0)</f>
        <v>14464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2208.7161706929519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12495</v>
      </c>
      <c r="D241" s="268">
        <f>ROUND(D237-D239-D240,0)</f>
        <v>17527</v>
      </c>
    </row>
    <row r="242" spans="1:15" x14ac:dyDescent="0.25">
      <c r="B242" s="211" t="s">
        <v>1094</v>
      </c>
      <c r="C242" s="173">
        <f>ROUND(C241/Scénario!K4,0)</f>
        <v>8330</v>
      </c>
      <c r="D242" s="264">
        <f>ROUND(D241/D83,0)</f>
        <v>8764</v>
      </c>
    </row>
    <row r="243" spans="1:15" x14ac:dyDescent="0.25">
      <c r="B243" s="211" t="s">
        <v>1357</v>
      </c>
      <c r="C243" s="173">
        <f>'Calcul éco'!X237+'Calcul éco'!X240</f>
        <v>33414.666666666664</v>
      </c>
      <c r="D243" s="173">
        <f>C243</f>
        <v>33414.666666666664</v>
      </c>
    </row>
    <row r="244" spans="1:15" x14ac:dyDescent="0.25">
      <c r="B244" s="211" t="s">
        <v>1358</v>
      </c>
      <c r="C244" s="173">
        <f>'Calcul éco'!AA237+'Calcul éco'!AA240</f>
        <v>17914.666666666664</v>
      </c>
      <c r="D244" s="173">
        <f>C244</f>
        <v>17914.666666666664</v>
      </c>
    </row>
    <row r="245" spans="1:15" x14ac:dyDescent="0.25">
      <c r="A245" s="2" t="s">
        <v>1359</v>
      </c>
      <c r="B245" s="14" t="s">
        <v>568</v>
      </c>
      <c r="C245" s="270">
        <f>Travail!F5</f>
        <v>490</v>
      </c>
      <c r="D245" s="173">
        <f>C245</f>
        <v>490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1177.7360000000001</v>
      </c>
      <c r="D248" s="264">
        <f>ROUND(SUM(AV163:BS163),1)</f>
        <v>1169.3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19.614599999999999</v>
      </c>
      <c r="L258" s="190">
        <f>IF(K258&gt;[1]Trav!E121,[1]Trav!C121,[1]Trav!B121)</f>
        <v>7.2</v>
      </c>
      <c r="N258" s="274"/>
      <c r="O258">
        <f t="shared" si="114"/>
        <v>141.22512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14.978</v>
      </c>
      <c r="L259" s="190">
        <f>IF(K259&gt;[1]Trav!E121,[1]Trav!C121,[1]Trav!B121)</f>
        <v>7.2</v>
      </c>
      <c r="N259" s="274"/>
      <c r="O259">
        <f t="shared" si="114"/>
        <v>107.8416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2.1789999999999998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9.5876000000000001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147</v>
      </c>
      <c r="D267" s="264">
        <f t="shared" si="116"/>
        <v>141</v>
      </c>
    </row>
    <row r="268" spans="1:15" x14ac:dyDescent="0.25">
      <c r="B268" s="32" t="s">
        <v>791</v>
      </c>
      <c r="C268" s="270">
        <f>Travail!F56</f>
        <v>112</v>
      </c>
      <c r="D268" s="264">
        <f t="shared" si="116"/>
        <v>108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120</v>
      </c>
      <c r="D275" s="173">
        <f>C275</f>
        <v>120</v>
      </c>
    </row>
    <row r="276" spans="1:4" x14ac:dyDescent="0.25">
      <c r="A276" s="23"/>
      <c r="B276" s="32" t="s">
        <v>1369</v>
      </c>
      <c r="C276" s="270">
        <f>C192*8</f>
        <v>6.2</v>
      </c>
      <c r="D276" s="264">
        <f>D192*8</f>
        <v>5.92</v>
      </c>
    </row>
    <row r="277" spans="1:4" x14ac:dyDescent="0.25">
      <c r="B277" s="32" t="s">
        <v>1419</v>
      </c>
      <c r="C277" s="270">
        <f>Travail!F75+Travail!F81</f>
        <v>156</v>
      </c>
      <c r="D277" s="173">
        <f>C277</f>
        <v>156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279.99999999999994</v>
      </c>
      <c r="D279" s="270">
        <f>C279</f>
        <v>279.99999999999994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3321</v>
      </c>
      <c r="D281" s="264">
        <f>ROUND(D245+D248+D251+D254+D257+D260+D261,0)</f>
        <v>3266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10.92</v>
      </c>
      <c r="D284" s="173">
        <f>ROUND(D281/(Troupeau!$B$17*G63),2)</f>
        <v>11.19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4104</v>
      </c>
      <c r="D287" s="264">
        <f>SUM(D281:D283)</f>
        <v>4045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325</v>
      </c>
      <c r="D289" s="264">
        <f>SUM(D262:D271)</f>
        <v>316</v>
      </c>
    </row>
    <row r="290" spans="2:4" x14ac:dyDescent="0.25">
      <c r="B290" s="14" t="s">
        <v>1421</v>
      </c>
      <c r="C290" s="270">
        <f>C275+C276+C277</f>
        <v>282.2</v>
      </c>
      <c r="D290" s="277">
        <f>D275+D276+D277</f>
        <v>281.92</v>
      </c>
    </row>
    <row r="291" spans="2:4" x14ac:dyDescent="0.25">
      <c r="B291" s="14" t="s">
        <v>1422</v>
      </c>
      <c r="C291" s="270">
        <f>C278+C279+C280</f>
        <v>304.49999999999994</v>
      </c>
      <c r="D291" s="270">
        <f>D278+D279+D280</f>
        <v>304.49999999999994</v>
      </c>
    </row>
    <row r="292" spans="2:4" x14ac:dyDescent="0.25">
      <c r="B292" s="14" t="s">
        <v>873</v>
      </c>
      <c r="C292" s="173">
        <f>ROUND(SUM(C287:C291),0)</f>
        <v>5616</v>
      </c>
      <c r="D292" s="264">
        <f>ROUND(SUM(D287:D291),0)</f>
        <v>5547</v>
      </c>
    </row>
    <row r="293" spans="2:4" x14ac:dyDescent="0.25">
      <c r="B293" s="14" t="s">
        <v>874</v>
      </c>
      <c r="C293" s="173">
        <f>ROUND(IF(Scénario!$K$129=1,SUM(C275:C280),SUM(C278:C280)),0)</f>
        <v>587</v>
      </c>
      <c r="D293" s="173">
        <f>ROUND(IF(Scénario!$K$129=1,SUM(D275:D280),SUM(D278:D280)),0)</f>
        <v>586</v>
      </c>
    </row>
    <row r="294" spans="2:4" x14ac:dyDescent="0.25">
      <c r="B294" s="14" t="s">
        <v>875</v>
      </c>
      <c r="C294" s="173">
        <f>ROUND((C292-C293)/C83,0)</f>
        <v>3353</v>
      </c>
      <c r="D294" s="173">
        <f>ROUND((D292-D293)/D83,0)</f>
        <v>2481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43.735279587269567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32748</v>
      </c>
    </row>
    <row r="308" spans="2:3" x14ac:dyDescent="0.25">
      <c r="B308" s="14" t="s">
        <v>1460</v>
      </c>
      <c r="C308" s="173">
        <f>'Calcul éco'!X235</f>
        <v>666.66666666666663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0" activePane="bottomLeft" state="frozen"/>
      <selection pane="bottomLeft" activeCell="O58" sqref="O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36.1755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74.572521739130451</v>
      </c>
      <c r="L65" s="61">
        <f t="shared" si="20"/>
        <v>72.166956521739138</v>
      </c>
      <c r="M65" s="61">
        <f t="shared" si="20"/>
        <v>72.166956521739138</v>
      </c>
      <c r="N65" s="61">
        <f t="shared" si="20"/>
        <v>74.572521739130451</v>
      </c>
      <c r="O65" s="61">
        <f t="shared" si="20"/>
        <v>74.572521739130451</v>
      </c>
      <c r="P65" s="61">
        <f t="shared" si="20"/>
        <v>74.572521739130451</v>
      </c>
      <c r="Q65" s="61">
        <f t="shared" si="20"/>
        <v>74.572521739130451</v>
      </c>
      <c r="R65" s="61">
        <f t="shared" si="20"/>
        <v>72.166956521739138</v>
      </c>
      <c r="S65" s="61">
        <f t="shared" si="20"/>
        <v>72.166956521739138</v>
      </c>
      <c r="T65" s="61">
        <f t="shared" si="20"/>
        <v>74.572521739130451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621</v>
      </c>
      <c r="C73" s="64">
        <f t="shared" ref="C73:Y73" si="28">ROUND(SUM(C63:C72),0)</f>
        <v>615</v>
      </c>
      <c r="D73" s="64">
        <f t="shared" si="28"/>
        <v>550</v>
      </c>
      <c r="E73" s="64">
        <f t="shared" si="28"/>
        <v>295</v>
      </c>
      <c r="F73" s="64">
        <f t="shared" si="28"/>
        <v>325</v>
      </c>
      <c r="G73" s="64">
        <f t="shared" si="28"/>
        <v>324</v>
      </c>
      <c r="H73" s="64">
        <f t="shared" si="28"/>
        <v>312</v>
      </c>
      <c r="I73" s="64">
        <f t="shared" si="28"/>
        <v>311</v>
      </c>
      <c r="J73" s="64">
        <f t="shared" si="28"/>
        <v>363</v>
      </c>
      <c r="K73" s="64">
        <f t="shared" si="28"/>
        <v>351</v>
      </c>
      <c r="L73" s="64">
        <f t="shared" si="28"/>
        <v>340</v>
      </c>
      <c r="M73" s="64">
        <f t="shared" si="28"/>
        <v>72</v>
      </c>
      <c r="N73" s="64">
        <f t="shared" si="28"/>
        <v>75</v>
      </c>
      <c r="O73" s="64">
        <f t="shared" si="28"/>
        <v>75</v>
      </c>
      <c r="P73" s="64">
        <f t="shared" si="28"/>
        <v>75</v>
      </c>
      <c r="Q73" s="64">
        <f t="shared" si="28"/>
        <v>75</v>
      </c>
      <c r="R73" s="64">
        <f t="shared" si="28"/>
        <v>72</v>
      </c>
      <c r="S73" s="64">
        <f t="shared" si="28"/>
        <v>72</v>
      </c>
      <c r="T73" s="64">
        <f t="shared" si="28"/>
        <v>351</v>
      </c>
      <c r="U73" s="64">
        <f t="shared" si="28"/>
        <v>320</v>
      </c>
      <c r="V73" s="64">
        <f t="shared" si="28"/>
        <v>602</v>
      </c>
      <c r="W73" s="64">
        <f t="shared" si="28"/>
        <v>601</v>
      </c>
      <c r="X73" s="64">
        <f t="shared" si="28"/>
        <v>621</v>
      </c>
      <c r="Y73" s="64">
        <f t="shared" si="28"/>
        <v>621</v>
      </c>
      <c r="Z73" s="52"/>
      <c r="AA73" s="56">
        <f>ROUND(SUM(B73:Y73),0)</f>
        <v>8039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15.5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0.96944278260869587</v>
      </c>
      <c r="L138" s="61">
        <f t="shared" si="52"/>
        <v>0.93817043478260886</v>
      </c>
      <c r="M138" s="61">
        <f t="shared" si="52"/>
        <v>0.93817043478260886</v>
      </c>
      <c r="N138" s="61">
        <f t="shared" si="52"/>
        <v>0.96944278260869587</v>
      </c>
      <c r="O138" s="61">
        <f t="shared" si="52"/>
        <v>0.96944278260869587</v>
      </c>
      <c r="P138" s="61">
        <f t="shared" si="52"/>
        <v>0.96944278260869587</v>
      </c>
      <c r="Q138" s="61">
        <f t="shared" si="52"/>
        <v>0.96944278260869587</v>
      </c>
      <c r="R138" s="61">
        <f t="shared" si="52"/>
        <v>0.93817043478260886</v>
      </c>
      <c r="S138" s="61">
        <f t="shared" si="52"/>
        <v>0.93817043478260886</v>
      </c>
      <c r="T138" s="61">
        <f t="shared" si="52"/>
        <v>0.96944278260869587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14.691749008695654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122.48330188055657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134.73163206861224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82.216101583791257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4.459459745391305</v>
      </c>
      <c r="L172" s="61">
        <f t="shared" si="75"/>
        <v>4.3156062052173922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1.4449513124869573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38.159179413356533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4.459459745391305</v>
      </c>
      <c r="L215" s="61">
        <f t="shared" si="108"/>
        <v>4.3156062052173922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1.4449513124869573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82.216101583791286</v>
      </c>
      <c r="AB219" t="s">
        <v>222</v>
      </c>
    </row>
    <row r="220" spans="1:28" x14ac:dyDescent="0.25">
      <c r="AA220" s="30">
        <f>SUM(B215:Y217)</f>
        <v>43.735279587269567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2023-01-09T10:53:45Z</dcterms:modified>
</cp:coreProperties>
</file>