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128" r:id="rId18"/>
  </pivotCaches>
</workbook>
</file>

<file path=xl/calcChain.xml><?xml version="1.0" encoding="utf-8"?>
<calcChain xmlns="http://schemas.openxmlformats.org/spreadsheetml/2006/main">
  <c r="AV5" i="29" l="1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BD6" i="29" s="1"/>
  <c r="AX6" i="29"/>
  <c r="AY6" i="29"/>
  <c r="AZ6" i="29"/>
  <c r="BA6" i="29"/>
  <c r="BB6" i="29"/>
  <c r="BC6" i="29"/>
  <c r="BE6" i="29"/>
  <c r="BF6" i="29" s="1"/>
  <c r="AV7" i="29"/>
  <c r="AW7" i="29"/>
  <c r="BK7" i="29" s="1"/>
  <c r="AX7" i="29"/>
  <c r="AY7" i="29"/>
  <c r="AZ7" i="29"/>
  <c r="BA7" i="29"/>
  <c r="BB7" i="29"/>
  <c r="BC7" i="29"/>
  <c r="BD7" i="29"/>
  <c r="BE7" i="29" s="1"/>
  <c r="BF7" i="29" s="1"/>
  <c r="BG7" i="29"/>
  <c r="BH7" i="29"/>
  <c r="BI7" i="29"/>
  <c r="BJ7" i="29"/>
  <c r="BL7" i="29"/>
  <c r="AV8" i="29"/>
  <c r="AW8" i="29"/>
  <c r="AX8" i="29"/>
  <c r="AY8" i="29"/>
  <c r="AZ8" i="29"/>
  <c r="BA8" i="29"/>
  <c r="BB8" i="29"/>
  <c r="BC8" i="29"/>
  <c r="AV9" i="29"/>
  <c r="AW9" i="29"/>
  <c r="AX9" i="29"/>
  <c r="AY9" i="29"/>
  <c r="BD9" i="29" s="1"/>
  <c r="BE9" i="29" s="1"/>
  <c r="BF9" i="29" s="1"/>
  <c r="AZ9" i="29"/>
  <c r="BA9" i="29"/>
  <c r="BB9" i="29"/>
  <c r="BC9" i="29"/>
  <c r="AV10" i="29"/>
  <c r="AW10" i="29"/>
  <c r="AX10" i="29"/>
  <c r="AY10" i="29"/>
  <c r="BD10" i="29" s="1"/>
  <c r="BE10" i="29" s="1"/>
  <c r="BF10" i="29" s="1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AV12" i="29"/>
  <c r="AW12" i="29"/>
  <c r="AX12" i="29"/>
  <c r="AY12" i="29"/>
  <c r="AZ12" i="29"/>
  <c r="BA12" i="29"/>
  <c r="BB12" i="29"/>
  <c r="BC12" i="29"/>
  <c r="BD12" i="29"/>
  <c r="BE12" i="29" s="1"/>
  <c r="BF12" i="29" s="1"/>
  <c r="BL12" i="29" s="1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BD14" i="29" s="1"/>
  <c r="BE14" i="29" s="1"/>
  <c r="BF14" i="29" s="1"/>
  <c r="AX14" i="29"/>
  <c r="AY14" i="29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AV17" i="29"/>
  <c r="AW17" i="29"/>
  <c r="AX17" i="29"/>
  <c r="AY17" i="29"/>
  <c r="BD17" i="29" s="1"/>
  <c r="BE17" i="29" s="1"/>
  <c r="BF17" i="29" s="1"/>
  <c r="AZ17" i="29"/>
  <c r="BA17" i="29"/>
  <c r="BB17" i="29"/>
  <c r="BC17" i="29"/>
  <c r="AV18" i="29"/>
  <c r="AW18" i="29"/>
  <c r="AX18" i="29"/>
  <c r="AY18" i="29"/>
  <c r="BD18" i="29" s="1"/>
  <c r="BE18" i="29" s="1"/>
  <c r="BF18" i="29" s="1"/>
  <c r="AZ18" i="29"/>
  <c r="AV19" i="29"/>
  <c r="AW19" i="29"/>
  <c r="AX19" i="29"/>
  <c r="AY19" i="29"/>
  <c r="AZ19" i="29"/>
  <c r="BA19" i="29"/>
  <c r="BB19" i="29"/>
  <c r="BC19" i="29"/>
  <c r="AV20" i="29"/>
  <c r="AW20" i="29"/>
  <c r="AX20" i="29"/>
  <c r="AY20" i="29"/>
  <c r="AZ20" i="29"/>
  <c r="BA20" i="29"/>
  <c r="BB20" i="29"/>
  <c r="BC20" i="29"/>
  <c r="BD20" i="29"/>
  <c r="BE20" i="29" s="1"/>
  <c r="BF20" i="29" s="1"/>
  <c r="BL20" i="29" s="1"/>
  <c r="AV21" i="29"/>
  <c r="AW21" i="29"/>
  <c r="AX21" i="29"/>
  <c r="AY21" i="29"/>
  <c r="AZ21" i="29"/>
  <c r="BA21" i="29"/>
  <c r="BB21" i="29"/>
  <c r="BC21" i="29"/>
  <c r="BD21" i="29"/>
  <c r="BE21" i="29" s="1"/>
  <c r="BF21" i="29" s="1"/>
  <c r="AV22" i="29"/>
  <c r="AW22" i="29"/>
  <c r="BD22" i="29" s="1"/>
  <c r="BE22" i="29" s="1"/>
  <c r="BF22" i="29" s="1"/>
  <c r="AX22" i="29"/>
  <c r="AY22" i="29"/>
  <c r="AZ22" i="29"/>
  <c r="BA22" i="29"/>
  <c r="BB22" i="29"/>
  <c r="BC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AV24" i="29"/>
  <c r="AW24" i="29"/>
  <c r="AX24" i="29"/>
  <c r="AY24" i="29"/>
  <c r="AZ24" i="29"/>
  <c r="BA24" i="29"/>
  <c r="BB24" i="29"/>
  <c r="BC24" i="29"/>
  <c r="AV25" i="29"/>
  <c r="AW25" i="29"/>
  <c r="AX25" i="29"/>
  <c r="AY25" i="29"/>
  <c r="BD25" i="29" s="1"/>
  <c r="BE25" i="29" s="1"/>
  <c r="BF25" i="29" s="1"/>
  <c r="AZ25" i="29"/>
  <c r="BA25" i="29"/>
  <c r="BB25" i="29"/>
  <c r="BC25" i="29"/>
  <c r="AV26" i="29"/>
  <c r="AW26" i="29"/>
  <c r="BD26" i="29" s="1"/>
  <c r="BE26" i="29" s="1"/>
  <c r="BF26" i="29" s="1"/>
  <c r="AX26" i="29"/>
  <c r="AY26" i="29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D30" i="29" s="1"/>
  <c r="BE30" i="29" s="1"/>
  <c r="BF30" i="29" s="1"/>
  <c r="AX30" i="29"/>
  <c r="AY30" i="29"/>
  <c r="AZ30" i="29"/>
  <c r="BA30" i="29"/>
  <c r="BB30" i="29"/>
  <c r="BC30" i="29"/>
  <c r="BG30" i="29"/>
  <c r="BJ30" i="29"/>
  <c r="BK30" i="29"/>
  <c r="BK22" i="29" l="1"/>
  <c r="BG22" i="29"/>
  <c r="BJ22" i="29"/>
  <c r="BG18" i="29"/>
  <c r="BI18" i="29"/>
  <c r="BJ18" i="29"/>
  <c r="BK18" i="29"/>
  <c r="BL18" i="29"/>
  <c r="BH17" i="29"/>
  <c r="BI17" i="29"/>
  <c r="BJ17" i="29"/>
  <c r="BK17" i="29"/>
  <c r="BL17" i="29"/>
  <c r="BG17" i="29"/>
  <c r="BJ23" i="29"/>
  <c r="BK23" i="29"/>
  <c r="BL23" i="29"/>
  <c r="BG23" i="29"/>
  <c r="BI23" i="29"/>
  <c r="BH23" i="29"/>
  <c r="BL21" i="29"/>
  <c r="BK21" i="29"/>
  <c r="BG21" i="29"/>
  <c r="BH21" i="29"/>
  <c r="BI21" i="29"/>
  <c r="BJ21" i="29"/>
  <c r="BG20" i="29"/>
  <c r="BK14" i="29"/>
  <c r="BG14" i="29"/>
  <c r="BJ14" i="29"/>
  <c r="BG10" i="29"/>
  <c r="BI10" i="29"/>
  <c r="BJ10" i="29"/>
  <c r="BK10" i="29"/>
  <c r="BL10" i="29"/>
  <c r="BH9" i="29"/>
  <c r="BJ9" i="29"/>
  <c r="BK9" i="29"/>
  <c r="BL9" i="29"/>
  <c r="BG9" i="29"/>
  <c r="BJ15" i="29"/>
  <c r="BK15" i="29"/>
  <c r="BL15" i="29"/>
  <c r="BG15" i="29"/>
  <c r="BH15" i="29"/>
  <c r="BI15" i="29"/>
  <c r="BH25" i="29"/>
  <c r="BI25" i="29"/>
  <c r="BJ25" i="29"/>
  <c r="BK25" i="29"/>
  <c r="BL25" i="29"/>
  <c r="BG25" i="29"/>
  <c r="BL13" i="29"/>
  <c r="BK13" i="29"/>
  <c r="BG13" i="29"/>
  <c r="BH13" i="29"/>
  <c r="BI13" i="29"/>
  <c r="BJ13" i="29"/>
  <c r="BG12" i="29"/>
  <c r="BH10" i="29"/>
  <c r="BI9" i="29"/>
  <c r="BK6" i="29"/>
  <c r="BG6" i="29"/>
  <c r="BH6" i="29"/>
  <c r="BJ6" i="29"/>
  <c r="BI6" i="29"/>
  <c r="BL5" i="29"/>
  <c r="BG5" i="29"/>
  <c r="BH5" i="29"/>
  <c r="BI5" i="29"/>
  <c r="BK5" i="29"/>
  <c r="BJ5" i="29"/>
  <c r="BI30" i="29"/>
  <c r="BK28" i="29"/>
  <c r="BL27" i="29"/>
  <c r="BD27" i="29"/>
  <c r="BE27" i="29" s="1"/>
  <c r="BF27" i="29" s="1"/>
  <c r="BI22" i="29"/>
  <c r="BK20" i="29"/>
  <c r="BD19" i="29"/>
  <c r="BE19" i="29" s="1"/>
  <c r="BF19" i="29" s="1"/>
  <c r="BJ19" i="29" s="1"/>
  <c r="BI14" i="29"/>
  <c r="BK12" i="29"/>
  <c r="BD11" i="29"/>
  <c r="BE11" i="29" s="1"/>
  <c r="BF11" i="29" s="1"/>
  <c r="BL11" i="29" s="1"/>
  <c r="BH30" i="29"/>
  <c r="BJ28" i="29"/>
  <c r="BK27" i="29"/>
  <c r="BH22" i="29"/>
  <c r="BJ20" i="29"/>
  <c r="BH14" i="29"/>
  <c r="BJ12" i="29"/>
  <c r="BI28" i="29"/>
  <c r="BJ27" i="29"/>
  <c r="BI20" i="29"/>
  <c r="BI12" i="29"/>
  <c r="BH28" i="29"/>
  <c r="BI27" i="29"/>
  <c r="BD24" i="29"/>
  <c r="BE24" i="29" s="1"/>
  <c r="BF24" i="29" s="1"/>
  <c r="BG24" i="29" s="1"/>
  <c r="BH20" i="29"/>
  <c r="BD16" i="29"/>
  <c r="BE16" i="29" s="1"/>
  <c r="BF16" i="29" s="1"/>
  <c r="BJ16" i="29" s="1"/>
  <c r="BH12" i="29"/>
  <c r="BD8" i="29"/>
  <c r="BE8" i="29" s="1"/>
  <c r="BF8" i="29" s="1"/>
  <c r="BJ8" i="29" s="1"/>
  <c r="BH27" i="29"/>
  <c r="BL30" i="29"/>
  <c r="BL22" i="29"/>
  <c r="BL14" i="29"/>
  <c r="BL6" i="29"/>
  <c r="BK8" i="29" l="1"/>
  <c r="BJ24" i="29"/>
  <c r="BK16" i="29"/>
  <c r="BK11" i="29"/>
  <c r="BL24" i="29"/>
  <c r="BL8" i="29"/>
  <c r="BI11" i="29"/>
  <c r="BG16" i="29"/>
  <c r="BG11" i="29"/>
  <c r="BH11" i="29"/>
  <c r="BL19" i="29"/>
  <c r="BI16" i="29"/>
  <c r="BH16" i="29"/>
  <c r="BJ11" i="29"/>
  <c r="BG8" i="29"/>
  <c r="BG19" i="29"/>
  <c r="BH19" i="29"/>
  <c r="BL16" i="29"/>
  <c r="BK19" i="29"/>
  <c r="BK24" i="29"/>
  <c r="BI19" i="29"/>
  <c r="BI8" i="29"/>
  <c r="BH8" i="29"/>
  <c r="BI24" i="29"/>
  <c r="BH24" i="29"/>
  <c r="C297" i="33" l="1"/>
  <c r="C295" i="33"/>
  <c r="C296" i="33"/>
  <c r="C302" i="33" l="1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AF4" i="24" l="1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C108" i="30"/>
  <c r="CB108" i="30"/>
  <c r="CY106" i="30"/>
  <c r="CX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6" i="30"/>
  <c r="BR106" i="30"/>
  <c r="BQ106" i="30"/>
  <c r="BP106" i="30"/>
  <c r="AX106" i="30"/>
  <c r="AW106" i="30"/>
  <c r="AV106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S87" i="30"/>
  <c r="CR87" i="30"/>
  <c r="CQ87" i="30"/>
  <c r="CP87" i="30"/>
  <c r="CO87" i="30"/>
  <c r="CN87" i="30"/>
  <c r="CM87" i="30"/>
  <c r="CL87" i="30"/>
  <c r="CS86" i="30"/>
  <c r="CR86" i="30"/>
  <c r="CQ86" i="30"/>
  <c r="CP86" i="30"/>
  <c r="CO86" i="30"/>
  <c r="CN86" i="30"/>
  <c r="CM86" i="30"/>
  <c r="CL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V33" i="29"/>
  <c r="L33" i="29"/>
  <c r="K33" i="29"/>
  <c r="I33" i="29"/>
  <c r="C33" i="29"/>
  <c r="V31" i="29"/>
  <c r="L31" i="29"/>
  <c r="K31" i="29"/>
  <c r="I31" i="29"/>
  <c r="C31" i="29"/>
  <c r="Z30" i="29"/>
  <c r="Y30" i="29"/>
  <c r="V30" i="29"/>
  <c r="L30" i="29"/>
  <c r="K30" i="29"/>
  <c r="I30" i="29"/>
  <c r="D30" i="29"/>
  <c r="C30" i="29"/>
  <c r="Z29" i="29"/>
  <c r="Y29" i="29"/>
  <c r="V29" i="29"/>
  <c r="L29" i="29"/>
  <c r="K29" i="29"/>
  <c r="I29" i="29"/>
  <c r="D29" i="29"/>
  <c r="C29" i="29"/>
  <c r="K12" i="29"/>
  <c r="J12" i="29"/>
  <c r="I12" i="29"/>
  <c r="F12" i="29"/>
  <c r="E12" i="29"/>
  <c r="D12" i="29"/>
  <c r="C12" i="29"/>
  <c r="C10" i="29"/>
  <c r="K9" i="29"/>
  <c r="J9" i="29"/>
  <c r="I9" i="29"/>
  <c r="F9" i="29"/>
  <c r="E9" i="29"/>
  <c r="D9" i="29"/>
  <c r="C9" i="29"/>
  <c r="K8" i="29"/>
  <c r="J8" i="29"/>
  <c r="I8" i="29"/>
  <c r="F8" i="29"/>
  <c r="E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V24" i="28"/>
  <c r="CJ87" i="30" l="1"/>
  <c r="CH87" i="30"/>
  <c r="CH86" i="30"/>
  <c r="CJ86" i="30"/>
  <c r="CI86" i="30"/>
  <c r="CI87" i="30"/>
  <c r="CK86" i="30"/>
  <c r="CK87" i="30"/>
  <c r="CT86" i="30"/>
  <c r="CT87" i="30"/>
  <c r="CM107" i="30"/>
  <c r="CU86" i="30"/>
  <c r="CU87" i="30"/>
  <c r="CV86" i="30"/>
  <c r="CV87" i="30"/>
  <c r="CG86" i="30"/>
  <c r="CW86" i="30"/>
  <c r="CG87" i="30"/>
  <c r="CW87" i="30"/>
  <c r="BH106" i="30"/>
  <c r="CE108" i="30"/>
  <c r="CU108" i="30"/>
  <c r="CU107" i="30"/>
  <c r="AZ106" i="30"/>
  <c r="CU106" i="30"/>
  <c r="BA106" i="30"/>
  <c r="BI106" i="30"/>
  <c r="CV107" i="30"/>
  <c r="CF108" i="30"/>
  <c r="CV108" i="30"/>
  <c r="BB106" i="30"/>
  <c r="BJ106" i="30"/>
  <c r="CW107" i="30"/>
  <c r="CG108" i="30"/>
  <c r="CW108" i="30"/>
  <c r="BC106" i="30"/>
  <c r="BK106" i="30"/>
  <c r="CH106" i="30"/>
  <c r="CH107" i="30"/>
  <c r="CH108" i="30"/>
  <c r="CP108" i="30"/>
  <c r="BD106" i="30"/>
  <c r="BL106" i="30"/>
  <c r="CI107" i="30"/>
  <c r="CI108" i="30"/>
  <c r="CQ108" i="30"/>
  <c r="BE106" i="30"/>
  <c r="BM106" i="30"/>
  <c r="CJ106" i="30"/>
  <c r="CJ107" i="30"/>
  <c r="CJ108" i="30"/>
  <c r="CR108" i="30"/>
  <c r="BF106" i="30"/>
  <c r="BN106" i="30"/>
  <c r="CK106" i="30"/>
  <c r="CK107" i="30"/>
  <c r="CK108" i="30"/>
  <c r="AY106" i="30"/>
  <c r="BG106" i="30"/>
  <c r="BO106" i="30"/>
  <c r="CT106" i="30"/>
  <c r="CL107" i="30"/>
  <c r="CT107" i="30"/>
  <c r="CD108" i="30"/>
  <c r="CL108" i="30"/>
  <c r="R8" i="7"/>
  <c r="S8" i="7"/>
  <c r="U8" i="7"/>
  <c r="R9" i="7"/>
  <c r="S9" i="7"/>
  <c r="U9" i="7"/>
  <c r="S4" i="7" l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S154" i="33" s="1"/>
  <c r="BR101" i="33"/>
  <c r="BR154" i="33" s="1"/>
  <c r="BQ101" i="33"/>
  <c r="BQ154" i="33" s="1"/>
  <c r="BP101" i="33"/>
  <c r="BO101" i="33"/>
  <c r="BO154" i="33" s="1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D154" i="33" s="1"/>
  <c r="BC101" i="33"/>
  <c r="BC154" i="33" s="1"/>
  <c r="BB101" i="33"/>
  <c r="BB154" i="33" s="1"/>
  <c r="BA101" i="33"/>
  <c r="BA154" i="33" s="1"/>
  <c r="AZ101" i="33"/>
  <c r="AZ154" i="33" s="1"/>
  <c r="AY101" i="33"/>
  <c r="AY154" i="33" s="1"/>
  <c r="AX101" i="33"/>
  <c r="AW101" i="33"/>
  <c r="AW154" i="33" s="1"/>
  <c r="AV101" i="33"/>
  <c r="AV154" i="33" s="1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Z89" i="33" s="1"/>
  <c r="AU88" i="33"/>
  <c r="AU87" i="33"/>
  <c r="BR87" i="33" s="1"/>
  <c r="C83" i="33"/>
  <c r="C62" i="33"/>
  <c r="C61" i="33"/>
  <c r="D61" i="33" s="1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P154" i="33"/>
  <c r="BN154" i="33"/>
  <c r="BH154" i="33"/>
  <c r="BF154" i="33"/>
  <c r="AX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I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57" i="33"/>
  <c r="D54" i="33"/>
  <c r="D49" i="33"/>
  <c r="D33" i="33"/>
  <c r="D29" i="33"/>
  <c r="D25" i="33"/>
  <c r="D24" i="33"/>
  <c r="D16" i="33"/>
  <c r="D15" i="33"/>
  <c r="D6" i="33"/>
  <c r="D5" i="33"/>
  <c r="D1" i="33"/>
  <c r="BJ89" i="33" l="1"/>
  <c r="CM89" i="33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B152" i="31"/>
  <c r="S52" i="31"/>
  <c r="I218" i="33" s="1"/>
  <c r="S51" i="31"/>
  <c r="I217" i="33" s="1"/>
  <c r="S50" i="31"/>
  <c r="I216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E16" i="30"/>
  <c r="C16" i="30"/>
  <c r="D16" i="30" s="1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X6" i="30"/>
  <c r="CX17" i="30" s="1"/>
  <c r="CX62" i="30" s="1"/>
  <c r="CW6" i="30"/>
  <c r="CW17" i="30" s="1"/>
  <c r="CV6" i="30"/>
  <c r="CU6" i="30"/>
  <c r="CT6" i="30"/>
  <c r="CS6" i="30"/>
  <c r="CR6" i="30"/>
  <c r="CQ6" i="30"/>
  <c r="CQ17" i="30" s="1"/>
  <c r="CP6" i="30"/>
  <c r="CP17" i="30" s="1"/>
  <c r="CO6" i="30"/>
  <c r="CO17" i="30" s="1"/>
  <c r="CN6" i="30"/>
  <c r="CM6" i="30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D6" i="30"/>
  <c r="CC6" i="30"/>
  <c r="CB6" i="30"/>
  <c r="BZ6" i="30"/>
  <c r="BZ62" i="30" s="1"/>
  <c r="CY5" i="30"/>
  <c r="CY16" i="30" s="1"/>
  <c r="CY61" i="30" s="1"/>
  <c r="CY107" i="30" s="1"/>
  <c r="CX5" i="30"/>
  <c r="CW5" i="30"/>
  <c r="CV5" i="30"/>
  <c r="CU5" i="30"/>
  <c r="CT5" i="30"/>
  <c r="CS5" i="30"/>
  <c r="CR5" i="30"/>
  <c r="CR16" i="30" s="1"/>
  <c r="CQ5" i="30"/>
  <c r="CQ16" i="30" s="1"/>
  <c r="CP5" i="30"/>
  <c r="CP16" i="30" s="1"/>
  <c r="CO5" i="30"/>
  <c r="CN5" i="30"/>
  <c r="CM5" i="30"/>
  <c r="CL5" i="30"/>
  <c r="CK5" i="30"/>
  <c r="CJ5" i="30"/>
  <c r="CI5" i="30"/>
  <c r="CI16" i="30" s="1"/>
  <c r="CH5" i="30"/>
  <c r="CH16" i="30" s="1"/>
  <c r="CG5" i="30"/>
  <c r="CG91" i="30" s="1"/>
  <c r="CF5" i="30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I93" i="30" s="1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R91" i="30" s="1"/>
  <c r="BQ38" i="30"/>
  <c r="BQ91" i="30" s="1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I91" i="30" s="1"/>
  <c r="BH38" i="30"/>
  <c r="BG38" i="30"/>
  <c r="BF38" i="30"/>
  <c r="BF91" i="30" s="1"/>
  <c r="BE38" i="30"/>
  <c r="BE91" i="30" s="1"/>
  <c r="BD38" i="30"/>
  <c r="BD91" i="30" s="1"/>
  <c r="BC38" i="30"/>
  <c r="BC91" i="30" s="1"/>
  <c r="BB38" i="30"/>
  <c r="BA38" i="30"/>
  <c r="BA91" i="30" s="1"/>
  <c r="AZ38" i="30"/>
  <c r="AY38" i="30"/>
  <c r="AX38" i="30"/>
  <c r="AX91" i="30" s="1"/>
  <c r="AW38" i="30"/>
  <c r="AV38" i="30"/>
  <c r="AV91" i="30" s="1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R93" i="30"/>
  <c r="BQ93" i="30"/>
  <c r="BP93" i="30"/>
  <c r="BO93" i="30"/>
  <c r="BM93" i="30"/>
  <c r="BK93" i="30"/>
  <c r="BH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E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I91" i="30"/>
  <c r="CF91" i="30"/>
  <c r="CD91" i="30"/>
  <c r="BS91" i="30"/>
  <c r="BP91" i="30"/>
  <c r="BO91" i="30"/>
  <c r="BM91" i="30"/>
  <c r="BH91" i="30"/>
  <c r="BG91" i="30"/>
  <c r="BB91" i="30"/>
  <c r="AZ91" i="30"/>
  <c r="AY91" i="30"/>
  <c r="AW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V16" i="30"/>
  <c r="CT16" i="30"/>
  <c r="CN16" i="30"/>
  <c r="CL16" i="30"/>
  <c r="CF16" i="30"/>
  <c r="CF61" i="30" s="1"/>
  <c r="CF107" i="30" s="1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V15" i="30"/>
  <c r="CT15" i="30"/>
  <c r="CP15" i="30"/>
  <c r="CN15" i="30"/>
  <c r="CL15" i="30"/>
  <c r="CH15" i="30"/>
  <c r="CF15" i="30"/>
  <c r="CF60" i="30" s="1"/>
  <c r="CD15" i="30"/>
  <c r="CD60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U17" i="30"/>
  <c r="CS17" i="30"/>
  <c r="CR17" i="30"/>
  <c r="CM17" i="30"/>
  <c r="CK17" i="30"/>
  <c r="CJ17" i="30"/>
  <c r="CE17" i="30"/>
  <c r="CE62" i="30" s="1"/>
  <c r="CC17" i="30"/>
  <c r="CB17" i="30"/>
  <c r="CB62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B15" i="30"/>
  <c r="CB60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BD4" i="29" s="1"/>
  <c r="BE4" i="29" s="1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C25" i="29"/>
  <c r="C20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CX91" i="30" l="1"/>
  <c r="S3" i="29"/>
  <c r="D225" i="33"/>
  <c r="D239" i="33"/>
  <c r="D223" i="33"/>
  <c r="D224" i="33"/>
  <c r="I220" i="33"/>
  <c r="I221" i="33" s="1"/>
  <c r="Z165" i="28"/>
  <c r="AC165" i="28" s="1"/>
  <c r="Y165" i="28"/>
  <c r="AB165" i="28" s="1"/>
  <c r="T165" i="28"/>
  <c r="X165" i="28"/>
  <c r="AA165" i="28" s="1"/>
  <c r="Y165" i="31"/>
  <c r="AB165" i="31" s="1"/>
  <c r="X165" i="31"/>
  <c r="AA165" i="31" s="1"/>
  <c r="T165" i="31"/>
  <c r="V165" i="31" s="1"/>
  <c r="Z165" i="31"/>
  <c r="AC165" i="31" s="1"/>
  <c r="T169" i="28"/>
  <c r="AF169" i="28" s="1"/>
  <c r="X169" i="28"/>
  <c r="AA169" i="28" s="1"/>
  <c r="Z169" i="28"/>
  <c r="AC169" i="28" s="1"/>
  <c r="Y169" i="28"/>
  <c r="AB169" i="28" s="1"/>
  <c r="T170" i="28"/>
  <c r="U170" i="28" s="1"/>
  <c r="Z170" i="28"/>
  <c r="AC170" i="28" s="1"/>
  <c r="Y170" i="28"/>
  <c r="AB170" i="28" s="1"/>
  <c r="X170" i="28"/>
  <c r="AA170" i="28" s="1"/>
  <c r="T169" i="31"/>
  <c r="AI169" i="31" s="1"/>
  <c r="Z169" i="31"/>
  <c r="AC169" i="31" s="1"/>
  <c r="Y169" i="31"/>
  <c r="AB169" i="31" s="1"/>
  <c r="X169" i="31"/>
  <c r="AA169" i="31" s="1"/>
  <c r="Y170" i="31"/>
  <c r="AB170" i="31" s="1"/>
  <c r="T170" i="31"/>
  <c r="U170" i="31" s="1"/>
  <c r="X170" i="31"/>
  <c r="AA170" i="31" s="1"/>
  <c r="Z170" i="31"/>
  <c r="AC170" i="31" s="1"/>
  <c r="Z167" i="31"/>
  <c r="AC167" i="31" s="1"/>
  <c r="T167" i="31"/>
  <c r="Y167" i="31"/>
  <c r="AB167" i="31" s="1"/>
  <c r="X167" i="31"/>
  <c r="AA167" i="31" s="1"/>
  <c r="T167" i="28"/>
  <c r="Z167" i="28"/>
  <c r="AC167" i="28" s="1"/>
  <c r="Y167" i="28"/>
  <c r="AB167" i="28" s="1"/>
  <c r="X167" i="28"/>
  <c r="AA167" i="28" s="1"/>
  <c r="Y168" i="28"/>
  <c r="AB168" i="28" s="1"/>
  <c r="T168" i="28"/>
  <c r="X168" i="28"/>
  <c r="AA168" i="28" s="1"/>
  <c r="Z168" i="28"/>
  <c r="AC168" i="28" s="1"/>
  <c r="T168" i="31"/>
  <c r="Z168" i="31"/>
  <c r="AC168" i="31" s="1"/>
  <c r="Y168" i="31"/>
  <c r="AB168" i="31" s="1"/>
  <c r="X168" i="31"/>
  <c r="AA168" i="31" s="1"/>
  <c r="Z166" i="28"/>
  <c r="AC166" i="28" s="1"/>
  <c r="T166" i="28"/>
  <c r="Y166" i="28"/>
  <c r="AB166" i="28" s="1"/>
  <c r="X166" i="28"/>
  <c r="AA166" i="28" s="1"/>
  <c r="Z166" i="31"/>
  <c r="AC166" i="31" s="1"/>
  <c r="Y166" i="31"/>
  <c r="AB166" i="31" s="1"/>
  <c r="X166" i="31"/>
  <c r="AA166" i="31" s="1"/>
  <c r="T166" i="31"/>
  <c r="Z164" i="31"/>
  <c r="AC164" i="31" s="1"/>
  <c r="Y164" i="31"/>
  <c r="AB164" i="31" s="1"/>
  <c r="T164" i="31"/>
  <c r="U164" i="31" s="1"/>
  <c r="X164" i="31"/>
  <c r="AA164" i="31" s="1"/>
  <c r="T164" i="28"/>
  <c r="Z164" i="28"/>
  <c r="AC164" i="28" s="1"/>
  <c r="Y164" i="28"/>
  <c r="AB164" i="28" s="1"/>
  <c r="X164" i="28"/>
  <c r="AA164" i="28" s="1"/>
  <c r="Z188" i="28"/>
  <c r="AC188" i="28" s="1"/>
  <c r="Y188" i="28"/>
  <c r="AB188" i="28" s="1"/>
  <c r="X188" i="28"/>
  <c r="AA188" i="28" s="1"/>
  <c r="T188" i="28"/>
  <c r="Z188" i="31"/>
  <c r="AC188" i="31" s="1"/>
  <c r="Y188" i="31"/>
  <c r="AB188" i="31" s="1"/>
  <c r="X188" i="31"/>
  <c r="AA188" i="31" s="1"/>
  <c r="T188" i="31"/>
  <c r="AF188" i="31" s="1"/>
  <c r="T187" i="31"/>
  <c r="Z187" i="31"/>
  <c r="AC187" i="31" s="1"/>
  <c r="Y187" i="31"/>
  <c r="AB187" i="31" s="1"/>
  <c r="X187" i="31"/>
  <c r="AA187" i="31" s="1"/>
  <c r="X186" i="28"/>
  <c r="AA186" i="28" s="1"/>
  <c r="Z186" i="28"/>
  <c r="AC186" i="28" s="1"/>
  <c r="Y186" i="28"/>
  <c r="AB186" i="28" s="1"/>
  <c r="T186" i="28"/>
  <c r="Z187" i="28"/>
  <c r="AC187" i="28" s="1"/>
  <c r="T187" i="28"/>
  <c r="Y187" i="28"/>
  <c r="AB187" i="28" s="1"/>
  <c r="X187" i="28"/>
  <c r="AA187" i="28" s="1"/>
  <c r="Y186" i="31"/>
  <c r="AB186" i="31" s="1"/>
  <c r="X186" i="31"/>
  <c r="AA186" i="31" s="1"/>
  <c r="Z186" i="31"/>
  <c r="AC186" i="31" s="1"/>
  <c r="T186" i="31"/>
  <c r="W186" i="31" s="1"/>
  <c r="T189" i="28"/>
  <c r="Z189" i="28"/>
  <c r="AC189" i="28" s="1"/>
  <c r="Y189" i="28"/>
  <c r="AB189" i="28" s="1"/>
  <c r="X189" i="28"/>
  <c r="AA189" i="28" s="1"/>
  <c r="T189" i="31"/>
  <c r="V189" i="31" s="1"/>
  <c r="Z189" i="31"/>
  <c r="AC189" i="31" s="1"/>
  <c r="Y189" i="31"/>
  <c r="AB189" i="31" s="1"/>
  <c r="X189" i="31"/>
  <c r="AA189" i="31" s="1"/>
  <c r="Z192" i="31"/>
  <c r="AC192" i="31" s="1"/>
  <c r="Y192" i="31"/>
  <c r="AB192" i="31" s="1"/>
  <c r="X192" i="31"/>
  <c r="AA192" i="31" s="1"/>
  <c r="T192" i="31"/>
  <c r="T192" i="28"/>
  <c r="Z192" i="28"/>
  <c r="AC192" i="28" s="1"/>
  <c r="Y192" i="28"/>
  <c r="AB192" i="28" s="1"/>
  <c r="X192" i="28"/>
  <c r="AA192" i="28" s="1"/>
  <c r="Y191" i="28"/>
  <c r="AB191" i="28" s="1"/>
  <c r="T191" i="28"/>
  <c r="X191" i="28"/>
  <c r="AA191" i="28" s="1"/>
  <c r="Z191" i="28"/>
  <c r="AC191" i="28" s="1"/>
  <c r="T191" i="31"/>
  <c r="Z191" i="31"/>
  <c r="AC191" i="31" s="1"/>
  <c r="Y191" i="31"/>
  <c r="AB191" i="31" s="1"/>
  <c r="X191" i="31"/>
  <c r="AA191" i="31" s="1"/>
  <c r="X190" i="28"/>
  <c r="AA190" i="28" s="1"/>
  <c r="T190" i="28"/>
  <c r="U190" i="28" s="1"/>
  <c r="Z190" i="28"/>
  <c r="AC190" i="28" s="1"/>
  <c r="Y190" i="28"/>
  <c r="AB190" i="28" s="1"/>
  <c r="Y190" i="31"/>
  <c r="AB190" i="31" s="1"/>
  <c r="X190" i="31"/>
  <c r="AA190" i="31" s="1"/>
  <c r="Z190" i="31"/>
  <c r="AC190" i="31" s="1"/>
  <c r="T190" i="31"/>
  <c r="V190" i="31" s="1"/>
  <c r="CB90" i="30"/>
  <c r="CE90" i="30"/>
  <c r="CX92" i="30"/>
  <c r="AC24" i="28"/>
  <c r="S4" i="29"/>
  <c r="S20" i="29"/>
  <c r="AB171" i="28"/>
  <c r="AA171" i="28"/>
  <c r="AB171" i="31"/>
  <c r="AA171" i="31"/>
  <c r="AC171" i="31"/>
  <c r="K113" i="31"/>
  <c r="K111" i="31"/>
  <c r="K110" i="31"/>
  <c r="CC91" i="30"/>
  <c r="CK91" i="30"/>
  <c r="CE91" i="30"/>
  <c r="CE92" i="30"/>
  <c r="CW90" i="30"/>
  <c r="CU90" i="30"/>
  <c r="CG15" i="30"/>
  <c r="CG60" i="30" s="1"/>
  <c r="Q71" i="29"/>
  <c r="P71" i="29"/>
  <c r="BK92" i="30"/>
  <c r="BS92" i="30"/>
  <c r="AV92" i="30"/>
  <c r="BD92" i="30"/>
  <c r="BL92" i="30"/>
  <c r="BC90" i="30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J124" i="31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F16" i="30"/>
  <c r="AK191" i="33" s="1"/>
  <c r="AO191" i="33" s="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L114" i="31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J29" i="29" s="1"/>
  <c r="R25" i="29"/>
  <c r="R29" i="29" s="1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G8" i="29" s="1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21" i="29" s="1"/>
  <c r="P7" i="29" s="1"/>
  <c r="P12" i="29" s="1"/>
  <c r="P4" i="29"/>
  <c r="P3" i="29"/>
  <c r="X26" i="29"/>
  <c r="X30" i="29" s="1"/>
  <c r="X25" i="29"/>
  <c r="X29" i="29" s="1"/>
  <c r="H5" i="29"/>
  <c r="H9" i="29" s="1"/>
  <c r="H20" i="29"/>
  <c r="H4" i="29"/>
  <c r="H3" i="29"/>
  <c r="H26" i="29"/>
  <c r="H30" i="29" s="1"/>
  <c r="H25" i="29"/>
  <c r="H29" i="29" s="1"/>
  <c r="K4" i="29"/>
  <c r="K20" i="29"/>
  <c r="K21" i="29" s="1"/>
  <c r="K7" i="29" s="1"/>
  <c r="J20" i="29"/>
  <c r="J21" i="29" s="1"/>
  <c r="J7" i="29" s="1"/>
  <c r="R20" i="29"/>
  <c r="R21" i="29" s="1"/>
  <c r="R7" i="29" s="1"/>
  <c r="R12" i="29" s="1"/>
  <c r="Z20" i="29"/>
  <c r="Z21" i="29" s="1"/>
  <c r="Z7" i="29" s="1"/>
  <c r="Z12" i="29" s="1"/>
  <c r="I5" i="29"/>
  <c r="I20" i="29"/>
  <c r="I21" i="29" s="1"/>
  <c r="I7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25" i="29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X8" i="29" s="1"/>
  <c r="P26" i="29"/>
  <c r="P30" i="29" s="1"/>
  <c r="P25" i="29"/>
  <c r="P29" i="29" s="1"/>
  <c r="C19" i="29"/>
  <c r="C5" i="29"/>
  <c r="C41" i="29"/>
  <c r="C42" i="29" s="1"/>
  <c r="C26" i="29"/>
  <c r="C32" i="29" s="1"/>
  <c r="D5" i="29"/>
  <c r="D20" i="29"/>
  <c r="D21" i="29" s="1"/>
  <c r="D7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D26" i="29"/>
  <c r="D25" i="29"/>
  <c r="L26" i="29"/>
  <c r="L25" i="29"/>
  <c r="T26" i="29"/>
  <c r="T30" i="29" s="1"/>
  <c r="T25" i="29"/>
  <c r="T29" i="29" s="1"/>
  <c r="E71" i="29"/>
  <c r="E3" i="29"/>
  <c r="E4" i="29"/>
  <c r="E5" i="29"/>
  <c r="E20" i="29"/>
  <c r="E21" i="29" s="1"/>
  <c r="E7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30" i="29" s="1"/>
  <c r="E25" i="29"/>
  <c r="E29" i="29" s="1"/>
  <c r="M26" i="29"/>
  <c r="M30" i="29" s="1"/>
  <c r="M25" i="29"/>
  <c r="M29" i="29" s="1"/>
  <c r="U26" i="29"/>
  <c r="U30" i="29" s="1"/>
  <c r="U25" i="29"/>
  <c r="U29" i="29" s="1"/>
  <c r="C3" i="29"/>
  <c r="C201" i="29" s="1"/>
  <c r="S25" i="29"/>
  <c r="S29" i="29" s="1"/>
  <c r="F5" i="29"/>
  <c r="F20" i="29"/>
  <c r="F21" i="29" s="1"/>
  <c r="F7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30" i="29" s="1"/>
  <c r="F25" i="29"/>
  <c r="F29" i="29" s="1"/>
  <c r="F112" i="29"/>
  <c r="N112" i="29"/>
  <c r="N26" i="29"/>
  <c r="N30" i="29" s="1"/>
  <c r="N25" i="29"/>
  <c r="N29" i="29" s="1"/>
  <c r="V112" i="29"/>
  <c r="V26" i="29"/>
  <c r="V25" i="29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Z8" i="29" s="1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M106" i="30" s="1"/>
  <c r="CU26" i="30"/>
  <c r="CU60" i="30" s="1"/>
  <c r="CF26" i="30"/>
  <c r="CN26" i="30"/>
  <c r="CN71" i="30" s="1"/>
  <c r="CV26" i="30"/>
  <c r="CV60" i="30" s="1"/>
  <c r="CV106" i="30" s="1"/>
  <c r="CG26" i="30"/>
  <c r="CO26" i="30"/>
  <c r="CO60" i="30" s="1"/>
  <c r="CO106" i="30" s="1"/>
  <c r="CW26" i="30"/>
  <c r="CW60" i="30" s="1"/>
  <c r="CW106" i="30" s="1"/>
  <c r="CH26" i="30"/>
  <c r="CH60" i="30" s="1"/>
  <c r="CX26" i="30"/>
  <c r="CX71" i="30" s="1"/>
  <c r="CP26" i="30"/>
  <c r="CP60" i="30" s="1"/>
  <c r="CP106" i="30" s="1"/>
  <c r="CI26" i="30"/>
  <c r="CI71" i="30" s="1"/>
  <c r="CQ26" i="30"/>
  <c r="CQ60" i="30" s="1"/>
  <c r="CQ106" i="30" s="1"/>
  <c r="CY26" i="30"/>
  <c r="CJ26" i="30"/>
  <c r="CJ60" i="30" s="1"/>
  <c r="CR26" i="30"/>
  <c r="CR60" i="30" s="1"/>
  <c r="CR106" i="30" s="1"/>
  <c r="CB26" i="30"/>
  <c r="CB71" i="30" s="1"/>
  <c r="CL26" i="30"/>
  <c r="CL71" i="30" s="1"/>
  <c r="CC26" i="30"/>
  <c r="CK26" i="30"/>
  <c r="CK71" i="30" s="1"/>
  <c r="CS26" i="30"/>
  <c r="CS60" i="30" s="1"/>
  <c r="CS106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H27" i="30"/>
  <c r="CH61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S27" i="30"/>
  <c r="CS61" i="30" s="1"/>
  <c r="CS107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S108" i="30" s="1"/>
  <c r="CD28" i="30"/>
  <c r="CL28" i="30"/>
  <c r="CL62" i="30" s="1"/>
  <c r="CT28" i="30"/>
  <c r="CT62" i="30" s="1"/>
  <c r="CT108" i="30" s="1"/>
  <c r="CB28" i="30"/>
  <c r="CN28" i="30"/>
  <c r="CN73" i="30" s="1"/>
  <c r="CW28" i="30"/>
  <c r="CW62" i="30" s="1"/>
  <c r="CE28" i="30"/>
  <c r="CE73" i="30" s="1"/>
  <c r="CM28" i="30"/>
  <c r="CM62" i="30" s="1"/>
  <c r="CM108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E100" i="30" s="1"/>
  <c r="BE101" i="30" s="1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BF71" i="30"/>
  <c r="BF60" i="30"/>
  <c r="BN71" i="30"/>
  <c r="BN60" i="30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BH71" i="30"/>
  <c r="BH60" i="30"/>
  <c r="BP71" i="30"/>
  <c r="BP60" i="30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71" i="30"/>
  <c r="BJ71" i="30"/>
  <c r="BJ60" i="30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71" i="30"/>
  <c r="BD60" i="30"/>
  <c r="BD71" i="30"/>
  <c r="BL60" i="30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F113" i="30" s="1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F99" i="30"/>
  <c r="BF100" i="30" s="1"/>
  <c r="BF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T256" i="31"/>
  <c r="U256" i="31" s="1"/>
  <c r="T258" i="31"/>
  <c r="U258" i="31" s="1"/>
  <c r="T260" i="31"/>
  <c r="U260" i="31" s="1"/>
  <c r="T257" i="31"/>
  <c r="U257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21" i="29"/>
  <c r="C7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BF4" i="29"/>
  <c r="S62" i="29"/>
  <c r="Z28" i="28"/>
  <c r="AC171" i="28"/>
  <c r="AA206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F195" i="28"/>
  <c r="AC194" i="28"/>
  <c r="U195" i="28"/>
  <c r="T14" i="7"/>
  <c r="T13" i="7"/>
  <c r="T12" i="7"/>
  <c r="T11" i="7"/>
  <c r="Z72" i="30" l="1"/>
  <c r="Q72" i="30"/>
  <c r="M8" i="29"/>
  <c r="Q8" i="29"/>
  <c r="Q201" i="29" s="1"/>
  <c r="U72" i="30"/>
  <c r="R8" i="29"/>
  <c r="V72" i="30"/>
  <c r="N8" i="29"/>
  <c r="N201" i="29" s="1"/>
  <c r="R72" i="30"/>
  <c r="O8" i="29"/>
  <c r="S72" i="30"/>
  <c r="P8" i="29"/>
  <c r="P201" i="29" s="1"/>
  <c r="T72" i="30"/>
  <c r="U8" i="29"/>
  <c r="U201" i="29" s="1"/>
  <c r="Y72" i="30"/>
  <c r="X72" i="30"/>
  <c r="T8" i="29"/>
  <c r="T201" i="29" s="1"/>
  <c r="W72" i="30"/>
  <c r="S8" i="29"/>
  <c r="P72" i="30"/>
  <c r="L8" i="29"/>
  <c r="AF187" i="31"/>
  <c r="H8" i="29"/>
  <c r="W8" i="29"/>
  <c r="W201" i="29" s="1"/>
  <c r="V8" i="29"/>
  <c r="V201" i="29" s="1"/>
  <c r="Y8" i="29"/>
  <c r="X28" i="31"/>
  <c r="AG33" i="31"/>
  <c r="AH33" i="31" s="1"/>
  <c r="AI33" i="31" s="1"/>
  <c r="X30" i="31"/>
  <c r="AF27" i="31" s="1"/>
  <c r="AG27" i="31" s="1"/>
  <c r="AG35" i="31"/>
  <c r="AI35" i="31" s="1"/>
  <c r="X29" i="31"/>
  <c r="AG34" i="31"/>
  <c r="AH34" i="31" s="1"/>
  <c r="AI34" i="31" s="1"/>
  <c r="AF167" i="28"/>
  <c r="AF168" i="31"/>
  <c r="AG165" i="28"/>
  <c r="W165" i="31"/>
  <c r="AF165" i="31"/>
  <c r="AI165" i="31"/>
  <c r="U165" i="31"/>
  <c r="AG165" i="31"/>
  <c r="M6" i="31"/>
  <c r="E201" i="29"/>
  <c r="E212" i="29" s="1"/>
  <c r="I201" i="29"/>
  <c r="M201" i="29"/>
  <c r="K201" i="29"/>
  <c r="U167" i="28"/>
  <c r="V167" i="28"/>
  <c r="W167" i="28"/>
  <c r="AF188" i="28"/>
  <c r="V188" i="28"/>
  <c r="W188" i="28"/>
  <c r="L201" i="29"/>
  <c r="AN215" i="33"/>
  <c r="C6" i="29"/>
  <c r="C181" i="29"/>
  <c r="C196" i="29" s="1"/>
  <c r="S59" i="29"/>
  <c r="V196" i="31"/>
  <c r="U188" i="31"/>
  <c r="AI184" i="28"/>
  <c r="AG196" i="31"/>
  <c r="AG188" i="31"/>
  <c r="V164" i="31"/>
  <c r="AI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C212" i="29"/>
  <c r="AI180" i="28"/>
  <c r="V168" i="28"/>
  <c r="AE176" i="31"/>
  <c r="AI184" i="31"/>
  <c r="Z201" i="29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Y201" i="29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H173" i="31" s="1"/>
  <c r="AD165" i="3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P62" i="30"/>
  <c r="CI61" i="30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F201" i="29"/>
  <c r="H201" i="29"/>
  <c r="G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J201" i="29"/>
  <c r="X201" i="29"/>
  <c r="C251" i="33"/>
  <c r="D251" i="33" s="1"/>
  <c r="CK62" i="30"/>
  <c r="CG62" i="30"/>
  <c r="CV61" i="30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V172" i="31"/>
  <c r="S58" i="29"/>
  <c r="AF177" i="31"/>
  <c r="AD174" i="31"/>
  <c r="AH174" i="31" s="1"/>
  <c r="O201" i="29"/>
  <c r="V45" i="31"/>
  <c r="AD203" i="28"/>
  <c r="AH203" i="28" s="1"/>
  <c r="AF176" i="28"/>
  <c r="AG177" i="31"/>
  <c r="U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AE33" i="29"/>
  <c r="T240" i="31" s="1"/>
  <c r="T273" i="31" s="1"/>
  <c r="C41" i="33"/>
  <c r="D41" i="33" s="1"/>
  <c r="BC60" i="30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C11" i="29"/>
  <c r="C13" i="29" s="1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BD81" i="30" s="1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DV117" i="30"/>
  <c r="X7" i="30" s="1"/>
  <c r="DC114" i="30"/>
  <c r="DC79" i="30"/>
  <c r="BZ109" i="30"/>
  <c r="BZ74" i="30"/>
  <c r="CF83" i="30"/>
  <c r="CF81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3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CO84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CI83" i="30"/>
  <c r="CI84" i="30"/>
  <c r="CI82" i="30"/>
  <c r="CI81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CR82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BD82" i="30"/>
  <c r="BD84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C38" i="29"/>
  <c r="C36" i="29"/>
  <c r="C37" i="29"/>
  <c r="K41" i="29"/>
  <c r="K38" i="29"/>
  <c r="K36" i="29"/>
  <c r="K40" i="29"/>
  <c r="K27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I164" i="28"/>
  <c r="AB34" i="28"/>
  <c r="K32" i="28" s="1"/>
  <c r="C89" i="33" s="1"/>
  <c r="AC228" i="28"/>
  <c r="K40" i="28" s="1"/>
  <c r="B52" i="30" s="1"/>
  <c r="C52" i="30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X34" i="28"/>
  <c r="K35" i="28" s="1"/>
  <c r="C91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F72" i="30" l="1"/>
  <c r="AI187" i="28"/>
  <c r="AI166" i="31"/>
  <c r="AI188" i="28"/>
  <c r="AI188" i="31"/>
  <c r="AJ166" i="31"/>
  <c r="AH166" i="28"/>
  <c r="AJ166" i="28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BC85" i="30" s="1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CN85" i="30" s="1"/>
  <c r="BC84" i="30"/>
  <c r="CO82" i="30"/>
  <c r="CY117" i="30"/>
  <c r="AD6" i="30" s="1"/>
  <c r="CN83" i="30"/>
  <c r="BC81" i="30"/>
  <c r="Q60" i="29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CQ85" i="30" s="1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F52" i="30"/>
  <c r="C264" i="33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M85" i="30"/>
  <c r="CJ85" i="30"/>
  <c r="DI85" i="30"/>
  <c r="CR85" i="30"/>
  <c r="DE85" i="30"/>
  <c r="DN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O39" i="29"/>
  <c r="M60" i="29"/>
  <c r="U63" i="29"/>
  <c r="U49" i="29" s="1"/>
  <c r="P63" i="29"/>
  <c r="P49" i="29" s="1"/>
  <c r="C60" i="29"/>
  <c r="C64" i="29" s="1"/>
  <c r="W63" i="29"/>
  <c r="W49" i="29" s="1"/>
  <c r="F60" i="29"/>
  <c r="N60" i="29"/>
  <c r="F42" i="29"/>
  <c r="F28" i="29" s="1"/>
  <c r="F33" i="29" s="1"/>
  <c r="R63" i="29"/>
  <c r="R49" i="29" s="1"/>
  <c r="T63" i="29"/>
  <c r="T49" i="29" s="1"/>
  <c r="S32" i="29"/>
  <c r="F63" i="29"/>
  <c r="F49" i="29" s="1"/>
  <c r="I63" i="29"/>
  <c r="I49" i="29" s="1"/>
  <c r="J42" i="29"/>
  <c r="J28" i="29" s="1"/>
  <c r="J33" i="29" s="1"/>
  <c r="X63" i="29"/>
  <c r="X49" i="29" s="1"/>
  <c r="E42" i="29"/>
  <c r="E28" i="29" s="1"/>
  <c r="E33" i="29" s="1"/>
  <c r="D63" i="29"/>
  <c r="D49" i="29" s="1"/>
  <c r="K39" i="29"/>
  <c r="Y42" i="29"/>
  <c r="Y28" i="29" s="1"/>
  <c r="Y33" i="29" s="1"/>
  <c r="Z63" i="29"/>
  <c r="Z49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L42" i="29"/>
  <c r="L28" i="29" s="1"/>
  <c r="H39" i="29"/>
  <c r="X42" i="29"/>
  <c r="X28" i="29" s="1"/>
  <c r="X33" i="29" s="1"/>
  <c r="K42" i="29"/>
  <c r="K28" i="29" s="1"/>
  <c r="V42" i="29"/>
  <c r="V28" i="29" s="1"/>
  <c r="H63" i="29"/>
  <c r="H49" i="29" s="1"/>
  <c r="R42" i="29"/>
  <c r="R28" i="29" s="1"/>
  <c r="R33" i="29" s="1"/>
  <c r="I42" i="29"/>
  <c r="I28" i="29" s="1"/>
  <c r="P42" i="29"/>
  <c r="P28" i="29" s="1"/>
  <c r="P33" i="29" s="1"/>
  <c r="M42" i="29"/>
  <c r="M28" i="29" s="1"/>
  <c r="M33" i="29" s="1"/>
  <c r="J63" i="29"/>
  <c r="J49" i="29" s="1"/>
  <c r="L63" i="29"/>
  <c r="L49" i="29" s="1"/>
  <c r="G42" i="29"/>
  <c r="G28" i="29" s="1"/>
  <c r="G33" i="29" s="1"/>
  <c r="W32" i="29"/>
  <c r="W34" i="29" s="1"/>
  <c r="O42" i="29"/>
  <c r="N63" i="29"/>
  <c r="N49" i="29" s="1"/>
  <c r="G63" i="29"/>
  <c r="G49" i="29" s="1"/>
  <c r="V63" i="29"/>
  <c r="V49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E63" i="29"/>
  <c r="E49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Y86" i="30" l="1"/>
  <c r="CY87" i="30"/>
  <c r="CX87" i="30"/>
  <c r="CX86" i="30"/>
  <c r="CD86" i="30"/>
  <c r="CD87" i="30"/>
  <c r="CC86" i="30"/>
  <c r="CC87" i="30"/>
  <c r="CF87" i="30"/>
  <c r="CF86" i="30"/>
  <c r="CE86" i="30"/>
  <c r="CE87" i="30"/>
  <c r="CB87" i="30"/>
  <c r="CB86" i="30"/>
  <c r="C191" i="33"/>
  <c r="B109" i="30"/>
  <c r="B112" i="30" s="1"/>
  <c r="BD86" i="30"/>
  <c r="BD87" i="30"/>
  <c r="AX86" i="30"/>
  <c r="AX87" i="30"/>
  <c r="BC87" i="30"/>
  <c r="BC86" i="30"/>
  <c r="AZ87" i="30"/>
  <c r="AZ86" i="30"/>
  <c r="BA87" i="30"/>
  <c r="BA86" i="30"/>
  <c r="AV86" i="30"/>
  <c r="AV87" i="30"/>
  <c r="AY86" i="30"/>
  <c r="AY87" i="30"/>
  <c r="BB86" i="30"/>
  <c r="BB87" i="30"/>
  <c r="AW87" i="30"/>
  <c r="AW86" i="30"/>
  <c r="Q43" i="29"/>
  <c r="C71" i="33"/>
  <c r="K48" i="28"/>
  <c r="B154" i="31" s="1"/>
  <c r="B155" i="31" s="1"/>
  <c r="I155" i="31" s="1"/>
  <c r="C304" i="33"/>
  <c r="AQ3" i="29"/>
  <c r="C305" i="33"/>
  <c r="AA240" i="31"/>
  <c r="AB240" i="31" s="1"/>
  <c r="C310" i="33"/>
  <c r="BK86" i="30"/>
  <c r="BK87" i="30"/>
  <c r="BM86" i="30"/>
  <c r="BM87" i="30"/>
  <c r="BI86" i="30"/>
  <c r="BI87" i="30"/>
  <c r="BL86" i="30"/>
  <c r="BL87" i="30"/>
  <c r="BN87" i="30"/>
  <c r="BN86" i="30"/>
  <c r="BH86" i="30"/>
  <c r="BH87" i="30"/>
  <c r="BF87" i="30"/>
  <c r="BF86" i="30"/>
  <c r="BG87" i="30"/>
  <c r="BG86" i="30"/>
  <c r="BJ86" i="30"/>
  <c r="BJ87" i="30"/>
  <c r="BE87" i="30"/>
  <c r="BE86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275" i="33" l="1"/>
  <c r="D275" i="33" s="1"/>
  <c r="D191" i="33"/>
  <c r="J154" i="31"/>
  <c r="C227" i="33" s="1"/>
  <c r="B149" i="31"/>
  <c r="J149" i="31" s="1"/>
  <c r="C222" i="33" s="1"/>
  <c r="AC240" i="31"/>
  <c r="AF240" i="31" s="1"/>
  <c r="CS102" i="30"/>
  <c r="X10" i="30" s="1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O102" i="30" l="1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C78" i="33" s="1"/>
  <c r="BS65" i="33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R78" i="33" s="1"/>
  <c r="BJ66" i="33"/>
  <c r="BB65" i="33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AZ78" i="33" s="1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A78" i="33" s="1"/>
  <c r="BQ65" i="33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S78" i="33" s="1"/>
  <c r="BK66" i="33"/>
  <c r="BC65" i="33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B78" i="33" s="1"/>
  <c r="BR65" i="33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P78" i="33" s="1"/>
  <c r="BH66" i="33"/>
  <c r="AZ65" i="33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AX78" i="33" s="1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BQ78" i="33" s="1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BO78" i="33" s="1"/>
  <c r="AY65" i="33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AW78" i="33" s="1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BD78" i="33" s="1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Y78" i="33" s="1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AV78" i="33" s="1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BA76" i="33" l="1"/>
  <c r="BA152" i="33"/>
  <c r="AZ76" i="33"/>
  <c r="AZ152" i="33"/>
  <c r="BC76" i="33"/>
  <c r="BC152" i="33"/>
  <c r="AW76" i="33"/>
  <c r="AW152" i="33"/>
  <c r="AV76" i="33"/>
  <c r="AV152" i="33"/>
  <c r="BS76" i="33"/>
  <c r="BS152" i="33"/>
  <c r="AX76" i="33"/>
  <c r="AX152" i="33"/>
  <c r="BD76" i="33"/>
  <c r="BD152" i="33"/>
  <c r="BR76" i="33"/>
  <c r="BR152" i="33"/>
  <c r="AY76" i="33"/>
  <c r="AY152" i="33"/>
  <c r="BB76" i="33"/>
  <c r="BB152" i="33"/>
  <c r="BQ76" i="33"/>
  <c r="BQ152" i="33"/>
  <c r="L210" i="33"/>
  <c r="L211" i="33" s="1"/>
  <c r="L212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AZ124" i="33"/>
  <c r="AZ170" i="33" s="1"/>
  <c r="AZ135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BS124" i="33"/>
  <c r="BS170" i="33" s="1"/>
  <c r="BS135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Q124" i="33"/>
  <c r="BQ170" i="33" s="1"/>
  <c r="BQ13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D122" i="33"/>
  <c r="BD168" i="33" s="1"/>
  <c r="BD133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R122" i="33"/>
  <c r="BR168" i="33" s="1"/>
  <c r="BR133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A124" i="33"/>
  <c r="BA170" i="33" s="1"/>
  <c r="BA135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160" i="33" s="1"/>
  <c r="BC161" i="33" s="1"/>
  <c r="BC162" i="33" s="1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AY124" i="33"/>
  <c r="AY170" i="33" s="1"/>
  <c r="AY135" i="33"/>
  <c r="CN125" i="33"/>
  <c r="CN171" i="33" s="1"/>
  <c r="CN136" i="33"/>
  <c r="BD124" i="33"/>
  <c r="BD170" i="33" s="1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AX124" i="33"/>
  <c r="AX170" i="33" s="1"/>
  <c r="AX135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B124" i="33"/>
  <c r="BB170" i="33" s="1"/>
  <c r="BB135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BE160" i="33" l="1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O65" i="33"/>
  <c r="BP76" i="33" l="1"/>
  <c r="BP152" i="33"/>
  <c r="BP160" i="33" s="1"/>
  <c r="BP161" i="33" s="1"/>
  <c r="BP162" i="33" s="1"/>
  <c r="BO76" i="33"/>
  <c r="BO152" i="33"/>
  <c r="BJ143" i="33"/>
  <c r="BM178" i="33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22" i="33"/>
  <c r="BP168" i="33" s="1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J146" i="33" l="1"/>
  <c r="BJ148" i="33" s="1"/>
  <c r="CY146" i="33"/>
  <c r="CY147" i="33" s="1"/>
  <c r="CE146" i="33"/>
  <c r="CE148" i="33" s="1"/>
  <c r="CX146" i="33"/>
  <c r="CX147" i="33" s="1"/>
  <c r="AW146" i="33"/>
  <c r="AW148" i="33" s="1"/>
  <c r="CG146" i="33"/>
  <c r="CG148" i="33" s="1"/>
  <c r="AY146" i="33"/>
  <c r="AY148" i="33" s="1"/>
  <c r="AV146" i="33"/>
  <c r="AV147" i="33" s="1"/>
  <c r="CD146" i="33"/>
  <c r="CD148" i="33" s="1"/>
  <c r="CC146" i="33"/>
  <c r="CC147" i="33" s="1"/>
  <c r="CB146" i="33"/>
  <c r="CB148" i="33" s="1"/>
  <c r="CF146" i="33"/>
  <c r="CF147" i="33" s="1"/>
  <c r="AZ146" i="33"/>
  <c r="AZ147" i="33" s="1"/>
  <c r="DS148" i="33"/>
  <c r="DS147" i="33"/>
  <c r="DZ148" i="33"/>
  <c r="DZ147" i="33"/>
  <c r="EB148" i="33"/>
  <c r="EB147" i="33"/>
  <c r="CL148" i="33"/>
  <c r="CL147" i="33"/>
  <c r="DJ148" i="33"/>
  <c r="DJ147" i="33"/>
  <c r="CP148" i="33"/>
  <c r="CP147" i="33"/>
  <c r="CS148" i="33"/>
  <c r="CS147" i="33"/>
  <c r="DK148" i="33"/>
  <c r="DK147" i="33"/>
  <c r="CR148" i="33"/>
  <c r="CR147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8" i="33"/>
  <c r="DX147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BJ147" i="33"/>
  <c r="DF148" i="33"/>
  <c r="DF147" i="33"/>
  <c r="DG148" i="33"/>
  <c r="DG147" i="33"/>
  <c r="DO147" i="33"/>
  <c r="DO148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0" i="7"/>
  <c r="Q21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CY148" i="33" l="1"/>
  <c r="CE147" i="33"/>
  <c r="CF148" i="33"/>
  <c r="CF163" i="33" s="1"/>
  <c r="CX148" i="33"/>
  <c r="CX163" i="33" s="1"/>
  <c r="BP146" i="33"/>
  <c r="BP148" i="33" s="1"/>
  <c r="AZ148" i="33"/>
  <c r="AZ163" i="33" s="1"/>
  <c r="AW147" i="33"/>
  <c r="AW163" i="33" s="1"/>
  <c r="CC148" i="33"/>
  <c r="CC163" i="33" s="1"/>
  <c r="CB147" i="33"/>
  <c r="CB163" i="33" s="1"/>
  <c r="AY147" i="33"/>
  <c r="AY163" i="33" s="1"/>
  <c r="CD147" i="33"/>
  <c r="CD163" i="33" s="1"/>
  <c r="AV148" i="33"/>
  <c r="AV163" i="33" s="1"/>
  <c r="CG147" i="33"/>
  <c r="CG163" i="33" s="1"/>
  <c r="CH148" i="33"/>
  <c r="CH147" i="33"/>
  <c r="BG148" i="33"/>
  <c r="BG147" i="33"/>
  <c r="CV148" i="33"/>
  <c r="CV147" i="33"/>
  <c r="CT148" i="33"/>
  <c r="CT147" i="33"/>
  <c r="BM148" i="33"/>
  <c r="BM147" i="33"/>
  <c r="BB148" i="33"/>
  <c r="BB147" i="33"/>
  <c r="BK148" i="33"/>
  <c r="BK147" i="33"/>
  <c r="CU148" i="33"/>
  <c r="CU147" i="33"/>
  <c r="BN148" i="33"/>
  <c r="BN147" i="33"/>
  <c r="BI148" i="33"/>
  <c r="BI147" i="33"/>
  <c r="CK148" i="33"/>
  <c r="CK147" i="33"/>
  <c r="BF147" i="33"/>
  <c r="BF148" i="33"/>
  <c r="BH148" i="33"/>
  <c r="BH147" i="33"/>
  <c r="CJ148" i="33"/>
  <c r="CJ147" i="33"/>
  <c r="CI148" i="33"/>
  <c r="CI147" i="33"/>
  <c r="BL148" i="33"/>
  <c r="BL147" i="33"/>
  <c r="AX147" i="33"/>
  <c r="AX148" i="33"/>
  <c r="BC148" i="33"/>
  <c r="BC147" i="33"/>
  <c r="BA148" i="33"/>
  <c r="BA147" i="33"/>
  <c r="CW148" i="33"/>
  <c r="CW147" i="33"/>
  <c r="BE148" i="33"/>
  <c r="BE147" i="33"/>
  <c r="BD148" i="33"/>
  <c r="BD147" i="33"/>
  <c r="DX163" i="33"/>
  <c r="DP163" i="33"/>
  <c r="CL163" i="33"/>
  <c r="BJ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DE163" i="33"/>
  <c r="CN163" i="33"/>
  <c r="DN163" i="33"/>
  <c r="CP163" i="33"/>
  <c r="CM163" i="33"/>
  <c r="CY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147" i="33" l="1"/>
  <c r="BP163" i="33" s="1"/>
  <c r="BP86" i="30"/>
  <c r="BP87" i="30"/>
  <c r="BQ146" i="33"/>
  <c r="BQ148" i="33" s="1"/>
  <c r="BR146" i="33"/>
  <c r="BR148" i="33" s="1"/>
  <c r="BS146" i="33"/>
  <c r="BS148" i="33" s="1"/>
  <c r="AX163" i="33"/>
  <c r="BH163" i="33"/>
  <c r="BM163" i="33"/>
  <c r="BI163" i="33"/>
  <c r="BL163" i="33"/>
  <c r="C18" i="29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22" i="29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Q87" i="30" l="1"/>
  <c r="BQ86" i="30"/>
  <c r="BR87" i="30"/>
  <c r="BR86" i="30"/>
  <c r="BS87" i="30"/>
  <c r="BS86" i="30"/>
  <c r="BQ147" i="33"/>
  <c r="BQ163" i="33" s="1"/>
  <c r="BS147" i="33"/>
  <c r="BS163" i="33" s="1"/>
  <c r="BR147" i="33"/>
  <c r="BR163" i="33" s="1"/>
  <c r="BO148" i="33"/>
  <c r="BO147" i="33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D245" i="33" s="1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BO86" i="30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T275" i="31"/>
  <c r="X275" i="31" s="1"/>
  <c r="X236" i="31"/>
  <c r="C309" i="33" s="1"/>
  <c r="D213" i="29"/>
  <c r="D214" i="29" s="1"/>
  <c r="AJ8" i="29" s="1"/>
  <c r="F77" i="30" s="1"/>
  <c r="B129" i="30" s="1"/>
  <c r="D203" i="29"/>
  <c r="AJ5" i="29" s="1"/>
  <c r="X249" i="31" s="1"/>
  <c r="BO102" i="30"/>
  <c r="Z9" i="30" s="1"/>
  <c r="Z13" i="30" s="1"/>
  <c r="F13" i="30" s="1"/>
  <c r="B39" i="18"/>
  <c r="AJ219" i="33" l="1"/>
  <c r="AN219" i="33" s="1"/>
  <c r="AK227" i="33"/>
  <c r="AO227" i="33" s="1"/>
  <c r="AJ218" i="33"/>
  <c r="AN218" i="33" s="1"/>
  <c r="AK226" i="33"/>
  <c r="AO226" i="33" s="1"/>
  <c r="B81" i="30"/>
  <c r="F81" i="30" s="1"/>
  <c r="B114" i="30" s="1"/>
  <c r="F75" i="30"/>
  <c r="T245" i="31"/>
  <c r="F76" i="30"/>
  <c r="AH47" i="31"/>
  <c r="AH69" i="31" s="1"/>
  <c r="B49" i="18"/>
  <c r="AA49" i="18" s="1"/>
  <c r="V265" i="31"/>
  <c r="V264" i="31"/>
  <c r="V263" i="31" s="1"/>
  <c r="J46" i="31" s="1"/>
  <c r="C210" i="33" s="1"/>
  <c r="F9" i="30"/>
  <c r="C248" i="33" s="1"/>
  <c r="I66" i="7"/>
  <c r="J66" i="7"/>
  <c r="O66" i="7"/>
  <c r="P66" i="7"/>
  <c r="Q66" i="7"/>
  <c r="G66" i="7"/>
  <c r="C278" i="33" l="1"/>
  <c r="B113" i="30"/>
  <c r="B125" i="30" s="1"/>
  <c r="X245" i="31"/>
  <c r="C189" i="33"/>
  <c r="D189" i="33" s="1"/>
  <c r="AK189" i="33" s="1"/>
  <c r="AO189" i="33" s="1"/>
  <c r="AO192" i="33" s="1"/>
  <c r="C277" i="33"/>
  <c r="C193" i="33"/>
  <c r="D193" i="33" s="1"/>
  <c r="B91" i="30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Q175" i="24"/>
  <c r="P175" i="24"/>
  <c r="O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C163" i="24"/>
  <c r="B163" i="24"/>
  <c r="A163" i="24"/>
  <c r="Y162" i="24"/>
  <c r="X162" i="24"/>
  <c r="U162" i="24"/>
  <c r="S162" i="24"/>
  <c r="R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D277" i="33" l="1"/>
  <c r="AL208" i="33"/>
  <c r="AL209" i="33"/>
  <c r="AL207" i="33" s="1"/>
  <c r="D210" i="33" s="1"/>
  <c r="J141" i="31"/>
  <c r="C219" i="33" s="1"/>
  <c r="D219" i="33" s="1"/>
  <c r="X248" i="3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L201" i="24" l="1"/>
  <c r="L211" i="24" s="1"/>
  <c r="L218" i="24" s="1"/>
  <c r="L175" i="24"/>
  <c r="F176" i="24"/>
  <c r="F163" i="24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88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Q201" i="24" l="1"/>
  <c r="Q211" i="24" s="1"/>
  <c r="Q218" i="24" s="1"/>
  <c r="Q162" i="24"/>
  <c r="T177" i="24"/>
  <c r="T190" i="24"/>
  <c r="M201" i="24"/>
  <c r="M211" i="24" s="1"/>
  <c r="M218" i="24" s="1"/>
  <c r="M175" i="24"/>
  <c r="M185" i="24" s="1"/>
  <c r="M216" i="24" s="1"/>
  <c r="O201" i="24"/>
  <c r="O211" i="24" s="1"/>
  <c r="O218" i="24" s="1"/>
  <c r="O162" i="24"/>
  <c r="O172" i="24" s="1"/>
  <c r="O215" i="24" s="1"/>
  <c r="N201" i="24"/>
  <c r="N211" i="24" s="1"/>
  <c r="N218" i="24" s="1"/>
  <c r="N175" i="24"/>
  <c r="R201" i="24"/>
  <c r="R211" i="24" s="1"/>
  <c r="R218" i="24" s="1"/>
  <c r="R175" i="24"/>
  <c r="R185" i="24" s="1"/>
  <c r="R216" i="24" s="1"/>
  <c r="N185" i="24"/>
  <c r="N216" i="24" s="1"/>
  <c r="Q172" i="24"/>
  <c r="Q215" i="24" s="1"/>
  <c r="T198" i="24"/>
  <c r="T217" i="24" s="1"/>
  <c r="P201" i="24"/>
  <c r="P211" i="24" s="1"/>
  <c r="P218" i="24" s="1"/>
  <c r="P162" i="24"/>
  <c r="P172" i="24" s="1"/>
  <c r="P215" i="24" s="1"/>
  <c r="D217" i="33"/>
  <c r="D176" i="24"/>
  <c r="D185" i="24" s="1"/>
  <c r="D216" i="24" s="1"/>
  <c r="D163" i="24"/>
  <c r="D172" i="24" s="1"/>
  <c r="D215" i="24" s="1"/>
  <c r="E176" i="24"/>
  <c r="E185" i="24" s="1"/>
  <c r="E216" i="24" s="1"/>
  <c r="E163" i="24"/>
  <c r="E172" i="24" s="1"/>
  <c r="E215" i="24" s="1"/>
  <c r="W175" i="24"/>
  <c r="W185" i="24" s="1"/>
  <c r="W216" i="24" s="1"/>
  <c r="W162" i="24"/>
  <c r="W172" i="24" s="1"/>
  <c r="W215" i="24" s="1"/>
  <c r="U177" i="24"/>
  <c r="U164" i="24"/>
  <c r="U172" i="24" s="1"/>
  <c r="U215" i="24" s="1"/>
  <c r="G163" i="24"/>
  <c r="G176" i="24"/>
  <c r="V177" i="24"/>
  <c r="V164" i="24"/>
  <c r="F164" i="24"/>
  <c r="F172" i="24" s="1"/>
  <c r="F215" i="24" s="1"/>
  <c r="F177" i="24"/>
  <c r="F185" i="24" s="1"/>
  <c r="F216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A221" i="24" s="1"/>
  <c r="C301" i="33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V185" i="24" l="1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D166" i="33" l="1"/>
  <c r="D165" i="33"/>
  <c r="AA172" i="24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2" i="23" s="1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8" i="7"/>
  <c r="U19" i="7"/>
  <c r="U22" i="7"/>
  <c r="U25" i="7"/>
  <c r="U27" i="7"/>
  <c r="U28" i="7"/>
  <c r="U29" i="7"/>
  <c r="U30" i="7"/>
  <c r="U36" i="7"/>
  <c r="U37" i="7"/>
  <c r="S2" i="7"/>
  <c r="BA4" i="29" s="1"/>
  <c r="S3" i="7"/>
  <c r="S5" i="7"/>
  <c r="S6" i="7"/>
  <c r="S26" i="7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D197" i="33" l="1"/>
  <c r="D195" i="33"/>
  <c r="K35" i="7"/>
  <c r="L35" i="7" s="1"/>
  <c r="N35" i="7"/>
  <c r="N2" i="7" l="1"/>
  <c r="N25" i="7"/>
  <c r="N26" i="7"/>
  <c r="N27" i="7"/>
  <c r="N28" i="7"/>
  <c r="N29" i="7"/>
  <c r="N30" i="7"/>
  <c r="N31" i="7"/>
  <c r="N32" i="7"/>
  <c r="N33" i="7"/>
  <c r="N34" i="7"/>
  <c r="N36" i="7"/>
  <c r="N37" i="7"/>
  <c r="N38" i="7"/>
  <c r="N39" i="7"/>
  <c r="K25" i="7"/>
  <c r="K38" i="7"/>
  <c r="L38" i="7" s="1"/>
  <c r="K37" i="7"/>
  <c r="L37" i="7" s="1"/>
  <c r="K31" i="7"/>
  <c r="L31" i="7" s="1"/>
  <c r="K32" i="7"/>
  <c r="L32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K30" i="7"/>
  <c r="K29" i="7"/>
  <c r="L29" i="7" s="1"/>
  <c r="K28" i="7"/>
  <c r="L28" i="7" s="1"/>
  <c r="K27" i="7"/>
  <c r="L27" i="7" s="1"/>
  <c r="K26" i="7"/>
  <c r="L26" i="7" s="1"/>
  <c r="L25" i="7"/>
  <c r="T17" i="7"/>
  <c r="T16" i="7"/>
  <c r="BB18" i="29" s="1"/>
  <c r="BH18" i="29" s="1"/>
  <c r="L2" i="7"/>
  <c r="M2" i="7" s="1"/>
  <c r="U23" i="7" l="1"/>
  <c r="T6" i="7"/>
  <c r="T7" i="7"/>
  <c r="T15" i="7"/>
  <c r="T10" i="7"/>
  <c r="V22" i="7"/>
  <c r="T22" i="7"/>
  <c r="V11" i="7"/>
  <c r="U11" i="7"/>
  <c r="V12" i="7"/>
  <c r="U12" i="7"/>
  <c r="V16" i="7"/>
  <c r="U16" i="7"/>
  <c r="BC18" i="29" s="1"/>
  <c r="V17" i="7"/>
  <c r="U17" i="7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BA18" i="29" s="1"/>
  <c r="S7" i="7"/>
  <c r="S17" i="7"/>
  <c r="R17" i="7"/>
  <c r="S10" i="7"/>
  <c r="R10" i="7"/>
  <c r="S22" i="7"/>
  <c r="R22" i="7"/>
  <c r="R12" i="7"/>
  <c r="S12" i="7"/>
  <c r="R11" i="7"/>
  <c r="S11" i="7"/>
  <c r="R15" i="7"/>
  <c r="S15" i="7"/>
  <c r="R23" i="7"/>
  <c r="S23" i="7"/>
  <c r="U35" i="7"/>
  <c r="M25" i="7"/>
  <c r="T3" i="7"/>
  <c r="L30" i="7"/>
  <c r="M26" i="7"/>
  <c r="M37" i="7"/>
  <c r="M32" i="7"/>
  <c r="M31" i="7"/>
  <c r="M33" i="7"/>
  <c r="M34" i="7"/>
  <c r="M27" i="7"/>
  <c r="M29" i="7"/>
  <c r="M36" i="7"/>
  <c r="U20" i="7"/>
  <c r="U24" i="7"/>
  <c r="M28" i="7"/>
  <c r="M39" i="7"/>
  <c r="L66" i="7"/>
  <c r="U21" i="7"/>
  <c r="V23" i="7" l="1"/>
  <c r="T23" i="7"/>
  <c r="U15" i="7"/>
  <c r="V6" i="7"/>
  <c r="V15" i="7"/>
  <c r="V4" i="7"/>
  <c r="T4" i="7"/>
  <c r="U4" i="7"/>
  <c r="V9" i="7"/>
  <c r="T9" i="7"/>
  <c r="T8" i="7"/>
  <c r="V8" i="7"/>
  <c r="U7" i="7"/>
  <c r="V7" i="7"/>
  <c r="U10" i="7"/>
  <c r="V10" i="7"/>
  <c r="V21" i="7"/>
  <c r="T21" i="7"/>
  <c r="V65" i="7"/>
  <c r="T65" i="7"/>
  <c r="V37" i="7"/>
  <c r="T37" i="7"/>
  <c r="V39" i="7"/>
  <c r="T39" i="7"/>
  <c r="V27" i="7"/>
  <c r="T27" i="7"/>
  <c r="V26" i="7"/>
  <c r="T26" i="7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V25" i="7"/>
  <c r="T25" i="7"/>
  <c r="V40" i="7"/>
  <c r="T40" i="7"/>
  <c r="V44" i="7"/>
  <c r="T44" i="7"/>
  <c r="V48" i="7"/>
  <c r="T48" i="7"/>
  <c r="V18" i="7"/>
  <c r="T18" i="7"/>
  <c r="V32" i="7"/>
  <c r="T32" i="7"/>
  <c r="V2" i="7"/>
  <c r="T2" i="7"/>
  <c r="BB4" i="29" s="1"/>
  <c r="BI4" i="29" s="1"/>
  <c r="V47" i="7"/>
  <c r="T47" i="7"/>
  <c r="V28" i="7"/>
  <c r="T28" i="7"/>
  <c r="V53" i="7"/>
  <c r="T53" i="7"/>
  <c r="V20" i="7"/>
  <c r="T20" i="7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V13" i="7"/>
  <c r="U13" i="7"/>
  <c r="V3" i="7"/>
  <c r="U3" i="7"/>
  <c r="R28" i="7"/>
  <c r="S28" i="7"/>
  <c r="U5" i="7"/>
  <c r="R21" i="7"/>
  <c r="S21" i="7"/>
  <c r="R24" i="7"/>
  <c r="S24" i="7"/>
  <c r="R20" i="7"/>
  <c r="S20" i="7"/>
  <c r="U39" i="7"/>
  <c r="R29" i="7"/>
  <c r="S29" i="7"/>
  <c r="U32" i="7"/>
  <c r="S25" i="7"/>
  <c r="R25" i="7"/>
  <c r="S14" i="7"/>
  <c r="R14" i="7"/>
  <c r="U2" i="7"/>
  <c r="BC4" i="29" s="1"/>
  <c r="U34" i="7"/>
  <c r="R37" i="7"/>
  <c r="S37" i="7"/>
  <c r="S18" i="7"/>
  <c r="R18" i="7"/>
  <c r="R13" i="7"/>
  <c r="S13" i="7"/>
  <c r="R27" i="7"/>
  <c r="S27" i="7"/>
  <c r="U33" i="7"/>
  <c r="U26" i="7"/>
  <c r="U6" i="7"/>
  <c r="R36" i="7"/>
  <c r="S36" i="7"/>
  <c r="R19" i="7"/>
  <c r="S19" i="7"/>
  <c r="U31" i="7"/>
  <c r="M30" i="7"/>
  <c r="BH31" i="29" l="1"/>
  <c r="AP6" i="29" s="1"/>
  <c r="AD22" i="29" s="1"/>
  <c r="AF22" i="29" s="1"/>
  <c r="BG31" i="29"/>
  <c r="AP3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U66" i="7" l="1"/>
  <c r="AP5" i="29"/>
  <c r="AP4" i="29"/>
  <c r="AD20" i="29" s="1"/>
  <c r="AF20" i="29" s="1"/>
  <c r="AK21" i="29" s="1"/>
  <c r="AK25" i="29" s="1"/>
  <c r="C183" i="33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B83" i="30" l="1"/>
  <c r="F83" i="30" s="1"/>
  <c r="T234" i="31"/>
  <c r="T272" i="31" s="1"/>
  <c r="X272" i="31" s="1"/>
  <c r="J142" i="31" s="1"/>
  <c r="C220" i="33" s="1"/>
  <c r="AK26" i="29"/>
  <c r="C184" i="33" s="1"/>
  <c r="C185" i="33" s="1"/>
  <c r="D185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F84" i="30" l="1"/>
  <c r="C192" i="33" s="1"/>
  <c r="C276" i="33" s="1"/>
  <c r="C293" i="33" s="1"/>
  <c r="X234" i="31"/>
  <c r="C307" i="33" s="1"/>
  <c r="D184" i="33"/>
  <c r="D183" i="33" s="1"/>
  <c r="AJ216" i="33" s="1"/>
  <c r="AN216" i="33" s="1"/>
  <c r="D220" i="33" s="1"/>
  <c r="X237" i="31"/>
  <c r="G198" i="18"/>
  <c r="G217" i="18" s="1"/>
  <c r="L7" i="22" s="1"/>
  <c r="AX17" i="23" s="1"/>
  <c r="AX39" i="23" s="1"/>
  <c r="T198" i="18"/>
  <c r="T217" i="18" s="1"/>
  <c r="Y7" i="22" s="1"/>
  <c r="BK17" i="23" s="1"/>
  <c r="BK37" i="23" s="1"/>
  <c r="W198" i="18"/>
  <c r="W217" i="18" s="1"/>
  <c r="AB7" i="22" s="1"/>
  <c r="BN17" i="23" s="1"/>
  <c r="BN37" i="23" s="1"/>
  <c r="V198" i="18"/>
  <c r="V217" i="18" s="1"/>
  <c r="AA7" i="22" s="1"/>
  <c r="BM17" i="23" s="1"/>
  <c r="BM37" i="23" s="1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B115" i="30" l="1"/>
  <c r="B126" i="30" s="1"/>
  <c r="B167" i="31"/>
  <c r="J167" i="31" s="1"/>
  <c r="C235" i="33" s="1"/>
  <c r="C236" i="33" s="1"/>
  <c r="J170" i="31"/>
  <c r="BR39" i="23"/>
  <c r="H93" i="23" s="1"/>
  <c r="H95" i="23" s="1"/>
  <c r="C243" i="33"/>
  <c r="D243" i="33" s="1"/>
  <c r="Z237" i="31"/>
  <c r="AA237" i="31" s="1"/>
  <c r="C244" i="33" s="1"/>
  <c r="AK225" i="33"/>
  <c r="AO225" i="33" s="1"/>
  <c r="AO228" i="33" s="1"/>
  <c r="D192" i="33"/>
  <c r="D235" i="33" s="1"/>
  <c r="D236" i="33" s="1"/>
  <c r="C290" i="33"/>
  <c r="BR37" i="23"/>
  <c r="F93" i="23" s="1"/>
  <c r="F95" i="23" s="1"/>
  <c r="W172" i="18"/>
  <c r="W215" i="18" s="1"/>
  <c r="AB5" i="22" s="1"/>
  <c r="BN15" i="23" s="1"/>
  <c r="BN21" i="23" s="1"/>
  <c r="E185" i="18"/>
  <c r="E216" i="18" s="1"/>
  <c r="J6" i="22" s="1"/>
  <c r="AV16" i="23" s="1"/>
  <c r="AV31" i="23" s="1"/>
  <c r="D142" i="33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AQ228" i="33" l="1"/>
  <c r="AR228" i="33" s="1"/>
  <c r="AS228" i="33" s="1"/>
  <c r="AT228" i="33" s="1"/>
  <c r="AW228" i="33" s="1"/>
  <c r="D240" i="33" s="1"/>
  <c r="D276" i="33"/>
  <c r="D244" i="33"/>
  <c r="AB237" i="31"/>
  <c r="AC237" i="31" s="1"/>
  <c r="AF237" i="31" s="1"/>
  <c r="B178" i="31" s="1"/>
  <c r="C240" i="33" s="1"/>
  <c r="D144" i="33"/>
  <c r="C292" i="33"/>
  <c r="D143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290" i="33" l="1"/>
  <c r="D292" i="33" s="1"/>
  <c r="D293" i="33"/>
  <c r="D161" i="33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4" i="33" l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79" i="33" l="1"/>
  <c r="D155" i="33"/>
  <c r="D145" i="33"/>
  <c r="D162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D175" i="33" l="1"/>
  <c r="D176" i="33"/>
  <c r="D177" i="33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D160" i="33" l="1"/>
  <c r="D218" i="33"/>
  <c r="C209" i="33"/>
  <c r="C170" i="33"/>
  <c r="C154" i="33"/>
  <c r="C180" i="33"/>
  <c r="C221" i="33"/>
  <c r="D216" i="33"/>
  <c r="D151" i="33"/>
  <c r="J19" i="31"/>
  <c r="C194" i="33" s="1"/>
  <c r="F27" i="23"/>
  <c r="D221" i="33" l="1"/>
  <c r="C211" i="33"/>
  <c r="C237" i="33" s="1"/>
  <c r="D154" i="33"/>
  <c r="J48" i="31"/>
  <c r="B174" i="31" s="1"/>
  <c r="C157" i="33"/>
  <c r="D194" i="33"/>
  <c r="C181" i="33"/>
  <c r="D180" i="33"/>
  <c r="D181" i="33" s="1"/>
  <c r="C178" i="33"/>
  <c r="D170" i="33"/>
  <c r="D178" i="33" s="1"/>
  <c r="C173" i="33"/>
  <c r="D237" i="33" l="1"/>
  <c r="D241" i="33" s="1"/>
  <c r="D242" i="33" s="1"/>
  <c r="D157" i="33"/>
  <c r="C241" i="33"/>
  <c r="C238" i="33"/>
  <c r="C174" i="33"/>
  <c r="D173" i="33"/>
  <c r="B180" i="31"/>
  <c r="B181" i="31" s="1"/>
  <c r="B175" i="31"/>
  <c r="D238" i="33" l="1"/>
  <c r="C242" i="33"/>
  <c r="D174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<sst xmlns="http://schemas.openxmlformats.org/spreadsheetml/2006/main" count="3098" uniqueCount="1464">
  <si>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</si>
  <si>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</si>
  <si>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</si>
  <si>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</si>
  <si>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</si>
  <si>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</si>
  <si>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</si>
  <si>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</si>
  <si>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</si>
  <si>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</si>
  <si>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</si>
  <si>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</si>
  <si>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</si>
  <si>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</si>
  <si>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</si>
  <si>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</si>
  <si>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</si>
  <si>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</si>
  <si>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</si>
  <si>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</si>
  <si>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</si>
  <si>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</si>
  <si>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</si>
  <si>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</si>
  <si>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</si>
  <si>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</si>
  <si>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</si>
  <si>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</si>
  <si>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</si>
  <si>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</si>
  <si>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</si>
  <si>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</si>
  <si>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</si>
  <si>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</si>
  <si>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</si>
  <si>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</si>
  <si>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</si>
  <si>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</si>
  <si>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</si>
  <si>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</si>
  <si>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</si>
  <si>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</si>
  <si>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</si>
  <si>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</si>
  <si>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</si>
  <si>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</si>
  <si>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</si>
  <si>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</si>
  <si>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</si>
  <si>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</si>
  <si>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</si>
  <si>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</si>
  <si>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</si>
  <si>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</si>
  <si>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</si>
  <si>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</si>
  <si>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</si>
  <si>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</si>
  <si>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</si>
  <si>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</si>
  <si>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</si>
  <si>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</si>
  <si>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</si>
  <si>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</si>
  <si>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</si>
  <si>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</si>
  <si>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</si>
  <si>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</si>
  <si>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</si>
  <si>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</si>
  <si>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</si>
  <si>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</si>
  <si>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</si>
  <si>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</si>
  <si>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</si>
  <si>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</si>
  <si>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</si>
  <si>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</si>
  <si>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</si>
  <si>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</si>
  <si>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</si>
  <si>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</si>
  <si>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</si>
  <si>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</si>
  <si>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</si>
  <si>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</si>
  <si>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</si>
  <si>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</si>
  <si>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</si>
  <si>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</si>
  <si>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</si>
  <si>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</si>
  <si>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</si>
  <si>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</si>
  <si>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</si>
  <si>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</si>
  <si>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</si>
  <si>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</si>
  <si>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</si>
  <si>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</si>
  <si>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</si>
  <si>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</si>
  <si>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</si>
  <si>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</si>
  <si>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</si>
  <si>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</si>
  <si>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</si>
  <si>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</si>
  <si>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</si>
  <si>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</si>
  <si>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</si>
  <si>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</si>
  <si>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</si>
  <si>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</si>
  <si>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</si>
  <si>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</si>
  <si>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</si>
  <si>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</si>
  <si>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</si>
  <si>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</si>
  <si>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</si>
  <si>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</si>
  <si>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</si>
  <si>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</si>
  <si>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</si>
  <si>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</si>
  <si>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</si>
  <si>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</si>
  <si>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</si>
  <si>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</si>
  <si>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</si>
  <si>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</si>
  <si>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</si>
  <si>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</si>
  <si>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</si>
  <si>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</si>
  <si>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</si>
  <si>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</si>
  <si>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</si>
  <si>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</si>
  <si>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</si>
  <si>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</si>
  <si>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</si>
  <si>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</si>
  <si>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</si>
  <si>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</si>
  <si>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</si>
  <si>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</si>
  <si>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</si>
  <si>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</si>
  <si>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</si>
  <si>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</si>
  <si>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</si>
  <si>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</si>
  <si>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</si>
  <si>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</si>
  <si>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</si>
  <si>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</si>
  <si>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</si>
  <si>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</si>
  <si>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</si>
  <si>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</si>
  <si>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</si>
  <si>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</si>
  <si>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</si>
  <si>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</si>
  <si>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</si>
  <si>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</si>
  <si>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</si>
  <si>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</si>
  <si>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</si>
  <si>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</si>
  <si>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</si>
  <si>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</si>
  <si>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</si>
  <si>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</si>
  <si>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</si>
  <si>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</si>
  <si>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</si>
  <si>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</si>
  <si>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</si>
  <si>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</si>
  <si>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</si>
  <si>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</si>
  <si>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</si>
  <si>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</si>
  <si>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</si>
  <si>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</si>
  <si>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</si>
  <si>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</si>
  <si>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</si>
  <si>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</si>
  <si>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</si>
  <si>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</si>
  <si>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</si>
  <si>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</si>
  <si>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</si>
  <si>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</si>
  <si>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</si>
  <si>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</si>
  <si>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</si>
  <si>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</si>
  <si>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</si>
  <si>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</si>
  <si>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</si>
  <si>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</si>
  <si>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</si>
  <si>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</si>
  <si>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</si>
  <si>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</si>
  <si>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</si>
  <si>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</si>
  <si>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</si>
  <si>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</si>
  <si>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</si>
  <si>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</si>
  <si>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</si>
  <si>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</si>
  <si>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</si>
  <si>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</si>
  <si>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</si>
  <si>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</si>
  <si>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</si>
  <si>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</si>
  <si>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</si>
  <si>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</si>
  <si>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</si>
  <si>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</si>
  <si>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</si>
  <si>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</si>
  <si>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</si>
  <si>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</si>
  <si>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</si>
  <si>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</si>
  <si>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</si>
  <si>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</si>
  <si>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</si>
  <si>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</si>
  <si>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</si>
  <si>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</si>
  <si>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</si>
  <si>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</si>
  <si>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</si>
  <si>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</si>
  <si>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</si>
  <si>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</si>
  <si>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</si>
  <si>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</si>
  <si>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</si>
  <si>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</si>
  <si>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</si>
  <si>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</si>
  <si>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</si>
  <si>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</si>
  <si>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</si>
  <si>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</si>
  <si>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</si>
  <si>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</si>
  <si>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</si>
  <si>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</si>
  <si>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</si>
  <si>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</si>
  <si>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</si>
  <si>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</si>
  <si>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</si>
  <si>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</si>
  <si>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</si>
  <si>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</si>
  <si>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</si>
  <si>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</si>
  <si>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</si>
  <si>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</si>
  <si>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</si>
  <si>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</si>
  <si>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</si>
  <si>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</si>
  <si>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</si>
  <si>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</si>
  <si>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</si>
  <si>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</si>
  <si>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</si>
  <si>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</si>
  <si>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</si>
  <si>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</si>
  <si>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</si>
  <si>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</si>
  <si>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</si>
  <si>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</si>
  <si>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</si>
  <si>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</si>
  <si>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</si>
  <si>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</si>
  <si>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</si>
  <si>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</si>
  <si>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</si>
  <si>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</si>
  <si>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</si>
  <si>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</si>
  <si>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</si>
  <si>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</si>
  <si>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</si>
  <si>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</si>
  <si>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</si>
  <si>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</si>
  <si>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</si>
  <si>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</si>
  <si>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</si>
  <si>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</si>
  <si>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</si>
  <si>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</si>
  <si>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</si>
  <si>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</si>
  <si>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</si>
  <si>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</si>
  <si>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</si>
  <si>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</si>
  <si>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</si>
  <si>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</si>
  <si>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</si>
  <si>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</si>
  <si>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</si>
  <si>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</si>
  <si>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</si>
  <si>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</si>
  <si>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</si>
  <si>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</si>
  <si>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</si>
  <si>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</si>
  <si>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</si>
  <si>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</si>
  <si>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</si>
  <si>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</si>
  <si>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</si>
  <si>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</si>
  <si>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</si>
  <si>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</si>
  <si>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</si>
  <si>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</si>
  <si>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</si>
  <si>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</si>
  <si>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</si>
  <si>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</si>
  <si>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</si>
  <si>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</si>
  <si>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</si>
  <si>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</si>
  <si>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</si>
  <si>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</si>
  <si>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</si>
  <si>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</si>
  <si>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</si>
  <si>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</si>
  <si>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</si>
  <si>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</si>
  <si>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</si>
  <si>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</si>
  <si>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</si>
  <si>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</si>
  <si>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</si>
  <si>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</si>
  <si>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</si>
  <si>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</si>
  <si>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</si>
  <si>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</si>
  <si>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</si>
  <si>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</si>
  <si>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</si>
  <si>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</si>
  <si>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</si>
  <si>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</si>
  <si>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</si>
  <si>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</si>
  <si>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</si>
  <si>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</si>
  <si>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</si>
  <si>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</si>
  <si>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</si>
  <si>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</si>
  <si>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</si>
  <si>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</si>
  <si>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</si>
  <si>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</si>
  <si>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</si>
  <si>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</si>
  <si>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</si>
  <si>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</si>
  <si>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</si>
  <si>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</si>
  <si>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</si>
  <si>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</si>
  <si>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</si>
  <si>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</si>
  <si>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</si>
  <si>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</si>
  <si>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</si>
  <si>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</si>
  <si>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</si>
  <si>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</si>
  <si>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</si>
  <si>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</si>
  <si>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</si>
  <si>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</si>
  <si>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</si>
  <si>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</si>
  <si>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</si>
  <si>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</si>
  <si>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</si>
  <si>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</si>
  <si>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</si>
  <si>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</si>
  <si>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</si>
  <si>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</si>
  <si>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</si>
  <si>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</si>
  <si>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</si>
  <si>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</si>
  <si>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</si>
  <si>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</si>
  <si>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</si>
  <si>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</si>
  <si>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</si>
  <si>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</si>
  <si>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</si>
  <si>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</si>
  <si>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</si>
  <si>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</si>
  <si>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</si>
  <si>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</si>
  <si>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</si>
  <si>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</si>
  <si>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</si>
  <si>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</si>
  <si>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</si>
  <si>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</si>
  <si>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</si>
  <si>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</si>
  <si>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</si>
  <si>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</si>
  <si>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</si>
  <si>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</si>
  <si>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</si>
  <si>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</si>
  <si>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</si>
  <si>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</si>
  <si>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</si>
  <si>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</si>
  <si>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</si>
  <si>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</si>
  <si>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</si>
  <si>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</si>
  <si>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</si>
  <si>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</si>
  <si>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</si>
  <si>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</si>
  <si>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</si>
  <si>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</si>
  <si>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</si>
  <si>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</si>
  <si>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</si>
  <si>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</si>
  <si>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</si>
  <si>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</si>
  <si>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</si>
  <si>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</si>
  <si>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</si>
  <si>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</si>
  <si>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</si>
  <si>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</si>
  <si>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</si>
  <si>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</si>
  <si>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</si>
  <si>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</si>
  <si>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</si>
  <si>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</si>
  <si>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</si>
  <si>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</si>
  <si>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</si>
  <si>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</si>
  <si>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</si>
  <si>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</si>
  <si>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</si>
  <si>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</si>
  <si>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</si>
  <si>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</si>
  <si>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</si>
  <si>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</si>
  <si>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</si>
  <si>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</si>
  <si>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</si>
  <si>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</si>
  <si>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</si>
  <si>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</si>
  <si>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</si>
  <si>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</si>
  <si>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</si>
  <si>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</si>
  <si>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</si>
  <si>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</si>
  <si>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</si>
  <si>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</si>
  <si>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</si>
  <si>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</si>
  <si>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</si>
  <si>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</si>
  <si>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</si>
  <si>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</si>
  <si>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</si>
  <si>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</si>
  <si>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</si>
  <si>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</si>
  <si>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</si>
  <si>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</si>
  <si>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</si>
  <si>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</si>
  <si>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</si>
  <si>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</si>
  <si>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</si>
  <si>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</si>
  <si>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</si>
  <si>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</si>
  <si>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</si>
  <si>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</si>
  <si>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</si>
  <si>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</si>
  <si>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</si>
  <si>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</si>
  <si>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</si>
  <si>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</si>
  <si>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</si>
  <si>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</si>
  <si>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</si>
  <si>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</si>
  <si>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</si>
  <si>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</si>
  <si>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</si>
  <si>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</si>
  <si>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</si>
  <si>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</si>
  <si>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</si>
  <si>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</si>
  <si>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</si>
  <si>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</si>
  <si>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</si>
  <si>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</si>
  <si>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</si>
  <si>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</si>
  <si>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</si>
  <si>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</si>
  <si>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</si>
  <si>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</si>
  <si>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</si>
  <si>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</si>
  <si>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</si>
  <si>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</si>
  <si>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</si>
  <si>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</si>
  <si>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</si>
  <si>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</si>
  <si>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</si>
  <si>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</si>
  <si>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</si>
  <si>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</si>
  <si>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</si>
  <si>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</si>
  <si>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</si>
  <si>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</si>
  <si>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</si>
  <si>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</si>
  <si>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</si>
  <si>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</si>
  <si>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</si>
  <si>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</si>
  <si>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</si>
  <si>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</si>
  <si>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</si>
  <si>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</si>
  <si>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</si>
  <si>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</si>
  <si>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</si>
  <si>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</si>
  <si>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</si>
  <si>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</si>
  <si>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</si>
  <si>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</si>
  <si>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</si>
  <si>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</si>
  <si>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</si>
  <si>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</si>
  <si>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</si>
  <si>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</si>
  <si>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</si>
  <si>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</si>
  <si>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</si>
  <si>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</si>
  <si>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</si>
  <si>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</si>
  <si>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</si>
  <si>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</si>
  <si>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</si>
  <si>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</si>
  <si>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</si>
  <si>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</si>
  <si>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</si>
  <si>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</si>
  <si>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</si>
  <si>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</si>
  <si>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</si>
  <si>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</si>
  <si>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</si>
  <si>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</si>
  <si>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</si>
  <si>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</si>
  <si>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</si>
  <si>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</si>
  <si>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</si>
  <si>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</si>
  <si>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</si>
  <si>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</si>
  <si>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</si>
  <si>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</si>
  <si>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</si>
  <si>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</si>
  <si>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</si>
  <si>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</si>
  <si>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</si>
  <si>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</si>
  <si>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</si>
  <si>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</si>
  <si>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</si>
  <si>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</si>
  <si>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</si>
  <si>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</si>
  <si>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</si>
  <si>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</si>
  <si>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</si>
  <si>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</si>
  <si>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</si>
  <si>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</si>
  <si>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</si>
  <si>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</si>
  <si>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</si>
  <si>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</si>
  <si>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</si>
  <si>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</si>
  <si>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</si>
  <si>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</si>
  <si>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</si>
  <si>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</si>
  <si>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</si>
  <si>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</si>
  <si>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</si>
  <si>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</si>
  <si>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</si>
  <si>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</si>
  <si>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</si>
  <si>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</si>
  <si>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</si>
  <si>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</si>
  <si>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</si>
  <si>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</si>
  <si>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</si>
  <si>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</si>
  <si>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</si>
  <si>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</si>
  <si>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</si>
  <si>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</si>
  <si>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</si>
  <si>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</si>
  <si>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</si>
  <si>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</si>
  <si>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</si>
  <si>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</si>
  <si>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</si>
  <si>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</si>
  <si>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</si>
  <si>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</si>
  <si>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</si>
  <si>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</si>
  <si>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</si>
  <si>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</si>
  <si>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</si>
  <si>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</si>
  <si>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</si>
  <si>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</si>
  <si>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</si>
  <si>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</si>
  <si>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</si>
  <si>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</si>
  <si>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</si>
  <si>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</si>
  <si>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</si>
  <si>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</si>
  <si>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</si>
  <si>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</si>
  <si>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</si>
  <si>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</si>
  <si>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</si>
  <si>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</si>
  <si>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</si>
  <si>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</si>
  <si>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</si>
  <si>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</si>
  <si>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</si>
  <si>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</si>
  <si>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</si>
  <si>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</si>
  <si>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</si>
  <si>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</si>
  <si>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</si>
  <si>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</si>
  <si>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</si>
  <si>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</si>
  <si>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</si>
  <si>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</si>
  <si>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</si>
  <si>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</si>
  <si>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</si>
  <si>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</si>
  <si>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</si>
  <si>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</si>
  <si>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</si>
  <si>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</si>
  <si>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</si>
  <si>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</si>
  <si>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</si>
  <si>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</si>
  <si>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</si>
  <si>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</si>
  <si>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</si>
  <si>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</si>
  <si>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</si>
  <si>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</si>
  <si>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</si>
  <si>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</si>
  <si>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</si>
  <si>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</si>
  <si>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</si>
  <si>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</si>
  <si>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</si>
  <si>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</si>
  <si>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</si>
  <si>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</si>
  <si>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</si>
  <si>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</si>
  <si>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</si>
  <si>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</si>
  <si>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</si>
  <si>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</si>
  <si>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</si>
  <si>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</si>
  <si>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</si>
  <si>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</si>
  <si>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</si>
  <si>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</si>
  <si>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</si>
  <si>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</si>
  <si>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</si>
  <si>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</si>
  <si>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</si>
  <si>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</si>
  <si>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</si>
  <si>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</si>
  <si>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</si>
  <si>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</si>
  <si>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</si>
  <si>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</si>
  <si>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</si>
  <si>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</si>
  <si>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</si>
  <si>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</si>
  <si>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</si>
  <si>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</si>
  <si>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</si>
  <si>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</si>
  <si>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</si>
  <si>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</si>
  <si>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</si>
  <si>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</si>
  <si>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</si>
  <si>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</si>
  <si>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</si>
  <si>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</si>
  <si>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</si>
  <si>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</si>
  <si>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</si>
  <si>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</si>
  <si>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</si>
  <si>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</si>
  <si>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</si>
  <si>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</si>
  <si>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</si>
  <si>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</si>
  <si>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</si>
  <si>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</si>
  <si>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</si>
  <si>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</si>
  <si>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</si>
  <si>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</si>
  <si>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</si>
  <si>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</si>
  <si>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</si>
  <si>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</si>
  <si>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</si>
  <si>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</si>
  <si>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</si>
  <si>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</si>
  <si>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</si>
  <si>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</si>
  <si>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</si>
  <si>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</si>
  <si>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</si>
  <si>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</si>
  <si>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</si>
  <si>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</si>
  <si>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</si>
  <si>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</si>
  <si>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</si>
  <si>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</si>
  <si>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</si>
  <si>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</si>
  <si>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</si>
  <si>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</si>
  <si>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</si>
  <si>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</si>
  <si>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</si>
  <si>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</si>
  <si>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</si>
  <si>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</si>
  <si>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</si>
  <si>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</si>
  <si>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</si>
  <si>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</si>
  <si>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</si>
  <si>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</si>
  <si>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</si>
  <si>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</si>
  <si>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</si>
  <si>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</si>
  <si>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</si>
  <si>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</si>
  <si>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</si>
  <si>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</si>
  <si>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</si>
  <si>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</si>
  <si>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</si>
  <si>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</si>
  <si>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</si>
  <si>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</si>
  <si>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</si>
  <si>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</si>
  <si>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</si>
  <si>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</si>
  <si>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</si>
  <si>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</si>
  <si>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</si>
  <si>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</si>
  <si>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</si>
  <si>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</si>
  <si>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</si>
  <si>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</si>
  <si>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</si>
  <si>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</si>
  <si>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</si>
  <si>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</si>
  <si>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</si>
  <si>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</si>
  <si>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</si>
  <si>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</si>
  <si>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</si>
  <si>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</si>
  <si>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</si>
  <si>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</si>
  <si>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</si>
  <si>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</si>
  <si>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</si>
  <si>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</si>
  <si>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</si>
  <si>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</si>
  <si>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</si>
  <si>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</si>
  <si>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</si>
  <si>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</si>
  <si>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</si>
  <si>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</si>
  <si>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</si>
  <si>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</si>
  <si>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</si>
  <si>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</si>
  <si>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</si>
  <si>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</si>
  <si>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</si>
  <si>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</si>
  <si>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</si>
  <si>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</si>
  <si>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</si>
  <si>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</si>
  <si>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</si>
  <si>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</si>
  <si>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</si>
  <si>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</si>
  <si>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</si>
  <si>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</si>
  <si>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</si>
  <si>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</si>
  <si>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</si>
  <si>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</si>
  <si>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</si>
  <si>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</si>
  <si>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</si>
  <si>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</si>
  <si>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</si>
  <si>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</si>
  <si>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</si>
  <si>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</si>
  <si>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</si>
  <si>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</si>
  <si>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</si>
  <si>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</si>
  <si>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</si>
  <si>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</si>
  <si>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</si>
  <si>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</si>
  <si>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</si>
  <si>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</si>
  <si>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</si>
  <si>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</si>
  <si>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</si>
  <si>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</si>
  <si>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</si>
  <si>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</si>
  <si>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</si>
  <si>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</si>
  <si>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</si>
  <si>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</si>
  <si>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</si>
  <si>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</si>
  <si>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</si>
  <si>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</si>
  <si>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</si>
  <si>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</si>
  <si>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</si>
  <si>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</si>
  <si>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</si>
  <si>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</si>
  <si>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</si>
  <si>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</si>
  <si>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</si>
  <si>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</si>
  <si>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</si>
  <si>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</si>
  <si>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</si>
  <si>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</si>
  <si>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</si>
  <si>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</si>
  <si>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</si>
  <si>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</si>
  <si>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</si>
  <si>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</si>
  <si>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</si>
  <si>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</si>
  <si>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</si>
  <si>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</si>
  <si>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</si>
  <si>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</si>
  <si>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</si>
  <si>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</si>
  <si>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</si>
  <si>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</si>
  <si>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</si>
  <si>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</si>
  <si>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</si>
  <si>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</si>
  <si>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</si>
  <si>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</si>
  <si>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</si>
  <si>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</si>
  <si>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</si>
  <si>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</si>
  <si>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</si>
  <si>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</si>
  <si>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</si>
  <si>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</si>
  <si>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</si>
  <si>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</si>
  <si>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</si>
  <si>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</si>
  <si>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</si>
  <si>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</si>
  <si>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</si>
  <si>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</si>
  <si>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</si>
  <si>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</si>
  <si>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</si>
  <si>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</si>
  <si>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</si>
  <si>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</si>
  <si>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</si>
  <si>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</si>
  <si>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</si>
  <si>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</si>
  <si>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</si>
  <si>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</si>
  <si>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</si>
  <si>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</si>
  <si>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</si>
  <si>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</si>
  <si>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</si>
  <si>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</si>
  <si>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</si>
  <si>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</si>
  <si>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</si>
  <si>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</si>
  <si>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</si>
  <si>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</si>
  <si>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</si>
  <si>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</si>
  <si>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</si>
  <si>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</si>
  <si>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</si>
  <si>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</si>
  <si>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</si>
  <si>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</si>
  <si>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</si>
  <si>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</si>
  <si>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</si>
  <si>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</si>
  <si>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</si>
  <si>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</si>
  <si>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</si>
  <si>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</si>
  <si>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</si>
  <si>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</si>
  <si>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</si>
  <si>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</si>
  <si>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</si>
  <si>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</si>
  <si>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</si>
  <si>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</si>
  <si>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</si>
  <si>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</si>
  <si>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</si>
  <si>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</si>
  <si>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</si>
  <si>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</si>
  <si>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</si>
  <si>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</si>
  <si>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</si>
  <si>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</si>
  <si>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</si>
  <si>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</si>
  <si>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</si>
  <si>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</si>
  <si>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</si>
  <si>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</si>
  <si>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</si>
  <si>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</si>
  <si>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</si>
  <si>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</si>
  <si>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</si>
  <si>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</si>
  <si>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</si>
  <si>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</si>
  <si>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</si>
  <si>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</si>
  <si>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</si>
  <si>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</si>
  <si>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</si>
  <si>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</si>
  <si>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</si>
  <si>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</si>
  <si>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</si>
  <si>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</si>
  <si>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</si>
  <si>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</si>
  <si>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</si>
  <si>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</si>
  <si>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</si>
  <si>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</si>
  <si>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</si>
  <si>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</si>
  <si>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</si>
  <si>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</si>
  <si>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</si>
  <si>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</si>
  <si>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</si>
  <si>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</si>
  <si>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</si>
  <si>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</si>
  <si>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</si>
  <si>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</si>
  <si>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</si>
  <si>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</si>
  <si>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</si>
  <si>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</si>
  <si>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</si>
  <si>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</si>
  <si>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</si>
  <si>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</si>
  <si>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</si>
  <si>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</si>
  <si>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</si>
  <si>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</si>
  <si>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</si>
  <si>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</si>
  <si>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</si>
  <si>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</si>
  <si>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</si>
  <si>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</si>
  <si>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</si>
  <si>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</si>
  <si>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</si>
  <si>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</si>
  <si>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</si>
  <si>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</si>
  <si>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</si>
  <si>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</si>
  <si>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</si>
  <si>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</si>
  <si>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</si>
  <si>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</si>
  <si>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</si>
  <si>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</si>
  <si>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</si>
  <si>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</si>
  <si>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</si>
  <si>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</si>
  <si>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</si>
  <si>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</si>
  <si>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</si>
  <si>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</si>
  <si>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</si>
  <si>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</si>
  <si>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</si>
  <si>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</si>
  <si>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</si>
  <si>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</si>
  <si>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</si>
  <si>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</si>
  <si>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</si>
  <si>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</si>
  <si>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</si>
  <si>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</si>
  <si>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</si>
  <si>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</si>
  <si>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</si>
  <si>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</si>
  <si>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</si>
  <si>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</si>
  <si>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</si>
  <si>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</si>
  <si>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</si>
  <si>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</si>
  <si>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</si>
  <si>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</si>
  <si>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</si>
  <si>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</si>
  <si>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</si>
  <si>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</si>
  <si>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</si>
  <si>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</si>
  <si>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</si>
  <si>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</si>
  <si>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</si>
  <si>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</si>
  <si>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</si>
  <si>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</si>
  <si>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</si>
  <si>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</si>
  <si>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</si>
  <si>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</si>
  <si>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</si>
  <si>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</si>
  <si>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</si>
  <si>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</si>
  <si>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</si>
  <si>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</si>
  <si>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</si>
  <si>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</si>
  <si>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</si>
  <si>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</si>
  <si>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</si>
  <si>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</si>
  <si>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</si>
  <si>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</si>
  <si>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</si>
  <si>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</si>
  <si>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</si>
  <si>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</si>
  <si>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</si>
  <si>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</si>
  <si>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</si>
  <si>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</si>
  <si>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</si>
  <si>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</si>
  <si>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</si>
  <si>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</si>
  <si>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</si>
  <si>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</si>
  <si>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</si>
  <si>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</si>
  <si>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</si>
  <si>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</si>
  <si>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</si>
  <si>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</si>
  <si>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</si>
  <si>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</si>
  <si>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</si>
  <si>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</si>
  <si>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</si>
  <si>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</si>
  <si>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</si>
  <si>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</si>
  <si>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</si>
  <si>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</si>
  <si>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</si>
  <si>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</si>
  <si>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</si>
  <si>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</si>
  <si>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</si>
  <si>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</si>
  <si>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</si>
  <si>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</si>
  <si>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</si>
  <si>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</si>
  <si>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</si>
  <si>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</si>
  <si>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</si>
  <si>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</si>
  <si>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</si>
  <si>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</si>
  <si>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</si>
  <si>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</si>
  <si>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</si>
  <si>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</si>
  <si>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</si>
  <si>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</si>
  <si>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</si>
  <si>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</si>
  <si>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</si>
  <si>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</si>
  <si>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</si>
  <si>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</si>
  <si>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</si>
  <si>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</si>
  <si>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</si>
  <si>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</si>
  <si>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</si>
  <si>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</si>
  <si>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</si>
  <si>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</si>
  <si>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</si>
  <si>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</si>
  <si>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</si>
  <si>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</si>
  <si>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</si>
  <si>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</si>
  <si>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</si>
  <si>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</si>
  <si>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</si>
  <si>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</si>
  <si>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</si>
  <si>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</si>
  <si>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</si>
  <si>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</si>
  <si>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</si>
  <si>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</si>
  <si>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</si>
  <si>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</si>
  <si>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</si>
  <si>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</si>
  <si>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</si>
  <si>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</si>
  <si>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</si>
  <si>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</si>
  <si>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</si>
  <si>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</si>
  <si>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</si>
  <si>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</si>
  <si>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</si>
  <si>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</si>
  <si>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</si>
  <si>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</si>
  <si>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</si>
  <si>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</si>
  <si>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</si>
  <si>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</si>
  <si>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</si>
  <si>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</si>
  <si>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</si>
  <si>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</si>
  <si>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</si>
  <si>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</si>
  <si>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</si>
  <si>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</si>
  <si>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</si>
  <si>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</si>
  <si>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</si>
  <si>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</si>
  <si>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</si>
  <si>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</si>
  <si>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</si>
  <si>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</si>
  <si>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</si>
  <si>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</si>
  <si>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</si>
  <si>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</si>
  <si>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</si>
  <si>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</si>
  <si>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</si>
  <si>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</si>
  <si>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</si>
  <si>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</si>
  <si>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</si>
  <si>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</si>
  <si>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</si>
  <si>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</si>
  <si>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</si>
  <si>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</si>
  <si>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</si>
  <si>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</si>
  <si>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</si>
  <si>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</si>
  <si>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</si>
  <si>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</si>
  <si>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</si>
  <si>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</si>
  <si>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</si>
  <si>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</si>
  <si>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</si>
  <si>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</si>
  <si>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</si>
  <si>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</si>
  <si>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</si>
  <si>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</si>
  <si>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</si>
  <si>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</si>
  <si>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</si>
  <si>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</si>
  <si>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</si>
  <si>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</si>
  <si>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</si>
  <si>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</si>
  <si>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</si>
  <si>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</si>
  <si>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</si>
  <si>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</si>
  <si>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</si>
  <si>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</si>
  <si>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</si>
  <si>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</si>
  <si>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</si>
  <si>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</si>
  <si>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</si>
  <si>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</si>
  <si>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</si>
  <si>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</si>
  <si>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</si>
  <si>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</si>
  <si>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</si>
  <si>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</si>
  <si>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</si>
  <si>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</si>
  <si>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</si>
  <si>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</si>
  <si>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</si>
  <si>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</si>
  <si>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</si>
  <si>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</si>
  <si>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</si>
  <si>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</si>
  <si>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</si>
  <si>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</si>
  <si>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</si>
  <si>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</si>
  <si>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</si>
  <si>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</si>
  <si>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</si>
  <si>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</si>
  <si>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</si>
  <si>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</si>
  <si>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</si>
  <si>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</si>
  <si>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</si>
  <si>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</si>
  <si>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</si>
  <si>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</si>
  <si>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</si>
  <si>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</si>
  <si>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</si>
  <si>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</si>
  <si>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</si>
  <si>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</si>
  <si>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</si>
  <si>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</si>
  <si>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</si>
  <si>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</si>
  <si>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</si>
  <si>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</si>
  <si>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</si>
  <si>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</si>
  <si>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</si>
  <si>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</si>
  <si>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</si>
  <si>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</si>
  <si>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</si>
  <si>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</si>
  <si>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</si>
  <si>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</si>
  <si>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</si>
  <si>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</si>
  <si>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</si>
  <si>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</si>
  <si>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</si>
  <si>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</si>
  <si>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</si>
  <si>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</si>
  <si>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</si>
  <si>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</si>
  <si>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</si>
  <si>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</si>
  <si>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</si>
  <si>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</si>
  <si>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</si>
  <si>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</si>
  <si>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</si>
  <si>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</si>
  <si>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</si>
  <si>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</si>
  <si>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</si>
  <si>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</si>
  <si>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</si>
  <si>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</si>
  <si>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</si>
  <si>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</si>
  <si>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</si>
  <si>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</si>
  <si>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</si>
  <si>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</si>
  <si>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</si>
  <si>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</si>
  <si>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</si>
  <si>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surface2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</si>
  <si>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</si>
  <si>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</si>
  <si>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</si>
  <si>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</si>
  <si>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</si>
  <si>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</si>
  <si>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</si>
  <si>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</si>
  <si>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</si>
  <si>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</si>
  <si>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</si>
  <si>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</si>
  <si>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</si>
  <si>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</si>
  <si>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</si>
  <si>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</si>
  <si>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</si>
  <si>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</si>
  <si>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</si>
  <si>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</si>
  <si>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</si>
  <si>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Z1_OLBV_T3PT_Ms1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</si>
</sst>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22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465999884262" createdVersion="6" refreshedVersion="6" minRefreshableVersion="3" recordCount="22">
  <cacheSource type="worksheet">
    <worksheetSource ref="A1:J23" sheet="Parcellaire"/>
  </cacheSource>
  <cacheFields count="10">
    <cacheField name="Numéro_x000a_Parcelle" numFmtId="0">
      <sharedItems containsSemiMixedTypes="0" containsString="0" containsNumber="1" containsInteger="1" minValue="1" maxValue="22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Blank="1" containsMixedTypes="1" containsNumber="1" containsInteger="1" minValue="17" maxValue="290" count="15">
        <n v="239"/>
        <s v="ME"/>
        <m/>
        <n v="242"/>
        <n v="266"/>
        <n v="241"/>
        <n v="290"/>
        <n v="194"/>
        <n v="17"/>
        <n v="172"/>
        <n v="265" u="1"/>
        <n v="212" u="1"/>
        <n v="271" u="1"/>
        <n v="187" u="1"/>
        <n v="28" u="1"/>
      </sharedItems>
    </cacheField>
    <cacheField name="surface" numFmtId="0">
      <sharedItems containsString="0" containsBlank="1" containsNumber="1" minValue="0.7" maxValue="6.8"/>
    </cacheField>
    <cacheField name="surface2" numFmtId="0">
      <sharedItems containsString="0" containsBlank="1" containsNumber="1" minValue="1" maxValue="2.8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">
  <r>
    <n v="1"/>
    <n v="1"/>
    <n v="2"/>
    <x v="0"/>
    <n v="3"/>
    <x v="0"/>
    <n v="0.8"/>
    <m/>
    <n v="2"/>
    <n v="0.5"/>
  </r>
  <r>
    <n v="2"/>
    <n v="1"/>
    <n v="2"/>
    <x v="0"/>
    <n v="3"/>
    <x v="0"/>
    <n v="0.9"/>
    <m/>
    <n v="3"/>
    <n v="0.5"/>
  </r>
  <r>
    <n v="3"/>
    <n v="1"/>
    <n v="2"/>
    <x v="0"/>
    <s v="ME"/>
    <x v="1"/>
    <n v="1"/>
    <m/>
    <n v="2"/>
    <n v="0"/>
  </r>
  <r>
    <n v="4"/>
    <m/>
    <m/>
    <x v="1"/>
    <m/>
    <x v="2"/>
    <m/>
    <m/>
    <m/>
    <m/>
  </r>
  <r>
    <n v="5"/>
    <n v="1"/>
    <n v="2"/>
    <x v="0"/>
    <n v="2"/>
    <x v="0"/>
    <n v="1.1000000000000001"/>
    <m/>
    <n v="3"/>
    <n v="0.5"/>
  </r>
  <r>
    <n v="6"/>
    <n v="1"/>
    <n v="2"/>
    <x v="0"/>
    <n v="3"/>
    <x v="3"/>
    <n v="1.5"/>
    <m/>
    <n v="3"/>
    <n v="0.5"/>
  </r>
  <r>
    <n v="7"/>
    <n v="1"/>
    <n v="2"/>
    <x v="2"/>
    <n v="3"/>
    <x v="3"/>
    <n v="2"/>
    <m/>
    <n v="3"/>
    <n v="0.5"/>
  </r>
  <r>
    <n v="8"/>
    <n v="1"/>
    <n v="2"/>
    <x v="2"/>
    <n v="3"/>
    <x v="4"/>
    <n v="0.7"/>
    <m/>
    <n v="3"/>
    <n v="0.5"/>
  </r>
  <r>
    <n v="9"/>
    <n v="1"/>
    <n v="2"/>
    <x v="2"/>
    <n v="3"/>
    <x v="5"/>
    <n v="2"/>
    <m/>
    <n v="3"/>
    <n v="0.5"/>
  </r>
  <r>
    <n v="10"/>
    <n v="1"/>
    <n v="2"/>
    <x v="2"/>
    <n v="2"/>
    <x v="5"/>
    <n v="2.2999999999999998"/>
    <n v="2.8"/>
    <n v="3"/>
    <n v="0.5"/>
  </r>
  <r>
    <n v="11"/>
    <n v="1"/>
    <n v="2"/>
    <x v="2"/>
    <n v="3"/>
    <x v="4"/>
    <n v="1"/>
    <n v="1"/>
    <n v="3"/>
    <n v="1"/>
  </r>
  <r>
    <n v="12"/>
    <n v="1"/>
    <n v="2"/>
    <x v="2"/>
    <n v="2"/>
    <x v="3"/>
    <n v="1.7"/>
    <n v="1.7"/>
    <n v="2"/>
    <n v="0"/>
  </r>
  <r>
    <n v="13"/>
    <n v="1"/>
    <n v="2"/>
    <x v="2"/>
    <n v="3"/>
    <x v="3"/>
    <n v="1.3"/>
    <n v="1.3"/>
    <n v="2"/>
    <n v="1"/>
  </r>
  <r>
    <n v="14"/>
    <n v="1"/>
    <n v="2"/>
    <x v="2"/>
    <n v="2"/>
    <x v="6"/>
    <n v="1"/>
    <m/>
    <n v="2"/>
    <n v="0.5"/>
  </r>
  <r>
    <n v="15"/>
    <n v="1"/>
    <n v="2"/>
    <x v="2"/>
    <n v="2"/>
    <x v="5"/>
    <n v="2"/>
    <m/>
    <n v="2"/>
    <n v="0.5"/>
  </r>
  <r>
    <n v="16"/>
    <n v="1"/>
    <n v="2"/>
    <x v="2"/>
    <n v="2"/>
    <x v="5"/>
    <n v="1.7"/>
    <m/>
    <n v="2"/>
    <n v="0.5"/>
  </r>
  <r>
    <n v="17"/>
    <n v="1"/>
    <n v="2"/>
    <x v="2"/>
    <n v="2"/>
    <x v="5"/>
    <n v="3"/>
    <m/>
    <n v="3"/>
    <n v="0.5"/>
  </r>
  <r>
    <n v="18"/>
    <n v="1"/>
    <n v="2"/>
    <x v="0"/>
    <m/>
    <x v="7"/>
    <n v="1"/>
    <m/>
    <n v="3"/>
    <n v="0.5"/>
  </r>
  <r>
    <n v="19"/>
    <n v="1"/>
    <n v="2"/>
    <x v="2"/>
    <m/>
    <x v="8"/>
    <n v="4.3"/>
    <m/>
    <n v="3"/>
    <n v="1"/>
  </r>
  <r>
    <n v="20"/>
    <n v="1"/>
    <n v="2"/>
    <x v="0"/>
    <m/>
    <x v="9"/>
    <n v="6.8"/>
    <m/>
    <n v="3"/>
    <n v="1"/>
  </r>
  <r>
    <n v="21"/>
    <n v="1"/>
    <n v="2"/>
    <x v="0"/>
    <m/>
    <x v="7"/>
    <n v="2"/>
    <m/>
    <n v="3"/>
    <n v="0.5"/>
  </r>
  <r>
    <n v="22"/>
    <n v="1"/>
    <n v="2"/>
    <x v="0"/>
    <m/>
    <x v="7"/>
    <n v="2"/>
    <m/>
    <n v="3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12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10">
    <pivotField showAll="0"/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6">
        <item x="8"/>
        <item m="1" x="14"/>
        <item x="9"/>
        <item m="1" x="13"/>
        <item m="1" x="11"/>
        <item x="0"/>
        <item m="1" x="10"/>
        <item x="4"/>
        <item m="1" x="12"/>
        <item x="2"/>
        <item x="6"/>
        <item x="7"/>
        <item x="3"/>
        <item x="5"/>
        <item x="1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1">
    <i>
      <x/>
    </i>
    <i>
      <x v="2"/>
    </i>
    <i>
      <x v="5"/>
    </i>
    <i>
      <x v="7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48.957999999999998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155.58039004346091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0.35025029565217397</v>
      </c>
      <c r="J5" s="143">
        <f>CdTrp1!E215+CdTrp2!E215+CdTrp3!E215+CdTrp4!E215</f>
        <v>0.35025029565217397</v>
      </c>
      <c r="K5" s="143">
        <f>CdTrp1!F215+CdTrp2!F215+CdTrp3!F215+CdTrp4!F215</f>
        <v>0.38777711304347828</v>
      </c>
      <c r="L5" s="143">
        <f>CdTrp1!G215+CdTrp2!G215+CdTrp3!G215+CdTrp4!G215</f>
        <v>5.8186343015652184</v>
      </c>
      <c r="M5" s="143">
        <f>CdTrp1!H215+CdTrp2!H215+CdTrp3!H215+CdTrp4!H215</f>
        <v>8.006711835652176</v>
      </c>
      <c r="N5" s="143">
        <f>CdTrp1!I215+CdTrp2!I215+CdTrp3!I215+CdTrp4!I215</f>
        <v>7.9838588504347836</v>
      </c>
      <c r="O5" s="143">
        <f>CdTrp1!J215+CdTrp2!J215+CdTrp3!J215+CdTrp4!J215</f>
        <v>6.5079109881739141</v>
      </c>
      <c r="P5" s="143">
        <f>CdTrp1!K215+CdTrp2!K215+CdTrp3!K215+CdTrp4!K215</f>
        <v>5.5896995280000006</v>
      </c>
      <c r="Q5" s="143">
        <f>CdTrp1!L215+CdTrp2!L215+CdTrp3!L215+CdTrp4!L215</f>
        <v>5.409386640000001</v>
      </c>
      <c r="R5" s="143">
        <f>CdTrp1!M215+CdTrp2!M215+CdTrp3!M215+CdTrp4!M215</f>
        <v>1.0937804347826088</v>
      </c>
      <c r="S5" s="143">
        <f>CdTrp1!N215+CdTrp2!N215+CdTrp3!N215+CdTrp4!N215</f>
        <v>1.1302397826086958</v>
      </c>
      <c r="T5" s="143">
        <f>CdTrp1!O215+CdTrp2!O215+CdTrp3!O215+CdTrp4!O215</f>
        <v>3.4607655326086957</v>
      </c>
      <c r="U5" s="143">
        <f>CdTrp1!P215+CdTrp2!P215+CdTrp3!P215+CdTrp4!P215</f>
        <v>3.4607655326086957</v>
      </c>
      <c r="V5" s="143">
        <f>CdTrp1!Q215+CdTrp2!Q215+CdTrp3!Q215+CdTrp4!Q215</f>
        <v>3.4607655326086957</v>
      </c>
      <c r="W5" s="143">
        <f>CdTrp1!R215+CdTrp2!R215+CdTrp3!R215+CdTrp4!R215</f>
        <v>1.0937804347826088</v>
      </c>
      <c r="X5" s="143">
        <f>CdTrp1!S215+CdTrp2!S215+CdTrp3!S215+CdTrp4!S215</f>
        <v>1.0937804347826088</v>
      </c>
      <c r="Y5" s="143">
        <f>CdTrp1!T215+CdTrp2!T215+CdTrp3!T215+CdTrp4!T215</f>
        <v>1.8988649307478269</v>
      </c>
      <c r="Z5" s="143">
        <f>CdTrp1!U215+CdTrp2!U215+CdTrp3!U215+CdTrp4!U215</f>
        <v>4.2762400787826094</v>
      </c>
      <c r="AA5" s="143">
        <f>CdTrp1!V215+CdTrp2!V215+CdTrp3!V215+CdTrp4!V215</f>
        <v>1.2967500000000001</v>
      </c>
      <c r="AB5" s="143">
        <f>CdTrp1!W215+CdTrp2!W215+CdTrp3!W215+CdTrp4!W215</f>
        <v>1.270815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154.78711243596524</v>
      </c>
      <c r="AG5" t="s">
        <v>222</v>
      </c>
    </row>
    <row r="6" spans="1:53" x14ac:dyDescent="0.25">
      <c r="B6" s="14" t="s">
        <v>292</v>
      </c>
      <c r="C6" s="143">
        <f>SUM(Troupeau!B68:E68)</f>
        <v>11.97</v>
      </c>
      <c r="D6" t="s">
        <v>247</v>
      </c>
      <c r="F6" s="38" t="s">
        <v>218</v>
      </c>
      <c r="G6" s="143">
        <f>CdTrp1!B216+CdTrp2!B216+CdTrp3!B216+CdTrp4!B216</f>
        <v>0.93215652173913055</v>
      </c>
      <c r="H6" s="143">
        <f>CdTrp1!C216+CdTrp2!C216+CdTrp3!C216+CdTrp4!C216</f>
        <v>0.93215652173913055</v>
      </c>
      <c r="I6" s="143">
        <f>CdTrp1!D216+CdTrp2!D216+CdTrp3!D216+CdTrp4!D216</f>
        <v>0.84194782608695662</v>
      </c>
      <c r="J6" s="143">
        <f>CdTrp1!E216+CdTrp2!E216+CdTrp3!E216+CdTrp4!E216</f>
        <v>0.84194782608695662</v>
      </c>
      <c r="K6" s="143">
        <f>CdTrp1!F216+CdTrp2!F216+CdTrp3!F216+CdTrp4!F216</f>
        <v>1.5100935652173912</v>
      </c>
      <c r="L6" s="143">
        <f>CdTrp1!G216+CdTrp2!G216+CdTrp3!G216+CdTrp4!G216</f>
        <v>1.5100935652173912</v>
      </c>
      <c r="M6" s="143">
        <f>CdTrp1!H216+CdTrp2!H216+CdTrp3!H216+CdTrp4!H216</f>
        <v>1.4613808695652175</v>
      </c>
      <c r="N6" s="143">
        <f>CdTrp1!I216+CdTrp2!I216+CdTrp3!I216+CdTrp4!I216</f>
        <v>1.4613808695652175</v>
      </c>
      <c r="O6" s="143">
        <f>CdTrp1!J216+CdTrp2!J216+CdTrp3!J216+CdTrp4!J216</f>
        <v>3.6169017499999994</v>
      </c>
      <c r="P6" s="143">
        <f>CdTrp1!K216+CdTrp2!K216+CdTrp3!K216+CdTrp4!K216</f>
        <v>3.6169017499999994</v>
      </c>
      <c r="Q6" s="143">
        <f>CdTrp1!L216+CdTrp2!L216+CdTrp3!L216+CdTrp4!L216</f>
        <v>3.5002275000000003</v>
      </c>
      <c r="R6" s="143">
        <f>CdTrp1!M216+CdTrp2!M216+CdTrp3!M216+CdTrp4!M216</f>
        <v>3.5002275000000003</v>
      </c>
      <c r="S6" s="143">
        <f>CdTrp1!N216+CdTrp2!N216+CdTrp3!N216+CdTrp4!N216</f>
        <v>3.6169017499999994</v>
      </c>
      <c r="T6" s="143">
        <f>CdTrp1!O216+CdTrp2!O216+CdTrp3!O216+CdTrp4!O216</f>
        <v>1.286376</v>
      </c>
      <c r="U6" s="143">
        <f>CdTrp1!P216+CdTrp2!P216+CdTrp3!P216+CdTrp4!P216</f>
        <v>1.286376</v>
      </c>
      <c r="V6" s="143">
        <f>CdTrp1!Q216+CdTrp2!Q216+CdTrp3!Q216+CdTrp4!Q216</f>
        <v>1.286376</v>
      </c>
      <c r="W6" s="143">
        <f>CdTrp1!R216+CdTrp2!R216+CdTrp3!R216+CdTrp4!R216</f>
        <v>3.1635</v>
      </c>
      <c r="X6" s="143">
        <f>CdTrp1!S216+CdTrp2!S216+CdTrp3!S216+CdTrp4!S216</f>
        <v>3.1635</v>
      </c>
      <c r="Y6" s="143">
        <f>CdTrp1!T216+CdTrp2!T216+CdTrp3!T216+CdTrp4!T216</f>
        <v>0</v>
      </c>
      <c r="Z6" s="143">
        <f>CdTrp1!U216+CdTrp2!U216+CdTrp3!U216+CdTrp4!U216</f>
        <v>0.22371756521739136</v>
      </c>
      <c r="AA6" s="143">
        <f>CdTrp1!V216+CdTrp2!V216+CdTrp3!V216+CdTrp4!V216</f>
        <v>1.6144372695652174</v>
      </c>
      <c r="AB6" s="143">
        <f>CdTrp1!W216+CdTrp2!W216+CdTrp3!W216+CdTrp4!W216</f>
        <v>1.6417288695652175</v>
      </c>
      <c r="AC6" s="143">
        <f>CdTrp1!X216+CdTrp2!X216+CdTrp3!X216+CdTrp4!X216</f>
        <v>0.22371756521739136</v>
      </c>
      <c r="AD6" s="143">
        <f>CdTrp1!Y216+CdTrp2!Y216+CdTrp3!Y216+CdTrp4!Y216</f>
        <v>0.93215652173913055</v>
      </c>
      <c r="AE6" s="153"/>
      <c r="AF6" s="154"/>
    </row>
    <row r="7" spans="1:53" x14ac:dyDescent="0.25">
      <c r="B7" s="14" t="s">
        <v>294</v>
      </c>
      <c r="C7" s="144">
        <f>ROUNDUP(C4-C6-0.9*C5,1)</f>
        <v>143.69999999999999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0.70843895652173916</v>
      </c>
      <c r="L7" s="143">
        <f>CdTrp1!G217+CdTrp2!G217+CdTrp3!G217+CdTrp4!G217</f>
        <v>0.70843895652173916</v>
      </c>
      <c r="M7" s="143">
        <f>CdTrp1!H217+CdTrp2!H217+CdTrp3!H217+CdTrp4!H217</f>
        <v>0.6855860869565219</v>
      </c>
      <c r="N7" s="143">
        <f>CdTrp1!I217+CdTrp2!I217+CdTrp3!I217+CdTrp4!I217</f>
        <v>0.6855860869565219</v>
      </c>
      <c r="O7" s="143">
        <f>CdTrp1!J217+CdTrp2!J217+CdTrp3!J217+CdTrp4!J217</f>
        <v>0.70843895652173916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2.5836367199999999</v>
      </c>
      <c r="Z7" s="143">
        <f>CdTrp1!U217+CdTrp2!U217+CdTrp3!U217+CdTrp4!U217</f>
        <v>2.0413223965217391</v>
      </c>
      <c r="AA7" s="143">
        <f>CdTrp1!V217+CdTrp2!V217+CdTrp3!V217+CdTrp4!V217</f>
        <v>0.6855860869565219</v>
      </c>
      <c r="AB7" s="143">
        <f>CdTrp1!W217+CdTrp2!W217+CdTrp3!W217+CdTrp4!W217</f>
        <v>0.6855860869565219</v>
      </c>
      <c r="AC7" s="143">
        <f>CdTrp1!X217+CdTrp2!X217+CdTrp3!X217+CdTrp4!X217</f>
        <v>0.70843895652173916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0.93215652173913055</v>
      </c>
      <c r="H8" s="143">
        <f t="shared" ref="H8:AD8" si="0">SUM(H5:H7)</f>
        <v>0.93215652173913055</v>
      </c>
      <c r="I8" s="143">
        <f t="shared" si="0"/>
        <v>1.1921981217391306</v>
      </c>
      <c r="J8" s="143">
        <f t="shared" si="0"/>
        <v>1.1921981217391306</v>
      </c>
      <c r="K8" s="143">
        <f t="shared" si="0"/>
        <v>2.6063096347826087</v>
      </c>
      <c r="L8" s="143">
        <f t="shared" si="0"/>
        <v>8.0371668233043483</v>
      </c>
      <c r="M8" s="143">
        <f t="shared" si="0"/>
        <v>10.153678792173917</v>
      </c>
      <c r="N8" s="143">
        <f t="shared" si="0"/>
        <v>10.130825806956524</v>
      </c>
      <c r="O8" s="143">
        <f t="shared" si="0"/>
        <v>10.833251694695653</v>
      </c>
      <c r="P8" s="143">
        <f t="shared" si="0"/>
        <v>9.2066012780000008</v>
      </c>
      <c r="Q8" s="143">
        <f t="shared" si="0"/>
        <v>8.9096141400000022</v>
      </c>
      <c r="R8" s="143">
        <f t="shared" si="0"/>
        <v>4.594007934782609</v>
      </c>
      <c r="S8" s="143">
        <f t="shared" si="0"/>
        <v>4.747141532608695</v>
      </c>
      <c r="T8" s="143">
        <f t="shared" si="0"/>
        <v>4.7471415326086959</v>
      </c>
      <c r="U8" s="143">
        <f t="shared" si="0"/>
        <v>4.7471415326086959</v>
      </c>
      <c r="V8" s="143">
        <f t="shared" si="0"/>
        <v>4.7471415326086959</v>
      </c>
      <c r="W8" s="143">
        <f t="shared" si="0"/>
        <v>4.2572804347826088</v>
      </c>
      <c r="X8" s="143">
        <f t="shared" si="0"/>
        <v>4.2572804347826088</v>
      </c>
      <c r="Y8" s="143">
        <f t="shared" si="0"/>
        <v>4.4825016507478264</v>
      </c>
      <c r="Z8" s="143">
        <f t="shared" si="0"/>
        <v>6.5412800405217402</v>
      </c>
      <c r="AA8" s="143">
        <f t="shared" si="0"/>
        <v>3.596773356521739</v>
      </c>
      <c r="AB8" s="143">
        <f t="shared" si="0"/>
        <v>3.5981299565217393</v>
      </c>
      <c r="AC8" s="143">
        <f t="shared" si="0"/>
        <v>0.93215652173913055</v>
      </c>
      <c r="AD8" s="143">
        <f t="shared" si="0"/>
        <v>0.93215652173913055</v>
      </c>
      <c r="AE8" s="153"/>
      <c r="AF8" s="144">
        <f>SUM(G8:AD8)</f>
        <v>116.3062904394435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5.3945077565217394</v>
      </c>
      <c r="S9" s="143">
        <f>CdTrp1!N218+CdTrp2!N218+CdTrp3!N218+CdTrp4!N218</f>
        <v>5.5743246817391308</v>
      </c>
      <c r="T9" s="143">
        <f>CdTrp1!O218+CdTrp2!O218+CdTrp3!O218+CdTrp4!O218</f>
        <v>5.5743246817391308</v>
      </c>
      <c r="U9" s="143">
        <f>CdTrp1!P218+CdTrp2!P218+CdTrp3!P218+CdTrp4!P218</f>
        <v>5.5743246817391308</v>
      </c>
      <c r="V9" s="143">
        <f>CdTrp1!Q218+CdTrp2!Q218+CdTrp3!Q218+CdTrp4!Q218</f>
        <v>5.5743246817391308</v>
      </c>
      <c r="W9" s="143">
        <f>CdTrp1!R218+CdTrp2!R218+CdTrp3!R218+CdTrp4!R218</f>
        <v>5.3945077565217394</v>
      </c>
      <c r="X9" s="143">
        <f>CdTrp1!S218+CdTrp2!S218+CdTrp3!S218+CdTrp4!S218</f>
        <v>5.3945077565217394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9.8000000000000007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9.8000000000000007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15.9</v>
      </c>
      <c r="R14" s="145">
        <f>CdTrp1!AV54+CdTrp2!AV54+CdTrp3!AV54+CdTrp4!AV54</f>
        <v>0</v>
      </c>
      <c r="S14" s="145">
        <f>CdTrp1!AW54+CdTrp2!AW54+CdTrp3!AW54+CdTrp4!AW54</f>
        <v>2.9</v>
      </c>
      <c r="T14" s="145">
        <f>CdTrp1!AX54+CdTrp2!AX54+CdTrp3!AX54+CdTrp4!AX54</f>
        <v>7.3</v>
      </c>
      <c r="U14" s="145">
        <f>CdTrp1!AY54+CdTrp2!AY54+CdTrp3!AY54+CdTrp4!AY54</f>
        <v>5.5</v>
      </c>
      <c r="V14" s="145">
        <f>CdTrp1!AZ54+CdTrp2!AZ54+CdTrp3!AZ54+CdTrp4!AZ54</f>
        <v>2.2999999999999998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57.5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26.5</v>
      </c>
      <c r="H18" s="158">
        <f>G18/G17</f>
        <v>0.46086956521739131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21.5</v>
      </c>
      <c r="H19" s="158">
        <f>G19/G17</f>
        <v>0.37391304347826088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6</v>
      </c>
      <c r="H20" s="158">
        <f>G20/G17</f>
        <v>0.10434782608695652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15.9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2.9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7.3</v>
      </c>
    </row>
    <row r="25" spans="2:9" x14ac:dyDescent="0.25">
      <c r="B25" s="19" t="str">
        <f>[1]Conc!C19</f>
        <v>15 -concentré bovin allaitant</v>
      </c>
      <c r="C25" s="144">
        <f>U14</f>
        <v>5.5</v>
      </c>
    </row>
    <row r="26" spans="2:9" x14ac:dyDescent="0.25">
      <c r="B26" s="19" t="str">
        <f>[1]Conc!C20</f>
        <v>16 -correcteur N bovin allaitant</v>
      </c>
      <c r="C26" s="144">
        <f>V14</f>
        <v>2.2999999999999998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zoomScale="80" zoomScaleNormal="80" workbookViewId="0">
      <selection activeCell="R12" sqref="R12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7" t="s">
        <v>250</v>
      </c>
      <c r="AT2" s="297"/>
      <c r="AU2" s="296" t="s">
        <v>251</v>
      </c>
      <c r="AV2" s="296"/>
      <c r="AW2" s="296" t="s">
        <v>252</v>
      </c>
      <c r="AX2" s="296"/>
      <c r="AY2" s="296" t="s">
        <v>253</v>
      </c>
      <c r="AZ2" s="296"/>
      <c r="BA2" s="296" t="s">
        <v>254</v>
      </c>
      <c r="BB2" s="296"/>
      <c r="BC2" s="296" t="s">
        <v>255</v>
      </c>
      <c r="BD2" s="296"/>
      <c r="BE2" s="296" t="s">
        <v>256</v>
      </c>
      <c r="BF2" s="296"/>
      <c r="BG2" s="296" t="s">
        <v>257</v>
      </c>
      <c r="BH2" s="296"/>
      <c r="BI2" s="296" t="s">
        <v>258</v>
      </c>
      <c r="BJ2" s="296"/>
      <c r="BK2" s="296" t="s">
        <v>259</v>
      </c>
      <c r="BL2" s="296"/>
      <c r="BM2" s="296" t="s">
        <v>260</v>
      </c>
      <c r="BN2" s="296"/>
      <c r="BO2" s="296" t="s">
        <v>261</v>
      </c>
      <c r="BP2" s="296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0.93215652173913055</v>
      </c>
      <c r="AT5" s="13">
        <f>'Conduite Trp'!H8</f>
        <v>0.93215652173913055</v>
      </c>
      <c r="AU5" s="13">
        <f>'Conduite Trp'!I8</f>
        <v>1.1921981217391306</v>
      </c>
      <c r="AV5" s="13">
        <f>'Conduite Trp'!J8</f>
        <v>1.1921981217391306</v>
      </c>
      <c r="AW5" s="13">
        <f>'Conduite Trp'!K8</f>
        <v>2.6063096347826087</v>
      </c>
      <c r="AX5" s="13">
        <f>'Conduite Trp'!L8</f>
        <v>8.0371668233043483</v>
      </c>
      <c r="AY5" s="13">
        <f>'Conduite Trp'!M8</f>
        <v>10.153678792173917</v>
      </c>
      <c r="AZ5" s="13">
        <f>'Conduite Trp'!N8</f>
        <v>10.130825806956524</v>
      </c>
      <c r="BA5" s="13">
        <f>'Conduite Trp'!O8</f>
        <v>10.833251694695653</v>
      </c>
      <c r="BB5" s="13">
        <f>'Conduite Trp'!P8</f>
        <v>9.2066012780000008</v>
      </c>
      <c r="BC5" s="13">
        <f>'Conduite Trp'!Q8</f>
        <v>8.9096141400000022</v>
      </c>
      <c r="BD5" s="13">
        <f>'Conduite Trp'!R8</f>
        <v>4.594007934782609</v>
      </c>
      <c r="BE5" s="13">
        <f>'Conduite Trp'!S8</f>
        <v>4.747141532608695</v>
      </c>
      <c r="BF5" s="13">
        <f>'Conduite Trp'!T8</f>
        <v>4.7471415326086959</v>
      </c>
      <c r="BG5" s="13">
        <f>'Conduite Trp'!U8</f>
        <v>4.7471415326086959</v>
      </c>
      <c r="BH5" s="13">
        <f>'Conduite Trp'!V8</f>
        <v>4.7471415326086959</v>
      </c>
      <c r="BI5" s="13">
        <f>'Conduite Trp'!W8</f>
        <v>4.2572804347826088</v>
      </c>
      <c r="BJ5" s="13">
        <f>'Conduite Trp'!X8</f>
        <v>4.2572804347826088</v>
      </c>
      <c r="BK5" s="13">
        <f>'Conduite Trp'!Y8</f>
        <v>4.4825016507478264</v>
      </c>
      <c r="BL5" s="13">
        <f>'Conduite Trp'!Z8</f>
        <v>6.5412800405217402</v>
      </c>
      <c r="BM5" s="13">
        <f>'Conduite Trp'!AA8</f>
        <v>3.596773356521739</v>
      </c>
      <c r="BN5" s="13">
        <f>'Conduite Trp'!AB8</f>
        <v>3.5981299565217393</v>
      </c>
      <c r="BO5" s="13">
        <f>'Conduite Trp'!AC8</f>
        <v>0.93215652173913055</v>
      </c>
      <c r="BP5" s="13">
        <f>'Conduite Trp'!AD8</f>
        <v>0.93215652173913055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90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18.7</v>
      </c>
      <c r="P7">
        <v>1</v>
      </c>
      <c r="Q7" s="39">
        <v>266</v>
      </c>
      <c r="R7" s="39">
        <v>2.7</v>
      </c>
      <c r="S7" s="291" t="str">
        <f>VLOOKUP($Q7,[1]MEP!$A$5:$D$300,3)</f>
        <v>PP EXCELLENTE PATUREE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3.3</v>
      </c>
      <c r="W7" s="76">
        <f>VLOOKUP($Q7,[1]MEP!$A$4:$K$300,6)</f>
        <v>3</v>
      </c>
      <c r="X7" s="76">
        <f>VLOOKUP($Q7,[1]MEP!$A$4:$K$300,7)</f>
        <v>2.2999999999999998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8.91</v>
      </c>
      <c r="AF7" s="61">
        <f t="shared" ref="AF7:AF26" si="1">$R7*W7</f>
        <v>8.1000000000000014</v>
      </c>
      <c r="AG7" s="61">
        <f t="shared" ref="AG7:AG26" si="2">$R7*X7</f>
        <v>6.21</v>
      </c>
      <c r="AH7" s="61">
        <f t="shared" ref="AH7:AH26" si="3">$R7*Y7</f>
        <v>1.35</v>
      </c>
      <c r="AI7" s="61">
        <f t="shared" ref="AI7:AI26" si="4">$R7*Z7</f>
        <v>1.89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10.153678792173917</v>
      </c>
      <c r="AZ7" s="61">
        <f t="shared" si="7"/>
        <v>10.130825806956524</v>
      </c>
      <c r="BA7" s="61">
        <f t="shared" si="7"/>
        <v>10.833251694695653</v>
      </c>
      <c r="BB7" s="61">
        <f t="shared" si="7"/>
        <v>9.2066012780000008</v>
      </c>
      <c r="BC7" s="61">
        <f t="shared" si="7"/>
        <v>8.9096141400000022</v>
      </c>
      <c r="BD7" s="61">
        <f t="shared" si="7"/>
        <v>4.594007934782609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53.827979646608711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48.957999999999998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18.7</v>
      </c>
      <c r="P8">
        <v>2</v>
      </c>
      <c r="Q8" s="39">
        <v>241</v>
      </c>
      <c r="R8" s="39">
        <v>11</v>
      </c>
      <c r="S8" s="291" t="str">
        <f>VLOOKUP($Q8,[1]MEP!$A$5:$D$300,3)</f>
        <v>PP excellente 2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1.5</v>
      </c>
      <c r="W8" s="76">
        <f>VLOOKUP($Q8,[1]MEP!$A$4:$K$300,6)</f>
        <v>0</v>
      </c>
      <c r="X8" s="76">
        <f>VLOOKUP($Q8,[1]MEP!$A$4:$K$300,7)</f>
        <v>0.75</v>
      </c>
      <c r="Y8" s="76">
        <f>VLOOKUP($Q8,[1]MEP!$A$4:$K$300,8)</f>
        <v>0.75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16.5</v>
      </c>
      <c r="AF8" s="61">
        <f t="shared" si="1"/>
        <v>0</v>
      </c>
      <c r="AG8" s="61">
        <f t="shared" si="2"/>
        <v>8.25</v>
      </c>
      <c r="AH8" s="61">
        <f t="shared" si="3"/>
        <v>8.25</v>
      </c>
      <c r="AI8" s="61">
        <f t="shared" si="4"/>
        <v>11</v>
      </c>
      <c r="AJ8" s="61">
        <f t="shared" si="5"/>
        <v>0</v>
      </c>
      <c r="AK8" s="141"/>
      <c r="AL8" s="61">
        <f t="shared" si="6"/>
        <v>55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4.747141532608695</v>
      </c>
      <c r="BF8" s="61">
        <f t="shared" si="8"/>
        <v>4.7471415326086959</v>
      </c>
      <c r="BG8" s="61">
        <f t="shared" si="8"/>
        <v>4.7471415326086959</v>
      </c>
      <c r="BH8" s="61">
        <f t="shared" si="8"/>
        <v>4.7471415326086959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18.988566130434783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48.957999999999998</v>
      </c>
      <c r="G9" s="81"/>
      <c r="H9" s="61">
        <f>SUM(L34:L43)</f>
        <v>0</v>
      </c>
      <c r="I9" s="81"/>
      <c r="J9" s="81"/>
      <c r="K9" s="93">
        <f>H9-F9</f>
        <v>-48.957999999999998</v>
      </c>
      <c r="L9" s="81"/>
      <c r="M9" s="100"/>
      <c r="P9">
        <v>3</v>
      </c>
      <c r="Q9" s="39">
        <v>290</v>
      </c>
      <c r="R9" s="39"/>
      <c r="S9" s="291" t="str">
        <f>VLOOKUP($Q9,[1]MEP!$A$5:$D$300,3)</f>
        <v>PP EXCELLENTE 1  COUPE ESTIVALE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3.5</v>
      </c>
      <c r="W9" s="76">
        <f>VLOOKUP($Q9,[1]MEP!$A$4:$K$300,6)</f>
        <v>0</v>
      </c>
      <c r="X9" s="76">
        <f>VLOOKUP($Q9,[1]MEP!$A$4:$K$300,7)</f>
        <v>1</v>
      </c>
      <c r="Y9" s="76">
        <f>VLOOKUP($Q9,[1]MEP!$A$4:$K$300,8)</f>
        <v>0.7</v>
      </c>
      <c r="Z9" s="76">
        <f>VLOOKUP($Q9,[1]MEP!$A$4:$K$300,9)</f>
        <v>0.5</v>
      </c>
      <c r="AA9" s="76">
        <f>VLOOKUP($Q9,[1]MEP!$A$4:$K$300,10)</f>
        <v>0</v>
      </c>
      <c r="AC9" s="76">
        <f>VLOOKUP($Q9,[1]MEP!$A$4:$K$300,11)</f>
        <v>3.8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4.2572804347826088</v>
      </c>
      <c r="BJ9" s="61">
        <f t="shared" si="10"/>
        <v>4.2572804347826088</v>
      </c>
      <c r="BK9" s="61">
        <f t="shared" si="10"/>
        <v>4.4825016507478264</v>
      </c>
      <c r="BL9" s="61">
        <f t="shared" si="10"/>
        <v>6.5412800405217402</v>
      </c>
      <c r="BM9" s="61">
        <f t="shared" si="10"/>
        <v>3.596773356521739</v>
      </c>
      <c r="BN9" s="61">
        <f t="shared" si="10"/>
        <v>3.5981299565217393</v>
      </c>
      <c r="BO9" s="61">
        <f t="shared" si="10"/>
        <v>0</v>
      </c>
      <c r="BP9" s="61">
        <f t="shared" si="10"/>
        <v>0</v>
      </c>
      <c r="BR9" s="61">
        <f t="shared" si="9"/>
        <v>26.733245873878261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11.97</v>
      </c>
      <c r="G10" s="81"/>
      <c r="H10" s="61">
        <f>SUM(M34:M43)</f>
        <v>13</v>
      </c>
      <c r="I10" s="81"/>
      <c r="J10" s="81"/>
      <c r="K10" s="93">
        <f>H10-F10</f>
        <v>1.0299999999999994</v>
      </c>
      <c r="L10" s="81"/>
      <c r="M10" s="100"/>
      <c r="P10">
        <v>4</v>
      </c>
      <c r="Q10" s="39">
        <v>242</v>
      </c>
      <c r="R10" s="39">
        <v>3.3</v>
      </c>
      <c r="S10" s="291" t="str">
        <f>VLOOKUP($Q10,[1]MEP!$A$5:$D$300,3)</f>
        <v>PP bonne 1 coupe estivales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0.75</v>
      </c>
      <c r="Y10" s="76">
        <f>VLOOKUP($Q10,[1]MEP!$A$4:$K$300,8)</f>
        <v>0.75</v>
      </c>
      <c r="Z10" s="76">
        <f>VLOOKUP($Q10,[1]MEP!$A$4:$K$300,9)</f>
        <v>1.06</v>
      </c>
      <c r="AA10" s="76">
        <f>VLOOKUP($Q10,[1]MEP!$A$4:$K$300,10)</f>
        <v>0</v>
      </c>
      <c r="AC10" s="76">
        <f>VLOOKUP($Q10,[1]MEP!$A$4:$K$300,11)</f>
        <v>3.27</v>
      </c>
      <c r="AE10" s="61">
        <f t="shared" si="0"/>
        <v>4.9499999999999993</v>
      </c>
      <c r="AF10" s="61">
        <f t="shared" si="1"/>
        <v>0</v>
      </c>
      <c r="AG10" s="61">
        <f t="shared" si="2"/>
        <v>2.4749999999999996</v>
      </c>
      <c r="AH10" s="61">
        <f t="shared" si="3"/>
        <v>2.4749999999999996</v>
      </c>
      <c r="AI10" s="61">
        <f t="shared" si="4"/>
        <v>3.4979999999999998</v>
      </c>
      <c r="AJ10" s="61">
        <f t="shared" si="5"/>
        <v>0</v>
      </c>
      <c r="AK10" s="141"/>
      <c r="AL10" s="61">
        <f t="shared" si="6"/>
        <v>10.790999999999999</v>
      </c>
      <c r="AQ10" s="32"/>
      <c r="AR10" s="70">
        <v>4</v>
      </c>
      <c r="AS10" s="61">
        <f>IF(AS$4=4,AS$5,0)</f>
        <v>0.93215652173913055</v>
      </c>
      <c r="AT10" s="61">
        <f t="shared" ref="AT10:BP10" si="11">IF(AT$4=4,AT$5,0)</f>
        <v>0.93215652173913055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0.93215652173913055</v>
      </c>
      <c r="BP10" s="61">
        <f t="shared" si="11"/>
        <v>0.93215652173913055</v>
      </c>
      <c r="BR10" s="61">
        <f t="shared" si="9"/>
        <v>3.7286260869565222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239</v>
      </c>
      <c r="R11" s="39">
        <v>1.7</v>
      </c>
      <c r="S11" s="291" t="str">
        <f>VLOOKUP($Q11,[1]MEP!$A$5:$D$300,3)</f>
        <v>PP bonnne P prélèvement étalé</v>
      </c>
      <c r="T11" s="76" t="str">
        <f>VLOOKUP($Q11,[1]MEP!$A$5:$D$300,4)</f>
        <v>zone 1</v>
      </c>
      <c r="U11" s="76" t="str">
        <f>VLOOKUP($Q11,[1]MEP!$A$4:$K$300,2)</f>
        <v>P</v>
      </c>
      <c r="V11" s="76">
        <f>VLOOKUP($Q11,[1]MEP!$A$4:$K$300,5)</f>
        <v>3</v>
      </c>
      <c r="W11" s="76">
        <f>VLOOKUP($Q11,[1]MEP!$A$4:$K$300,6)</f>
        <v>2</v>
      </c>
      <c r="X11" s="76">
        <f>VLOOKUP($Q11,[1]MEP!$A$4:$K$300,7)</f>
        <v>1.5</v>
      </c>
      <c r="Y11" s="76">
        <f>VLOOKUP($Q11,[1]MEP!$A$4:$K$300,8)</f>
        <v>0.5</v>
      </c>
      <c r="Z11" s="76">
        <f>VLOOKUP($Q11,[1]MEP!$A$4:$K$300,9)</f>
        <v>0.5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5.0999999999999996</v>
      </c>
      <c r="AF11" s="61">
        <f t="shared" si="1"/>
        <v>3.4</v>
      </c>
      <c r="AG11" s="61">
        <f t="shared" si="2"/>
        <v>2.5499999999999998</v>
      </c>
      <c r="AH11" s="61">
        <f t="shared" si="3"/>
        <v>0.85</v>
      </c>
      <c r="AI11" s="61">
        <f t="shared" si="4"/>
        <v>0.85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1.1921981217391306</v>
      </c>
      <c r="AV11" s="61">
        <f t="shared" si="12"/>
        <v>1.1921981217391306</v>
      </c>
      <c r="AW11" s="61">
        <f t="shared" si="12"/>
        <v>2.6063096347826087</v>
      </c>
      <c r="AX11" s="61">
        <f t="shared" si="12"/>
        <v>8.0371668233043483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13.027872701565219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 s="3">
        <f>+O8+O30-5</f>
        <v>23</v>
      </c>
      <c r="P12">
        <v>6</v>
      </c>
      <c r="Q12" s="39"/>
      <c r="R12" s="39"/>
      <c r="S12" s="291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9.8000000000000007</v>
      </c>
      <c r="G13" s="81"/>
      <c r="H13" s="61">
        <f>F61</f>
        <v>0</v>
      </c>
      <c r="I13" s="81"/>
      <c r="J13" s="81"/>
      <c r="K13" s="93">
        <f>H13-F13</f>
        <v>-9.8000000000000007</v>
      </c>
      <c r="L13" s="81"/>
      <c r="M13" s="100"/>
      <c r="O13" s="3"/>
      <c r="P13">
        <v>7</v>
      </c>
      <c r="Q13" s="39"/>
      <c r="R13" s="39"/>
      <c r="S13" s="291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3"/>
      <c r="P15">
        <v>9</v>
      </c>
      <c r="Q15" s="39"/>
      <c r="R15" s="39"/>
      <c r="S15" s="29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0.35025029565217397</v>
      </c>
      <c r="AV15" s="13">
        <f>'Conduite Trp'!J5</f>
        <v>0.35025029565217397</v>
      </c>
      <c r="AW15" s="13">
        <f>'Conduite Trp'!K5</f>
        <v>0.38777711304347828</v>
      </c>
      <c r="AX15" s="13">
        <f>'Conduite Trp'!L5</f>
        <v>5.8186343015652184</v>
      </c>
      <c r="AY15" s="13">
        <f>'Conduite Trp'!M5</f>
        <v>8.006711835652176</v>
      </c>
      <c r="AZ15" s="13">
        <f>'Conduite Trp'!N5</f>
        <v>7.9838588504347836</v>
      </c>
      <c r="BA15" s="13">
        <f>'Conduite Trp'!O5</f>
        <v>6.5079109881739141</v>
      </c>
      <c r="BB15" s="13">
        <f>'Conduite Trp'!P5</f>
        <v>5.5896995280000006</v>
      </c>
      <c r="BC15" s="13">
        <f>'Conduite Trp'!Q5</f>
        <v>5.409386640000001</v>
      </c>
      <c r="BD15" s="13">
        <f>'Conduite Trp'!R5</f>
        <v>1.0937804347826088</v>
      </c>
      <c r="BE15" s="13">
        <f>'Conduite Trp'!S5</f>
        <v>1.1302397826086958</v>
      </c>
      <c r="BF15" s="13">
        <f>'Conduite Trp'!T5</f>
        <v>3.4607655326086957</v>
      </c>
      <c r="BG15" s="13">
        <f>'Conduite Trp'!U5</f>
        <v>3.4607655326086957</v>
      </c>
      <c r="BH15" s="13">
        <f>'Conduite Trp'!V5</f>
        <v>3.4607655326086957</v>
      </c>
      <c r="BI15" s="13">
        <f>'Conduite Trp'!W5</f>
        <v>1.0937804347826088</v>
      </c>
      <c r="BJ15" s="13">
        <f>'Conduite Trp'!X5</f>
        <v>1.0937804347826088</v>
      </c>
      <c r="BK15" s="13">
        <f>'Conduite Trp'!Y5</f>
        <v>1.8988649307478269</v>
      </c>
      <c r="BL15" s="13">
        <f>'Conduite Trp'!Z5</f>
        <v>4.2762400787826094</v>
      </c>
      <c r="BM15" s="13">
        <f>'Conduite Trp'!AA5</f>
        <v>1.2967500000000001</v>
      </c>
      <c r="BN15" s="13">
        <f>'Conduite Trp'!AB5</f>
        <v>1.270815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0.93215652173913055</v>
      </c>
      <c r="AT16" s="13">
        <f>'Conduite Trp'!H6</f>
        <v>0.93215652173913055</v>
      </c>
      <c r="AU16" s="13">
        <f>'Conduite Trp'!I6</f>
        <v>0.84194782608695662</v>
      </c>
      <c r="AV16" s="13">
        <f>'Conduite Trp'!J6</f>
        <v>0.84194782608695662</v>
      </c>
      <c r="AW16" s="13">
        <f>'Conduite Trp'!K6</f>
        <v>1.5100935652173912</v>
      </c>
      <c r="AX16" s="13">
        <f>'Conduite Trp'!L6</f>
        <v>1.5100935652173912</v>
      </c>
      <c r="AY16" s="13">
        <f>'Conduite Trp'!M6</f>
        <v>1.4613808695652175</v>
      </c>
      <c r="AZ16" s="13">
        <f>'Conduite Trp'!N6</f>
        <v>1.4613808695652175</v>
      </c>
      <c r="BA16" s="13">
        <f>'Conduite Trp'!O6</f>
        <v>3.6169017499999994</v>
      </c>
      <c r="BB16" s="13">
        <f>'Conduite Trp'!P6</f>
        <v>3.6169017499999994</v>
      </c>
      <c r="BC16" s="13">
        <f>'Conduite Trp'!Q6</f>
        <v>3.5002275000000003</v>
      </c>
      <c r="BD16" s="13">
        <f>'Conduite Trp'!R6</f>
        <v>3.5002275000000003</v>
      </c>
      <c r="BE16" s="13">
        <f>'Conduite Trp'!S6</f>
        <v>3.6169017499999994</v>
      </c>
      <c r="BF16" s="13">
        <f>'Conduite Trp'!T6</f>
        <v>1.286376</v>
      </c>
      <c r="BG16" s="13">
        <f>'Conduite Trp'!U6</f>
        <v>1.286376</v>
      </c>
      <c r="BH16" s="13">
        <f>'Conduite Trp'!V6</f>
        <v>1.286376</v>
      </c>
      <c r="BI16" s="13">
        <f>'Conduite Trp'!W6</f>
        <v>3.1635</v>
      </c>
      <c r="BJ16" s="13">
        <f>'Conduite Trp'!X6</f>
        <v>3.1635</v>
      </c>
      <c r="BK16" s="13">
        <f>'Conduite Trp'!Y6</f>
        <v>0</v>
      </c>
      <c r="BL16" s="13">
        <f>'Conduite Trp'!Z6</f>
        <v>0.22371756521739136</v>
      </c>
      <c r="BM16" s="13">
        <f>'Conduite Trp'!AA6</f>
        <v>1.6144372695652174</v>
      </c>
      <c r="BN16" s="13">
        <f>'Conduite Trp'!AB6</f>
        <v>1.6417288695652175</v>
      </c>
      <c r="BO16" s="13">
        <f>'Conduite Trp'!AC6</f>
        <v>0.22371756521739136</v>
      </c>
      <c r="BP16" s="13">
        <f>'Conduite Trp'!AD6</f>
        <v>0.93215652173913055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0.70843895652173916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0.70843895652173916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2.5836367199999999</v>
      </c>
      <c r="BL17" s="13">
        <f>'Conduite Trp'!Z7</f>
        <v>2.0413223965217391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0.70843895652173916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O19" s="3"/>
      <c r="P19">
        <v>13</v>
      </c>
      <c r="Q19" s="39"/>
      <c r="R19" s="39"/>
      <c r="S19" s="29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8.006711835652176</v>
      </c>
      <c r="AZ19" s="61">
        <f t="shared" si="15"/>
        <v>7.9838588504347836</v>
      </c>
      <c r="BA19" s="61">
        <f t="shared" si="15"/>
        <v>6.5079109881739141</v>
      </c>
      <c r="BB19" s="61">
        <f t="shared" si="15"/>
        <v>5.5896995280000006</v>
      </c>
      <c r="BC19" s="61">
        <f t="shared" si="15"/>
        <v>5.409386640000001</v>
      </c>
      <c r="BD19" s="61">
        <f t="shared" si="15"/>
        <v>1.0937804347826088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34.591348277043487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1.1302397826086958</v>
      </c>
      <c r="BF20" s="61">
        <f t="shared" si="16"/>
        <v>3.4607655326086957</v>
      </c>
      <c r="BG20" s="61">
        <f t="shared" si="16"/>
        <v>3.4607655326086957</v>
      </c>
      <c r="BH20" s="61">
        <f t="shared" si="16"/>
        <v>3.4607655326086957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11.512536380434783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1.0937804347826088</v>
      </c>
      <c r="BJ21" s="61">
        <f t="shared" si="18"/>
        <v>1.0937804347826088</v>
      </c>
      <c r="BK21" s="61">
        <f t="shared" si="18"/>
        <v>1.8988649307478269</v>
      </c>
      <c r="BL21" s="61">
        <f t="shared" si="18"/>
        <v>4.2762400787826094</v>
      </c>
      <c r="BM21" s="61">
        <f t="shared" si="18"/>
        <v>1.2967500000000001</v>
      </c>
      <c r="BN21" s="61">
        <f t="shared" si="18"/>
        <v>1.270815</v>
      </c>
      <c r="BO21" s="61">
        <f t="shared" si="18"/>
        <v>0</v>
      </c>
      <c r="BP21" s="61">
        <f t="shared" si="18"/>
        <v>0</v>
      </c>
      <c r="BR21" s="61">
        <f t="shared" si="17"/>
        <v>10.930230879095655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0.35025029565217397</v>
      </c>
      <c r="AV23" s="61">
        <f t="shared" si="20"/>
        <v>0.35025029565217397</v>
      </c>
      <c r="AW23" s="61">
        <f t="shared" si="20"/>
        <v>0.38777711304347828</v>
      </c>
      <c r="AX23" s="61">
        <f t="shared" si="20"/>
        <v>5.8186343015652184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6.9069120059130444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54.91</v>
      </c>
      <c r="E24" s="61">
        <f t="shared" si="21"/>
        <v>21.175000000000001</v>
      </c>
      <c r="F24" s="61">
        <f t="shared" si="21"/>
        <v>36.465000000000003</v>
      </c>
      <c r="G24" s="61">
        <f t="shared" si="21"/>
        <v>17.056000000000001</v>
      </c>
      <c r="H24" s="61">
        <f t="shared" si="21"/>
        <v>25.509000000000004</v>
      </c>
      <c r="I24" s="61">
        <f t="shared" si="21"/>
        <v>0</v>
      </c>
      <c r="J24" s="63"/>
      <c r="K24" s="61">
        <f>AL27+AL49+AL71</f>
        <v>99.540999999999997</v>
      </c>
      <c r="L24" s="52"/>
      <c r="M24" s="100"/>
      <c r="P24">
        <v>18</v>
      </c>
      <c r="Q24" s="39"/>
      <c r="R24" s="39"/>
      <c r="S24" s="29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53.827979646608711</v>
      </c>
      <c r="E25" s="61">
        <f>BR8</f>
        <v>18.988566130434783</v>
      </c>
      <c r="F25" s="61">
        <f>BR9</f>
        <v>26.733245873878261</v>
      </c>
      <c r="G25" s="61">
        <f>BR10</f>
        <v>3.7286260869565222</v>
      </c>
      <c r="H25" s="61">
        <f>BR11</f>
        <v>13.027872701565219</v>
      </c>
      <c r="I25" s="61">
        <f>BR12</f>
        <v>0</v>
      </c>
      <c r="J25" s="63"/>
      <c r="K25" s="76">
        <f>'Conduite Trp'!C7</f>
        <v>143.69999999999999</v>
      </c>
      <c r="L25" s="63"/>
      <c r="M25" s="100"/>
      <c r="P25">
        <v>19</v>
      </c>
      <c r="Q25" s="39"/>
      <c r="R25" s="39"/>
      <c r="S25" s="29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1.082020353391286</v>
      </c>
      <c r="E27" s="93">
        <f t="shared" si="23"/>
        <v>2.1864338695652172</v>
      </c>
      <c r="F27" s="93">
        <f t="shared" si="23"/>
        <v>9.7317541261217428</v>
      </c>
      <c r="G27" s="93">
        <f t="shared" si="23"/>
        <v>13.327373913043479</v>
      </c>
      <c r="H27" s="93">
        <f t="shared" si="23"/>
        <v>12.481127298434785</v>
      </c>
      <c r="I27" s="93">
        <f t="shared" si="23"/>
        <v>0</v>
      </c>
      <c r="J27" s="63"/>
      <c r="K27" s="93">
        <f>K24-K25</f>
        <v>-44.158999999999992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35.46</v>
      </c>
      <c r="AF27" s="75">
        <f t="shared" ref="AF27:AJ27" si="24">SUM(AF7:AF26)</f>
        <v>11.500000000000002</v>
      </c>
      <c r="AG27" s="75">
        <f t="shared" si="24"/>
        <v>19.485000000000003</v>
      </c>
      <c r="AH27" s="75">
        <f t="shared" si="24"/>
        <v>12.924999999999999</v>
      </c>
      <c r="AI27" s="75">
        <f t="shared" si="24"/>
        <v>17.238000000000003</v>
      </c>
      <c r="AJ27" s="75">
        <f t="shared" si="24"/>
        <v>0</v>
      </c>
      <c r="AK27"/>
      <c r="AL27" s="75">
        <f>SUM(AL7:AL26)</f>
        <v>65.790999999999997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1.4613808695652175</v>
      </c>
      <c r="AZ27" s="61">
        <f t="shared" si="25"/>
        <v>1.4613808695652175</v>
      </c>
      <c r="BA27" s="61">
        <f t="shared" si="25"/>
        <v>3.6169017499999994</v>
      </c>
      <c r="BB27" s="61">
        <f t="shared" si="25"/>
        <v>3.6169017499999994</v>
      </c>
      <c r="BC27" s="61">
        <f t="shared" si="25"/>
        <v>3.5002275000000003</v>
      </c>
      <c r="BD27" s="61">
        <f t="shared" si="25"/>
        <v>3.5002275000000003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17.157020239130436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3.6169017499999994</v>
      </c>
      <c r="BF28" s="61">
        <f t="shared" si="26"/>
        <v>1.286376</v>
      </c>
      <c r="BG28" s="61">
        <f t="shared" si="26"/>
        <v>1.286376</v>
      </c>
      <c r="BH28" s="61">
        <f t="shared" si="26"/>
        <v>1.286376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7.4760297499999986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9.3000000000000007</v>
      </c>
      <c r="P29">
        <v>1</v>
      </c>
      <c r="Q29" s="39">
        <v>239</v>
      </c>
      <c r="R29" s="39">
        <v>4.3</v>
      </c>
      <c r="S29" s="291" t="str">
        <f>VLOOKUP($Q29,[1]MEP!$A$5:$D$300,3)</f>
        <v>PP bonnne P prélèvement étalé</v>
      </c>
      <c r="T29" s="76" t="str">
        <f>VLOOKUP($Q29,[1]MEP!$A$5:$D$300,4)</f>
        <v>zone 1</v>
      </c>
      <c r="U29" s="76" t="str">
        <f>VLOOKUP($Q29,[1]MEP!$A$4:$K$300,2)</f>
        <v>P</v>
      </c>
      <c r="V29" s="76">
        <f>VLOOKUP($Q29,[1]MEP!$A$4:$K$300,5)</f>
        <v>3</v>
      </c>
      <c r="W29" s="76">
        <f>VLOOKUP($Q29,[1]MEP!$A$4:$K$300,6)</f>
        <v>2</v>
      </c>
      <c r="X29" s="76">
        <f>VLOOKUP($Q29,[1]MEP!$A$4:$K$300,7)</f>
        <v>1.5</v>
      </c>
      <c r="Y29" s="76">
        <f>VLOOKUP($Q29,[1]MEP!$A$4:$K$300,8)</f>
        <v>0.5</v>
      </c>
      <c r="Z29" s="76">
        <f>VLOOKUP($Q29,[1]MEP!$A$4:$K$300,9)</f>
        <v>0.5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12.899999999999999</v>
      </c>
      <c r="AF29" s="61">
        <f t="shared" ref="AF29:AF48" si="29">$R29*W29</f>
        <v>8.6</v>
      </c>
      <c r="AG29" s="61">
        <f t="shared" ref="AG29:AG48" si="30">$R29*X29</f>
        <v>6.4499999999999993</v>
      </c>
      <c r="AH29" s="61">
        <f t="shared" ref="AH29:AH48" si="31">$R29*Y29</f>
        <v>2.15</v>
      </c>
      <c r="AI29" s="61">
        <f t="shared" ref="AI29:AI48" si="32">$R29*Z29</f>
        <v>2.15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3.1635</v>
      </c>
      <c r="BJ29" s="61">
        <f t="shared" si="35"/>
        <v>3.1635</v>
      </c>
      <c r="BK29" s="61">
        <f t="shared" si="35"/>
        <v>0</v>
      </c>
      <c r="BL29" s="61">
        <f t="shared" si="35"/>
        <v>0.22371756521739136</v>
      </c>
      <c r="BM29" s="61">
        <f t="shared" si="35"/>
        <v>1.6144372695652174</v>
      </c>
      <c r="BN29" s="61">
        <f t="shared" si="35"/>
        <v>1.6417288695652175</v>
      </c>
      <c r="BO29" s="61">
        <f t="shared" si="35"/>
        <v>0</v>
      </c>
      <c r="BP29" s="61">
        <f t="shared" si="35"/>
        <v>0</v>
      </c>
      <c r="BR29" s="61">
        <f t="shared" si="27"/>
        <v>9.8068837043478254</v>
      </c>
    </row>
    <row r="30" spans="2:72" ht="15" customHeight="1" x14ac:dyDescent="0.25">
      <c r="N30" s="17" t="s">
        <v>89</v>
      </c>
      <c r="O30" s="286">
        <f>SUM(R29:R48)</f>
        <v>9.3000000000000007</v>
      </c>
      <c r="P30">
        <v>2</v>
      </c>
      <c r="Q30" s="39">
        <v>242</v>
      </c>
      <c r="R30" s="39"/>
      <c r="S30" s="291" t="str">
        <f>VLOOKUP($Q30,[1]MEP!$A$5:$D$300,3)</f>
        <v>PP bonne 1 coupe estivales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1.5</v>
      </c>
      <c r="W30" s="76">
        <f>VLOOKUP($Q30,[1]MEP!$A$4:$K$300,6)</f>
        <v>0</v>
      </c>
      <c r="X30" s="76">
        <f>VLOOKUP($Q30,[1]MEP!$A$4:$K$300,7)</f>
        <v>0.75</v>
      </c>
      <c r="Y30" s="76">
        <f>VLOOKUP($Q30,[1]MEP!$A$4:$K$300,8)</f>
        <v>0.75</v>
      </c>
      <c r="Z30" s="76">
        <f>VLOOKUP($Q30,[1]MEP!$A$4:$K$300,9)</f>
        <v>1.06</v>
      </c>
      <c r="AA30" s="76">
        <f>VLOOKUP($Q30,[1]MEP!$A$4:$K$300,10)</f>
        <v>0</v>
      </c>
      <c r="AC30" s="76">
        <f>VLOOKUP($Q30,[1]MEP!$A$4:$K$300,11)</f>
        <v>3.27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0.93215652173913055</v>
      </c>
      <c r="AT30" s="61">
        <f t="shared" ref="AT30:BP30" si="36">IF(AT$4=4,AT$16,0)</f>
        <v>0.93215652173913055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0.22371756521739136</v>
      </c>
      <c r="BP30" s="61">
        <f t="shared" si="36"/>
        <v>0.93215652173913055</v>
      </c>
      <c r="BR30" s="61">
        <f t="shared" si="27"/>
        <v>3.0201871304347829</v>
      </c>
    </row>
    <row r="31" spans="2:72" ht="15" customHeight="1" x14ac:dyDescent="0.25">
      <c r="D31" s="43" t="s">
        <v>311</v>
      </c>
      <c r="P31">
        <v>3</v>
      </c>
      <c r="Q31" s="39">
        <v>194</v>
      </c>
      <c r="R31" s="39">
        <v>5</v>
      </c>
      <c r="S31" s="291" t="str">
        <f>VLOOKUP($Q31,[1]MEP!$A$5:$D$300,3)</f>
        <v>PT Excellente 2 coupes avec deprimage</v>
      </c>
      <c r="T31" s="76" t="str">
        <f>VLOOKUP($Q31,[1]MEP!$A$5:$D$300,4)</f>
        <v>zone 1</v>
      </c>
      <c r="U31" s="76" t="str">
        <f>VLOOKUP($Q31,[1]MEP!$A$4:$K$300,2)</f>
        <v>F/P</v>
      </c>
      <c r="V31" s="76">
        <f>VLOOKUP($Q31,[1]MEP!$A$4:$K$300,5)</f>
        <v>0.88000000000000012</v>
      </c>
      <c r="W31" s="76">
        <f>VLOOKUP($Q31,[1]MEP!$A$4:$K$300,6)</f>
        <v>0</v>
      </c>
      <c r="X31" s="76">
        <f>VLOOKUP($Q31,[1]MEP!$A$4:$K$300,7)</f>
        <v>0.82799999999999996</v>
      </c>
      <c r="Y31" s="76">
        <f>VLOOKUP($Q31,[1]MEP!$A$4:$K$300,8)</f>
        <v>0.20699999999999999</v>
      </c>
      <c r="Z31" s="76">
        <f>VLOOKUP($Q31,[1]MEP!$A$4:$K$300,9)</f>
        <v>1.0349999999999999</v>
      </c>
      <c r="AA31" s="76">
        <f>VLOOKUP($Q31,[1]MEP!$A$4:$K$300,10)</f>
        <v>0</v>
      </c>
      <c r="AC31" s="76">
        <f>VLOOKUP($Q31,[1]MEP!$A$4:$K$300,11)</f>
        <v>6.75</v>
      </c>
      <c r="AE31" s="61">
        <f t="shared" si="28"/>
        <v>4.4000000000000004</v>
      </c>
      <c r="AF31" s="61">
        <f t="shared" si="29"/>
        <v>0</v>
      </c>
      <c r="AG31" s="61">
        <f t="shared" si="30"/>
        <v>4.1399999999999997</v>
      </c>
      <c r="AH31" s="61">
        <f t="shared" si="31"/>
        <v>1.0349999999999999</v>
      </c>
      <c r="AI31" s="61">
        <f t="shared" si="32"/>
        <v>5.1749999999999998</v>
      </c>
      <c r="AJ31" s="61">
        <f t="shared" si="33"/>
        <v>0</v>
      </c>
      <c r="AK31"/>
      <c r="AL31" s="61">
        <f t="shared" si="34"/>
        <v>33.75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0.84194782608695662</v>
      </c>
      <c r="AV31" s="61">
        <f t="shared" si="37"/>
        <v>0.84194782608695662</v>
      </c>
      <c r="AW31" s="61">
        <f t="shared" si="37"/>
        <v>1.5100935652173912</v>
      </c>
      <c r="AX31" s="61">
        <f t="shared" si="37"/>
        <v>1.5100935652173912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4.7040827826086957</v>
      </c>
    </row>
    <row r="32" spans="2:72" x14ac:dyDescent="0.25">
      <c r="D32" s="68" t="s">
        <v>267</v>
      </c>
      <c r="E32" s="68" t="s">
        <v>18</v>
      </c>
      <c r="F32" s="296" t="s">
        <v>276</v>
      </c>
      <c r="G32" s="296"/>
      <c r="H32" s="82"/>
      <c r="I32" s="68" t="s">
        <v>280</v>
      </c>
      <c r="J32" s="82" t="s">
        <v>280</v>
      </c>
      <c r="K32" s="296" t="s">
        <v>278</v>
      </c>
      <c r="L32" s="296"/>
      <c r="M32" s="82"/>
      <c r="P32">
        <v>4</v>
      </c>
      <c r="Q32" s="39"/>
      <c r="R32" s="39"/>
      <c r="S32" s="29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9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1 </v>
      </c>
      <c r="D34" s="39">
        <v>6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13</v>
      </c>
      <c r="P34">
        <v>6</v>
      </c>
      <c r="Q34" s="39"/>
      <c r="R34" s="39"/>
      <c r="S34" s="29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0.6855860869565219</v>
      </c>
      <c r="AZ35" s="61">
        <f t="shared" si="43"/>
        <v>0.6855860869565219</v>
      </c>
      <c r="BA35" s="61">
        <f t="shared" si="43"/>
        <v>0.70843895652173916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2.0796111304347829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9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2.5836367199999999</v>
      </c>
      <c r="BL37" s="61">
        <f t="shared" si="46"/>
        <v>2.0413223965217391</v>
      </c>
      <c r="BM37" s="61">
        <f t="shared" si="46"/>
        <v>0.6855860869565219</v>
      </c>
      <c r="BN37" s="61">
        <f t="shared" si="46"/>
        <v>0.6855860869565219</v>
      </c>
      <c r="BO37" s="61">
        <f t="shared" si="46"/>
        <v>0</v>
      </c>
      <c r="BP37" s="61">
        <f t="shared" si="46"/>
        <v>0</v>
      </c>
      <c r="BR37" s="61">
        <f t="shared" si="45"/>
        <v>5.9961312904347821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0.70843895652173916</v>
      </c>
      <c r="BP38" s="61">
        <f t="shared" si="47"/>
        <v>0</v>
      </c>
      <c r="BR38" s="61">
        <f t="shared" si="45"/>
        <v>0.70843895652173916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0.70843895652173916</v>
      </c>
      <c r="AX39" s="61">
        <f t="shared" si="48"/>
        <v>0.70843895652173916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1.4168779130434783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17.299999999999997</v>
      </c>
      <c r="AF49" s="75">
        <f t="shared" ref="AF49" si="50">SUM(AF29:AF48)</f>
        <v>8.6</v>
      </c>
      <c r="AG49" s="75">
        <f t="shared" ref="AG49" si="51">SUM(AG29:AG48)</f>
        <v>10.59</v>
      </c>
      <c r="AH49" s="75">
        <f t="shared" ref="AH49" si="52">SUM(AH29:AH48)</f>
        <v>3.1849999999999996</v>
      </c>
      <c r="AI49" s="75">
        <f t="shared" ref="AI49" si="53">SUM(AI29:AI48)</f>
        <v>7.3249999999999993</v>
      </c>
      <c r="AJ49" s="75">
        <f t="shared" ref="AJ49" si="54">SUM(AJ29:AJ48)</f>
        <v>0</v>
      </c>
      <c r="AK49"/>
      <c r="AL49" s="75">
        <f>SUM(AL29:AL48)</f>
        <v>33.75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11.1</v>
      </c>
      <c r="P51">
        <v>1</v>
      </c>
      <c r="Q51" s="39">
        <v>17</v>
      </c>
      <c r="R51" s="39">
        <v>4.3</v>
      </c>
      <c r="S51" s="291" t="str">
        <f>VLOOKUP($Q51,[1]MEP!$A$5:$D$300,3)</f>
        <v>landes privées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0.25</v>
      </c>
      <c r="X51" s="76">
        <f>VLOOKUP($Q51,[1]MEP!$A$4:$K$300,7)</f>
        <v>0.3</v>
      </c>
      <c r="Y51" s="76">
        <f>VLOOKUP($Q51,[1]MEP!$A$4:$K$300,8)</f>
        <v>0.22</v>
      </c>
      <c r="Z51" s="76">
        <f>VLOOKUP($Q51,[1]MEP!$A$4:$K$300,9)</f>
        <v>0.22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2.15</v>
      </c>
      <c r="AF51" s="61">
        <f t="shared" ref="AF51:AF70" si="61">$R51*W51</f>
        <v>1.075</v>
      </c>
      <c r="AG51" s="61">
        <f t="shared" ref="AG51:AG70" si="62">$R51*X51</f>
        <v>1.2899999999999998</v>
      </c>
      <c r="AH51" s="61">
        <f t="shared" ref="AH51:AH70" si="63">$R51*Y51</f>
        <v>0.94599999999999995</v>
      </c>
      <c r="AI51" s="61">
        <f t="shared" ref="AI51:AI70" si="64">$R51*Z51</f>
        <v>0.94599999999999995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11.1</v>
      </c>
      <c r="P52">
        <v>2</v>
      </c>
      <c r="Q52" s="39">
        <v>172</v>
      </c>
      <c r="R52" s="39">
        <v>6.8</v>
      </c>
      <c r="S52" s="291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5.0999999999999996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2.15</v>
      </c>
      <c r="AF71" s="75">
        <f t="shared" si="68"/>
        <v>1.075</v>
      </c>
      <c r="AG71" s="75">
        <f t="shared" si="68"/>
        <v>6.39</v>
      </c>
      <c r="AH71" s="75">
        <f t="shared" si="68"/>
        <v>0.94599999999999995</v>
      </c>
      <c r="AI71" s="75">
        <f t="shared" si="68"/>
        <v>0.94599999999999995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35.46</v>
      </c>
      <c r="E72" s="61">
        <f t="shared" ref="E72:H72" si="69">AF27</f>
        <v>11.500000000000002</v>
      </c>
      <c r="F72" s="61">
        <f t="shared" si="69"/>
        <v>19.485000000000003</v>
      </c>
      <c r="G72" s="61">
        <f t="shared" si="69"/>
        <v>12.924999999999999</v>
      </c>
      <c r="H72" s="61">
        <f t="shared" si="69"/>
        <v>17.238000000000003</v>
      </c>
      <c r="I72" s="61">
        <f t="shared" ref="I72" si="70">AJ75+AJ97+AJ119</f>
        <v>0</v>
      </c>
      <c r="J72" s="63"/>
      <c r="K72" s="61">
        <f>+K24</f>
        <v>99.540999999999997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34.591348277043487</v>
      </c>
      <c r="E73" s="61">
        <f>BR20</f>
        <v>11.512536380434783</v>
      </c>
      <c r="F73" s="61">
        <f>BR21</f>
        <v>10.930230879095655</v>
      </c>
      <c r="G73" s="61">
        <f>BR22</f>
        <v>0</v>
      </c>
      <c r="H73" s="61">
        <f>BR23</f>
        <v>6.9069120059130444</v>
      </c>
      <c r="I73" s="61">
        <f>BR60</f>
        <v>0</v>
      </c>
      <c r="J73" s="63"/>
      <c r="K73" s="76">
        <f>+K25</f>
        <v>143.69999999999999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0.86865172295651405</v>
      </c>
      <c r="E75" s="93">
        <f t="shared" ref="E75:I75" si="71">E72-E73</f>
        <v>-1.2536380434781336E-2</v>
      </c>
      <c r="F75" s="93">
        <f t="shared" si="71"/>
        <v>8.5547691209043482</v>
      </c>
      <c r="G75" s="93">
        <f t="shared" si="71"/>
        <v>12.924999999999999</v>
      </c>
      <c r="H75" s="93">
        <f t="shared" si="71"/>
        <v>10.331087994086959</v>
      </c>
      <c r="I75" s="93">
        <f t="shared" si="71"/>
        <v>0</v>
      </c>
      <c r="J75" s="63"/>
      <c r="K75" s="93">
        <f>+K27</f>
        <v>-44.158999999999992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17.299999999999997</v>
      </c>
      <c r="E82" s="61">
        <f t="shared" ref="E82:H82" si="72">AF49</f>
        <v>8.6</v>
      </c>
      <c r="F82" s="61">
        <f t="shared" si="72"/>
        <v>10.59</v>
      </c>
      <c r="G82" s="61">
        <f t="shared" si="72"/>
        <v>3.1849999999999996</v>
      </c>
      <c r="H82" s="61">
        <f t="shared" si="72"/>
        <v>7.3249999999999993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17.157020239130436</v>
      </c>
      <c r="E83" s="61">
        <f>BR28</f>
        <v>7.4760297499999986</v>
      </c>
      <c r="F83" s="61">
        <f>BR29</f>
        <v>9.8068837043478254</v>
      </c>
      <c r="G83" s="61">
        <f>BR30</f>
        <v>3.0201871304347829</v>
      </c>
      <c r="H83" s="61">
        <f>BR31</f>
        <v>4.7040827826086957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0.14297976086956155</v>
      </c>
      <c r="E85" s="93">
        <f t="shared" ref="E85:H85" si="73">E82-E83</f>
        <v>1.1239702500000011</v>
      </c>
      <c r="F85" s="93">
        <f t="shared" si="73"/>
        <v>0.78311629565217444</v>
      </c>
      <c r="G85" s="93">
        <f t="shared" si="73"/>
        <v>0.16481286956521668</v>
      </c>
      <c r="H85" s="93">
        <f t="shared" si="73"/>
        <v>2.6209172173913036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2.15</v>
      </c>
      <c r="E92" s="61">
        <f t="shared" ref="E92:I92" si="74">AF71</f>
        <v>1.075</v>
      </c>
      <c r="F92" s="61">
        <f t="shared" si="74"/>
        <v>6.39</v>
      </c>
      <c r="G92" s="61">
        <f t="shared" si="74"/>
        <v>0.94599999999999995</v>
      </c>
      <c r="H92" s="61">
        <f t="shared" si="74"/>
        <v>0.94599999999999995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2.0796111304347829</v>
      </c>
      <c r="E93" s="61">
        <f>BR36</f>
        <v>0</v>
      </c>
      <c r="F93" s="61">
        <f>BR37</f>
        <v>5.9961312904347821</v>
      </c>
      <c r="G93" s="61">
        <f>BR38</f>
        <v>0.70843895652173916</v>
      </c>
      <c r="H93" s="61">
        <f>BR39</f>
        <v>1.4168779130434783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7.038886956521706E-2</v>
      </c>
      <c r="E95" s="93">
        <f t="shared" ref="E95:H95" si="75">E92-E93</f>
        <v>1.075</v>
      </c>
      <c r="F95" s="93">
        <f t="shared" si="75"/>
        <v>0.39386870956521758</v>
      </c>
      <c r="G95" s="93">
        <f t="shared" si="75"/>
        <v>0.23756104347826079</v>
      </c>
      <c r="H95" s="93">
        <f t="shared" si="75"/>
        <v>-0.47087791304347837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B22" sqref="B22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3" t="s">
        <v>1446</v>
      </c>
      <c r="B3" s="293" t="s">
        <v>1442</v>
      </c>
    </row>
    <row r="4" spans="1:5" x14ac:dyDescent="0.25">
      <c r="A4" s="293" t="s">
        <v>1445</v>
      </c>
      <c r="B4" t="s">
        <v>487</v>
      </c>
      <c r="C4" t="s">
        <v>450</v>
      </c>
      <c r="D4" t="s">
        <v>1443</v>
      </c>
      <c r="E4" t="s">
        <v>1444</v>
      </c>
    </row>
    <row r="5" spans="1:5" x14ac:dyDescent="0.25">
      <c r="A5" s="15">
        <v>17</v>
      </c>
      <c r="B5" s="294"/>
      <c r="C5" s="294">
        <v>4.3</v>
      </c>
      <c r="D5" s="294"/>
      <c r="E5" s="294">
        <v>4.3</v>
      </c>
    </row>
    <row r="6" spans="1:5" x14ac:dyDescent="0.25">
      <c r="A6" s="15">
        <v>172</v>
      </c>
      <c r="B6" s="294">
        <v>6.8</v>
      </c>
      <c r="C6" s="294"/>
      <c r="D6" s="294"/>
      <c r="E6" s="294">
        <v>6.8</v>
      </c>
    </row>
    <row r="7" spans="1:5" x14ac:dyDescent="0.25">
      <c r="A7" s="15">
        <v>239</v>
      </c>
      <c r="B7" s="294">
        <v>2.8000000000000003</v>
      </c>
      <c r="C7" s="294"/>
      <c r="D7" s="294"/>
      <c r="E7" s="294">
        <v>2.8000000000000003</v>
      </c>
    </row>
    <row r="8" spans="1:5" x14ac:dyDescent="0.25">
      <c r="A8" s="15">
        <v>266</v>
      </c>
      <c r="B8" s="294"/>
      <c r="C8" s="294">
        <v>1.7</v>
      </c>
      <c r="D8" s="294"/>
      <c r="E8" s="294">
        <v>1.7</v>
      </c>
    </row>
    <row r="9" spans="1:5" x14ac:dyDescent="0.25">
      <c r="A9" s="15" t="s">
        <v>1443</v>
      </c>
      <c r="B9" s="294"/>
      <c r="C9" s="294"/>
      <c r="D9" s="294"/>
      <c r="E9" s="294"/>
    </row>
    <row r="10" spans="1:5" x14ac:dyDescent="0.25">
      <c r="A10" s="15">
        <v>290</v>
      </c>
      <c r="B10" s="294"/>
      <c r="C10" s="294">
        <v>1</v>
      </c>
      <c r="D10" s="294"/>
      <c r="E10" s="294">
        <v>1</v>
      </c>
    </row>
    <row r="11" spans="1:5" x14ac:dyDescent="0.25">
      <c r="A11" s="15">
        <v>194</v>
      </c>
      <c r="B11" s="294">
        <v>5</v>
      </c>
      <c r="C11" s="294"/>
      <c r="D11" s="294"/>
      <c r="E11" s="294">
        <v>5</v>
      </c>
    </row>
    <row r="12" spans="1:5" x14ac:dyDescent="0.25">
      <c r="A12" s="15">
        <v>242</v>
      </c>
      <c r="B12" s="294">
        <v>1.5</v>
      </c>
      <c r="C12" s="294">
        <v>5</v>
      </c>
      <c r="D12" s="294"/>
      <c r="E12" s="294">
        <v>6.5</v>
      </c>
    </row>
    <row r="13" spans="1:5" x14ac:dyDescent="0.25">
      <c r="A13" s="15">
        <v>241</v>
      </c>
      <c r="B13" s="294"/>
      <c r="C13" s="294">
        <v>11</v>
      </c>
      <c r="D13" s="294"/>
      <c r="E13" s="294">
        <v>11</v>
      </c>
    </row>
    <row r="14" spans="1:5" x14ac:dyDescent="0.25">
      <c r="A14" s="15" t="s">
        <v>543</v>
      </c>
      <c r="B14" s="294">
        <v>1</v>
      </c>
      <c r="C14" s="294"/>
      <c r="D14" s="294"/>
      <c r="E14" s="294">
        <v>1</v>
      </c>
    </row>
    <row r="15" spans="1:5" x14ac:dyDescent="0.25">
      <c r="A15" s="15" t="s">
        <v>1444</v>
      </c>
      <c r="B15" s="294">
        <v>17.100000000000001</v>
      </c>
      <c r="C15" s="294">
        <v>23</v>
      </c>
      <c r="D15" s="294"/>
      <c r="E15" s="294">
        <v>40.1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zoomScale="80" workbookViewId="0">
      <selection activeCell="O17" sqref="O16:Q17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487</v>
      </c>
      <c r="E2" s="9">
        <v>3</v>
      </c>
      <c r="F2" s="9">
        <v>239</v>
      </c>
      <c r="G2" s="292">
        <v>0.8</v>
      </c>
      <c r="H2" s="292"/>
      <c r="I2" s="9">
        <v>2</v>
      </c>
      <c r="J2" s="9">
        <v>0.5</v>
      </c>
      <c r="K2" s="8">
        <f>IF(B2=2,0,IF(I2=$Y$11,G2*$AB$11,IF(I2=$Y$12,G2*$AB$12,IF(I2=$Y$13,G2*$AB$13,""))))</f>
        <v>0.8</v>
      </c>
      <c r="L2" s="8">
        <f t="shared" ref="L2:L33" si="0">IF(J2=$Y$6,K2*$AA$6,IF(J2=$Y$7,K2*$AA$7,IF(J2=$Y$8,K2*$AA$8,"")))</f>
        <v>0.88000000000000012</v>
      </c>
      <c r="M2" s="10">
        <f>IF(I2=$Y$11,SQRT(L2*10000),SQRT(Parcellaire!L2*10000)/$AC$12)</f>
        <v>66.332495807108003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298.49623113198606</v>
      </c>
      <c r="U2" s="10">
        <f t="shared" ref="U2:U39" si="5">IF(C2=2,Q2*M2,0)</f>
        <v>198.99748742132402</v>
      </c>
      <c r="V2" s="27">
        <f t="shared" ref="V2:V39" si="6">O2*M2</f>
        <v>397.99497484264805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487</v>
      </c>
      <c r="E3" s="9">
        <v>3</v>
      </c>
      <c r="F3" s="9">
        <v>239</v>
      </c>
      <c r="G3" s="292">
        <v>0.9</v>
      </c>
      <c r="H3" s="292"/>
      <c r="I3" s="9">
        <v>3</v>
      </c>
      <c r="J3" s="9">
        <v>0.5</v>
      </c>
      <c r="K3" s="8">
        <f t="shared" ref="K3:K24" si="7">IF(B3=2,0,IF(I3=$Y$11,G3*$AB$11,IF(I3=$Y$12,G3*$AB$12,IF(I3=$Y$13,G3*$AB$13,""))))</f>
        <v>0.9900000000000001</v>
      </c>
      <c r="L3" s="8">
        <f t="shared" ref="L3:L24" si="8">IF(J3=$Y$6,K3*$AA$6,IF(J3=$Y$7,K3*$AA$7,IF(J3=$Y$8,K3*$AA$8,"")))</f>
        <v>1.0890000000000002</v>
      </c>
      <c r="M3" s="10">
        <f>IF(I3=$Y$11,SQRT(L3*10000),SQRT(Parcellaire!L3*10000)/$AC$12)</f>
        <v>73.79024325749306</v>
      </c>
      <c r="N3" s="10">
        <f t="shared" ref="N3:N24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332.05609465871879</v>
      </c>
      <c r="U3" s="10">
        <f>IF(C3=2,Q3*M3,0)</f>
        <v>221.37072977247919</v>
      </c>
      <c r="V3" s="27">
        <f t="shared" si="6"/>
        <v>442.74145954495839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487</v>
      </c>
      <c r="E4" s="9" t="s">
        <v>543</v>
      </c>
      <c r="F4" s="9"/>
      <c r="G4" s="292">
        <v>1</v>
      </c>
      <c r="H4" s="292"/>
      <c r="I4" s="9">
        <v>2</v>
      </c>
      <c r="J4" s="9">
        <v>0</v>
      </c>
      <c r="K4" s="8">
        <f t="shared" si="7"/>
        <v>0</v>
      </c>
      <c r="L4" s="8">
        <f t="shared" si="8"/>
        <v>0</v>
      </c>
      <c r="M4" s="10">
        <f>IF(I4=$Y$11,SQRT(L4*10000),SQRT(Parcellaire!L4*10000)/$AC$12)</f>
        <v>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0</v>
      </c>
      <c r="U4" s="10">
        <f>IF(C4=2,Q4*M4,0)</f>
        <v>0</v>
      </c>
      <c r="V4" s="27">
        <f t="shared" si="6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9"/>
      <c r="G5" s="292"/>
      <c r="H5" s="292"/>
      <c r="I5" s="9"/>
      <c r="J5" s="9"/>
      <c r="K5" s="8" t="str">
        <f t="shared" si="7"/>
        <v/>
      </c>
      <c r="L5" s="8" t="e">
        <f t="shared" si="8"/>
        <v>#VALUE!</v>
      </c>
      <c r="M5" s="10" t="e">
        <f>IF(I5=$Y$11,SQRT(L5*10000),SQRT(Parcellaire!L5*10000)/$AC$12)</f>
        <v>#VALUE!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 t="e">
        <f t="shared" si="4"/>
        <v>#VALUE!</v>
      </c>
      <c r="U5" s="10">
        <f t="shared" si="5"/>
        <v>0</v>
      </c>
      <c r="V5" s="27" t="e">
        <f t="shared" si="6"/>
        <v>#VALUE!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487</v>
      </c>
      <c r="E6" s="9">
        <v>2</v>
      </c>
      <c r="F6" s="9">
        <v>239</v>
      </c>
      <c r="G6" s="292">
        <v>1.1000000000000001</v>
      </c>
      <c r="H6" s="292"/>
      <c r="I6" s="9">
        <v>3</v>
      </c>
      <c r="J6" s="9">
        <v>0.5</v>
      </c>
      <c r="K6" s="8">
        <f t="shared" si="7"/>
        <v>1.2100000000000002</v>
      </c>
      <c r="L6" s="8">
        <f t="shared" si="8"/>
        <v>1.3310000000000004</v>
      </c>
      <c r="M6" s="10">
        <f>IF(I6=$Y$11,SQRT(L6*10000),SQRT(Parcellaire!L6*10000)/$AC$12)</f>
        <v>81.5781833580523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367.10182511123537</v>
      </c>
      <c r="U6" s="10">
        <f t="shared" si="5"/>
        <v>244.73455007415691</v>
      </c>
      <c r="V6" s="27">
        <f t="shared" si="6"/>
        <v>489.46910014831383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487</v>
      </c>
      <c r="E7" s="9">
        <v>3</v>
      </c>
      <c r="F7" s="9">
        <v>242</v>
      </c>
      <c r="G7" s="292">
        <v>1.5</v>
      </c>
      <c r="H7" s="292"/>
      <c r="I7" s="9">
        <v>3</v>
      </c>
      <c r="J7" s="9">
        <v>0.5</v>
      </c>
      <c r="K7" s="8">
        <f t="shared" si="7"/>
        <v>1.6500000000000001</v>
      </c>
      <c r="L7" s="8">
        <f t="shared" si="8"/>
        <v>1.8150000000000004</v>
      </c>
      <c r="M7" s="10">
        <f>IF(I7=$Y$11,SQRT(L7*10000),SQRT(Parcellaire!L7*10000)/$AC$12)</f>
        <v>95.262794416288244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428.68257487329714</v>
      </c>
      <c r="U7" s="10">
        <f t="shared" si="5"/>
        <v>285.78838324886476</v>
      </c>
      <c r="V7" s="27">
        <f t="shared" si="6"/>
        <v>571.57676649772952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450</v>
      </c>
      <c r="E8" s="9">
        <v>3</v>
      </c>
      <c r="F8" s="9">
        <v>242</v>
      </c>
      <c r="G8" s="292">
        <v>2</v>
      </c>
      <c r="H8" s="292"/>
      <c r="I8" s="9">
        <v>3</v>
      </c>
      <c r="J8" s="9">
        <v>0.5</v>
      </c>
      <c r="K8" s="8">
        <f t="shared" si="7"/>
        <v>2.2000000000000002</v>
      </c>
      <c r="L8" s="8">
        <f t="shared" si="8"/>
        <v>2.4200000000000004</v>
      </c>
      <c r="M8" s="10">
        <f>IF(I8=$Y$11,SQRT(L8*10000),SQRT(Parcellaire!L8*10000)/$AC$12)</f>
        <v>110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495</v>
      </c>
      <c r="U8" s="10">
        <f t="shared" ref="U8:U9" si="13">IF(C8=2,Q8*M8,0)</f>
        <v>330</v>
      </c>
      <c r="V8" s="27">
        <f t="shared" ref="V8:V9" si="14">O8*M8</f>
        <v>660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450</v>
      </c>
      <c r="E9" s="9">
        <v>3</v>
      </c>
      <c r="F9" s="9">
        <v>266</v>
      </c>
      <c r="G9" s="292">
        <v>0.7</v>
      </c>
      <c r="H9" s="292"/>
      <c r="I9" s="9">
        <v>3</v>
      </c>
      <c r="J9" s="9">
        <v>0.5</v>
      </c>
      <c r="K9" s="8">
        <f t="shared" si="7"/>
        <v>0.77</v>
      </c>
      <c r="L9" s="8">
        <f t="shared" si="8"/>
        <v>0.84700000000000009</v>
      </c>
      <c r="M9" s="10">
        <f>IF(I9=$Y$11,SQRT(L9*10000),SQRT(Parcellaire!L9*10000)/$AC$12)</f>
        <v>65.076877614095778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292.84594926343095</v>
      </c>
      <c r="U9" s="10">
        <f t="shared" si="13"/>
        <v>195.23063284228732</v>
      </c>
      <c r="V9" s="27">
        <f t="shared" si="14"/>
        <v>390.46126568457464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>
        <v>3</v>
      </c>
      <c r="F10" s="9">
        <v>241</v>
      </c>
      <c r="G10" s="292">
        <v>2</v>
      </c>
      <c r="H10" s="292"/>
      <c r="I10" s="9">
        <v>3</v>
      </c>
      <c r="J10" s="9">
        <v>0.5</v>
      </c>
      <c r="K10" s="8">
        <f t="shared" si="7"/>
        <v>2.2000000000000002</v>
      </c>
      <c r="L10" s="8">
        <f t="shared" si="8"/>
        <v>2.4200000000000004</v>
      </c>
      <c r="M10" s="10">
        <f>IF(I10=$Y$11,SQRT(L10*10000),SQRT(Parcellaire!L10*10000)/$AC$12)</f>
        <v>110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495</v>
      </c>
      <c r="U10" s="10">
        <f t="shared" si="5"/>
        <v>330</v>
      </c>
      <c r="V10" s="27">
        <f t="shared" si="6"/>
        <v>660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>
        <v>2</v>
      </c>
      <c r="F11" s="9">
        <v>241</v>
      </c>
      <c r="G11" s="292">
        <v>3.3</v>
      </c>
      <c r="H11" s="292">
        <v>2.2999999999999998</v>
      </c>
      <c r="I11" s="9">
        <v>3</v>
      </c>
      <c r="J11" s="9">
        <v>0.5</v>
      </c>
      <c r="K11" s="8">
        <f t="shared" si="7"/>
        <v>3.63</v>
      </c>
      <c r="L11" s="8">
        <f t="shared" si="8"/>
        <v>3.9930000000000003</v>
      </c>
      <c r="M11" s="10">
        <f>IF(I11=$Y$11,SQRT(L11*10000),SQRT(Parcellaire!L11*10000)/$AC$12)</f>
        <v>141.29755836531641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635.83901264392387</v>
      </c>
      <c r="U11" s="10">
        <f t="shared" si="5"/>
        <v>423.89267509594924</v>
      </c>
      <c r="V11" s="27">
        <f t="shared" si="6"/>
        <v>847.78535019189849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>
        <v>3</v>
      </c>
      <c r="F12" s="9">
        <v>266</v>
      </c>
      <c r="G12" s="292"/>
      <c r="H12" s="292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0</v>
      </c>
      <c r="P12" s="26"/>
      <c r="Q12" s="155">
        <v>0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>
        <v>2</v>
      </c>
      <c r="F13" s="9">
        <v>242</v>
      </c>
      <c r="G13" s="292">
        <v>3</v>
      </c>
      <c r="H13" s="292">
        <v>1.7</v>
      </c>
      <c r="I13" s="9">
        <v>2</v>
      </c>
      <c r="J13" s="9">
        <v>0</v>
      </c>
      <c r="K13" s="8">
        <f t="shared" si="7"/>
        <v>3</v>
      </c>
      <c r="L13" s="8">
        <f t="shared" si="8"/>
        <v>3</v>
      </c>
      <c r="M13" s="10">
        <f>IF(I13=$Y$11,SQRT(L13*10000),SQRT(Parcellaire!L13*10000)/$AC$12)</f>
        <v>122.4744871391589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551.13519212621509</v>
      </c>
      <c r="U13" s="10">
        <f t="shared" si="5"/>
        <v>367.42346141747669</v>
      </c>
      <c r="V13" s="27">
        <f t="shared" si="6"/>
        <v>734.84692283495338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>
        <v>3</v>
      </c>
      <c r="F14" s="9">
        <v>242</v>
      </c>
      <c r="G14" s="292"/>
      <c r="H14" s="292">
        <v>1.3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>
        <v>2</v>
      </c>
      <c r="F15" s="9">
        <v>290</v>
      </c>
      <c r="G15" s="292">
        <v>1</v>
      </c>
      <c r="H15" s="292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>
        <v>2</v>
      </c>
      <c r="F16" s="9">
        <v>241</v>
      </c>
      <c r="G16" s="292">
        <v>2</v>
      </c>
      <c r="H16" s="292"/>
      <c r="I16" s="9">
        <v>2</v>
      </c>
      <c r="J16" s="9">
        <v>0.5</v>
      </c>
      <c r="K16" s="8">
        <f t="shared" si="7"/>
        <v>2</v>
      </c>
      <c r="L16" s="8">
        <f t="shared" si="8"/>
        <v>2.2000000000000002</v>
      </c>
      <c r="M16" s="10">
        <f>IF(I16=$Y$11,SQRT(L16*10000),SQRT(Parcellaire!L16*10000)/$AC$12)</f>
        <v>104.88088481701514</v>
      </c>
      <c r="N16" s="10">
        <f t="shared" si="9"/>
        <v>6</v>
      </c>
      <c r="O16" s="24">
        <v>6</v>
      </c>
      <c r="P16" s="26"/>
      <c r="Q16" s="155">
        <v>3</v>
      </c>
      <c r="R16" s="10">
        <f t="shared" si="2"/>
        <v>0</v>
      </c>
      <c r="S16" s="10">
        <f t="shared" si="3"/>
        <v>0</v>
      </c>
      <c r="T16" s="10">
        <f t="shared" si="4"/>
        <v>471.9639816765681</v>
      </c>
      <c r="U16" s="10">
        <f t="shared" si="5"/>
        <v>314.64265445104542</v>
      </c>
      <c r="V16" s="27">
        <f t="shared" si="6"/>
        <v>629.28530890209083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>
        <v>2</v>
      </c>
      <c r="F17" s="9">
        <v>241</v>
      </c>
      <c r="G17" s="292">
        <v>1.7</v>
      </c>
      <c r="H17" s="292"/>
      <c r="I17" s="9">
        <v>2</v>
      </c>
      <c r="J17" s="9">
        <v>0.5</v>
      </c>
      <c r="K17" s="8">
        <f t="shared" si="7"/>
        <v>1.7</v>
      </c>
      <c r="L17" s="8">
        <f t="shared" si="8"/>
        <v>1.87</v>
      </c>
      <c r="M17" s="10">
        <f>IF(I17=$Y$11,SQRT(L17*10000),SQRT(Parcellaire!L17*10000)/$AC$12)</f>
        <v>96.695398029068585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435.12929113080861</v>
      </c>
      <c r="U17" s="10">
        <f t="shared" si="5"/>
        <v>290.08619408720574</v>
      </c>
      <c r="V17" s="27">
        <f t="shared" si="6"/>
        <v>580.17238817441148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450</v>
      </c>
      <c r="E18" s="9">
        <v>2</v>
      </c>
      <c r="F18" s="9">
        <v>241</v>
      </c>
      <c r="G18" s="292">
        <v>3</v>
      </c>
      <c r="H18" s="292"/>
      <c r="I18" s="9">
        <v>3</v>
      </c>
      <c r="J18" s="9">
        <v>0.5</v>
      </c>
      <c r="K18" s="8">
        <f t="shared" si="7"/>
        <v>3.3000000000000003</v>
      </c>
      <c r="L18" s="8">
        <f t="shared" si="8"/>
        <v>3.6300000000000008</v>
      </c>
      <c r="M18" s="10">
        <f>IF(I18=$Y$11,SQRT(L18*10000),SQRT(Parcellaire!L18*10000)/$AC$12)</f>
        <v>134.7219358530748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606.24871133883653</v>
      </c>
      <c r="U18" s="10">
        <f t="shared" si="5"/>
        <v>404.16580755922439</v>
      </c>
      <c r="V18" s="27">
        <f t="shared" si="6"/>
        <v>808.33161511844878</v>
      </c>
      <c r="W18" s="3"/>
      <c r="X18" s="3"/>
      <c r="Y18" s="8">
        <v>2</v>
      </c>
      <c r="Z18" s="138" t="s">
        <v>335</v>
      </c>
      <c r="AA18" s="136">
        <f>T66</f>
        <v>8224.1835988409512</v>
      </c>
      <c r="AB18" t="s">
        <v>42</v>
      </c>
    </row>
    <row r="19" spans="1:28" ht="15" customHeight="1" x14ac:dyDescent="0.25">
      <c r="A19" s="8">
        <v>18</v>
      </c>
      <c r="B19" s="9">
        <v>1</v>
      </c>
      <c r="C19" s="9">
        <v>2</v>
      </c>
      <c r="D19" s="9" t="s">
        <v>487</v>
      </c>
      <c r="E19" s="9"/>
      <c r="F19" s="9">
        <v>194</v>
      </c>
      <c r="G19" s="9">
        <v>1</v>
      </c>
      <c r="H19" s="9"/>
      <c r="I19" s="9">
        <v>3</v>
      </c>
      <c r="J19" s="9">
        <v>0.5</v>
      </c>
      <c r="K19" s="8">
        <f t="shared" si="7"/>
        <v>1.1000000000000001</v>
      </c>
      <c r="L19" s="8">
        <f t="shared" si="8"/>
        <v>1.2100000000000002</v>
      </c>
      <c r="M19" s="10">
        <f>IF(I19=$Y$11,SQRT(L19*10000),SQRT(Parcellaire!L19*10000)/$AC$12)</f>
        <v>77.781745930520231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350.01785668734101</v>
      </c>
      <c r="U19" s="10">
        <f t="shared" si="5"/>
        <v>233.34523779156069</v>
      </c>
      <c r="V19" s="27">
        <f t="shared" si="6"/>
        <v>466.69047558312138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450</v>
      </c>
      <c r="E20" s="9"/>
      <c r="F20" s="9">
        <v>17</v>
      </c>
      <c r="G20" s="9">
        <v>4.3</v>
      </c>
      <c r="H20" s="9"/>
      <c r="I20" s="9">
        <v>3</v>
      </c>
      <c r="J20" s="9">
        <v>1</v>
      </c>
      <c r="K20" s="8">
        <f t="shared" si="7"/>
        <v>4.7300000000000004</v>
      </c>
      <c r="L20" s="8">
        <f t="shared" si="8"/>
        <v>5.6760000000000002</v>
      </c>
      <c r="M20" s="10">
        <f>IF(I20=$Y$11,SQRT(L20*10000),SQRT(Parcellaire!L20*10000)/$AC$12)</f>
        <v>168.46364592991569</v>
      </c>
      <c r="N20" s="10">
        <f t="shared" si="9"/>
        <v>6</v>
      </c>
      <c r="O20" s="24">
        <v>6</v>
      </c>
      <c r="P20" s="26"/>
      <c r="Q20" s="155">
        <f t="shared" ref="Q20:Q65" si="15">O20-P20</f>
        <v>6</v>
      </c>
      <c r="R20" s="10">
        <f t="shared" si="2"/>
        <v>0</v>
      </c>
      <c r="S20" s="10">
        <f t="shared" si="3"/>
        <v>0</v>
      </c>
      <c r="T20" s="10">
        <f t="shared" si="4"/>
        <v>505.39093778974706</v>
      </c>
      <c r="U20" s="10">
        <f t="shared" si="5"/>
        <v>1010.7818755794941</v>
      </c>
      <c r="V20" s="27">
        <f t="shared" si="6"/>
        <v>1010.7818755794941</v>
      </c>
      <c r="W20" s="3"/>
      <c r="X20" s="3"/>
      <c r="Z20" s="20"/>
      <c r="AA20" s="136">
        <f>AA18+AA19</f>
        <v>8224.1835988409512</v>
      </c>
      <c r="AB20" t="s">
        <v>44</v>
      </c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487</v>
      </c>
      <c r="E21" s="9"/>
      <c r="F21" s="9">
        <v>172</v>
      </c>
      <c r="G21" s="9">
        <v>6.8</v>
      </c>
      <c r="H21" s="9"/>
      <c r="I21" s="9">
        <v>3</v>
      </c>
      <c r="J21" s="9">
        <v>1</v>
      </c>
      <c r="K21" s="8">
        <f t="shared" si="7"/>
        <v>7.48</v>
      </c>
      <c r="L21" s="8">
        <f t="shared" si="8"/>
        <v>8.9760000000000009</v>
      </c>
      <c r="M21" s="10">
        <f>IF(I21=$Y$11,SQRT(L21*10000),SQRT(Parcellaire!L21*10000)/$AC$12)</f>
        <v>211.84900282984577</v>
      </c>
      <c r="N21" s="10">
        <f t="shared" si="9"/>
        <v>6</v>
      </c>
      <c r="O21" s="24">
        <v>6</v>
      </c>
      <c r="P21" s="26"/>
      <c r="Q21" s="155">
        <f t="shared" si="15"/>
        <v>6</v>
      </c>
      <c r="R21" s="10">
        <f t="shared" si="2"/>
        <v>0</v>
      </c>
      <c r="S21" s="10">
        <f t="shared" si="3"/>
        <v>0</v>
      </c>
      <c r="T21" s="10">
        <f t="shared" si="4"/>
        <v>635.54700848953735</v>
      </c>
      <c r="U21" s="10">
        <f t="shared" si="5"/>
        <v>1271.0940169790747</v>
      </c>
      <c r="V21" s="27">
        <f t="shared" si="6"/>
        <v>1271.0940169790747</v>
      </c>
      <c r="W21" s="3"/>
      <c r="X21" s="3"/>
      <c r="Z21" s="20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487</v>
      </c>
      <c r="E22" s="9"/>
      <c r="F22" s="9">
        <v>194</v>
      </c>
      <c r="G22" s="9">
        <v>2</v>
      </c>
      <c r="H22" s="9"/>
      <c r="I22" s="9">
        <v>3</v>
      </c>
      <c r="J22" s="9">
        <v>0.5</v>
      </c>
      <c r="K22" s="8">
        <f t="shared" si="7"/>
        <v>2.2000000000000002</v>
      </c>
      <c r="L22" s="8">
        <f t="shared" si="8"/>
        <v>2.4200000000000004</v>
      </c>
      <c r="M22" s="10">
        <f>IF(I22=$Y$11,SQRT(L22*10000),SQRT(Parcellaire!L22*10000)/$AC$12)</f>
        <v>110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495</v>
      </c>
      <c r="U22" s="10">
        <f t="shared" si="5"/>
        <v>330</v>
      </c>
      <c r="V22" s="27">
        <f t="shared" si="6"/>
        <v>660</v>
      </c>
      <c r="W22" s="3"/>
      <c r="X22" s="3"/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487</v>
      </c>
      <c r="E23" s="9"/>
      <c r="F23" s="9">
        <v>194</v>
      </c>
      <c r="G23" s="9">
        <v>2</v>
      </c>
      <c r="H23" s="9"/>
      <c r="I23" s="9">
        <v>3</v>
      </c>
      <c r="J23" s="9">
        <v>0.5</v>
      </c>
      <c r="K23" s="8">
        <f t="shared" si="7"/>
        <v>2.2000000000000002</v>
      </c>
      <c r="L23" s="8">
        <f t="shared" si="8"/>
        <v>2.4200000000000004</v>
      </c>
      <c r="M23" s="10">
        <f>IF(I23=$Y$11,SQRT(L23*10000),SQRT(Parcellaire!L23*10000)/$AC$12)</f>
        <v>110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495</v>
      </c>
      <c r="U23" s="10">
        <f t="shared" si="5"/>
        <v>330</v>
      </c>
      <c r="V23" s="27">
        <f t="shared" si="6"/>
        <v>660</v>
      </c>
      <c r="W23" s="3"/>
      <c r="X23" s="3"/>
      <c r="Z23" t="s">
        <v>323</v>
      </c>
    </row>
    <row r="24" spans="1:28" ht="15" customHeight="1" x14ac:dyDescent="0.25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IF(I24=$Y$11,SQRT(L24*10000),SQRT(Parcellaire!L24*10000)/$AC$12)</f>
        <v>#VALUE!</v>
      </c>
      <c r="N24" s="10">
        <f t="shared" si="9"/>
        <v>6</v>
      </c>
      <c r="O24" s="24">
        <v>6</v>
      </c>
      <c r="P24" s="26"/>
      <c r="Q24" s="155">
        <f t="shared" si="15"/>
        <v>6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6" si="16">IF(I25=$Y$11,G25*$AB$11,IF(I25=$Y$12,G25*$AB$12,IF(I25=$Y$13,G25*$AB$13,"")))</f>
        <v/>
      </c>
      <c r="L25" s="8" t="e">
        <f t="shared" si="0"/>
        <v>#VALUE!</v>
      </c>
      <c r="M25" s="10" t="e">
        <f>IF(I25=$Y$11,SQRT(L25*10000),SQRT(Parcellaire!L25*10000)/$AC$12)</f>
        <v>#VALUE!</v>
      </c>
      <c r="N25" s="10">
        <f t="shared" si="1"/>
        <v>6</v>
      </c>
      <c r="O25" s="24"/>
      <c r="P25" s="26"/>
      <c r="Q25" s="155">
        <f t="shared" si="15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6"/>
        <v/>
      </c>
      <c r="L26" s="8" t="e">
        <f t="shared" si="0"/>
        <v>#VALUE!</v>
      </c>
      <c r="M26" s="10" t="e">
        <f>IF(I26=$Y$11,SQRT(L26*10000),SQRT(Parcellaire!L26*10000)/$AC$12)</f>
        <v>#VALUE!</v>
      </c>
      <c r="N26" s="10">
        <f t="shared" si="1"/>
        <v>6</v>
      </c>
      <c r="O26" s="24"/>
      <c r="P26" s="26"/>
      <c r="Q26" s="155">
        <f t="shared" si="15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6"/>
        <v/>
      </c>
      <c r="L27" s="8" t="e">
        <f t="shared" si="0"/>
        <v>#VALUE!</v>
      </c>
      <c r="M27" s="10" t="e">
        <f>IF(I27=$Y$11,SQRT(L27*10000),SQRT(Parcellaire!L27*10000)/$AC$12)</f>
        <v>#VALUE!</v>
      </c>
      <c r="N27" s="10">
        <f t="shared" si="1"/>
        <v>6</v>
      </c>
      <c r="O27" s="24"/>
      <c r="P27" s="26"/>
      <c r="Q27" s="155">
        <f t="shared" si="15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Z27" t="s">
        <v>17</v>
      </c>
    </row>
    <row r="28" spans="1:28" ht="15" customHeight="1" x14ac:dyDescent="0.25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6"/>
        <v/>
      </c>
      <c r="L28" s="8" t="e">
        <f t="shared" si="0"/>
        <v>#VALUE!</v>
      </c>
      <c r="M28" s="10" t="e">
        <f>IF(I28=$Y$11,SQRT(L28*10000),SQRT(Parcellaire!L28*10000)/$AC$12)</f>
        <v>#VALUE!</v>
      </c>
      <c r="N28" s="10">
        <f t="shared" si="1"/>
        <v>6</v>
      </c>
      <c r="O28" s="24"/>
      <c r="P28" s="26"/>
      <c r="Q28" s="155">
        <f t="shared" si="15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6"/>
        <v/>
      </c>
      <c r="L29" s="8" t="e">
        <f t="shared" si="0"/>
        <v>#VALUE!</v>
      </c>
      <c r="M29" s="10" t="e">
        <f>IF(I29=$Y$11,SQRT(L29*10000),SQRT(Parcellaire!L29*10000)/$AC$12)</f>
        <v>#VALUE!</v>
      </c>
      <c r="N29" s="10">
        <f t="shared" si="1"/>
        <v>6</v>
      </c>
      <c r="O29" s="24"/>
      <c r="P29" s="26"/>
      <c r="Q29" s="155">
        <f t="shared" si="15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6"/>
        <v/>
      </c>
      <c r="L30" s="8" t="e">
        <f t="shared" si="0"/>
        <v>#VALUE!</v>
      </c>
      <c r="M30" s="10" t="e">
        <f>IF(I30=$Y$11,SQRT(L30*10000),SQRT(Parcellaire!L30*10000)/$AC$12)</f>
        <v>#VALUE!</v>
      </c>
      <c r="N30" s="10">
        <f t="shared" si="1"/>
        <v>6</v>
      </c>
      <c r="O30" s="24"/>
      <c r="P30" s="26"/>
      <c r="Q30" s="155">
        <f t="shared" si="15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6"/>
        <v/>
      </c>
      <c r="L31" s="8" t="e">
        <f t="shared" si="0"/>
        <v>#VALUE!</v>
      </c>
      <c r="M31" s="10" t="e">
        <f>IF(I31=$Y$11,SQRT(L31*10000),SQRT(Parcellaire!L31*10000)/$AC$12)</f>
        <v>#VALUE!</v>
      </c>
      <c r="N31" s="10">
        <f t="shared" si="1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6"/>
        <v/>
      </c>
      <c r="L32" s="8" t="e">
        <f t="shared" si="0"/>
        <v>#VALUE!</v>
      </c>
      <c r="M32" s="10" t="e">
        <f>IF(I32=$Y$11,SQRT(L32*10000),SQRT(Parcellaire!L32*10000)/$AC$12)</f>
        <v>#VALUE!</v>
      </c>
      <c r="N32" s="10">
        <f t="shared" si="1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6"/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39.1</v>
      </c>
      <c r="H66" s="170"/>
      <c r="I66" s="170">
        <f>SUMIF(Parcellaire!$B$2:$B$65,1,Parcellaire!I2:I65)</f>
        <v>54</v>
      </c>
      <c r="J66" s="170">
        <f>SUMIF(Parcellaire!$B$2:$B$65,1,Parcellaire!J2:J65)</f>
        <v>11.5</v>
      </c>
      <c r="K66" s="170">
        <f>SUMIF(Parcellaire!$B$2:$B$65,1,Parcellaire!K2:K65)</f>
        <v>42.160000000000011</v>
      </c>
      <c r="L66" s="170">
        <f>SUMIF(Parcellaire!$B$2:$B$65,1,Parcellaire!L2:L65)</f>
        <v>47.297000000000011</v>
      </c>
      <c r="M66" s="170">
        <f>SUMIF(Parcellaire!$B$2:$B$65,1,Parcellaire!M2:M65)</f>
        <v>1954.3672382179097</v>
      </c>
      <c r="N66" s="170">
        <f>SUMIF(Parcellaire!$B$2:$B$65,1,Parcellaire!N2:N65)</f>
        <v>120</v>
      </c>
      <c r="O66" s="170">
        <f>SUMIF(Parcellaire!$B$2:$B$65,1,Parcellaire!O2:O65)</f>
        <v>108</v>
      </c>
      <c r="P66" s="170">
        <f>SUMIF(Parcellaire!$B$2:$B$65,1,Parcellaire!P2:P65)</f>
        <v>0</v>
      </c>
      <c r="Q66" s="170">
        <f>SUMIF(Parcellaire!$B$2:$B$65,1,Parcellaire!Q2:Q65)</f>
        <v>60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8224.1835988409512</v>
      </c>
      <c r="U66" s="170">
        <f>SUMIF(Parcellaire!$B$2:$B$65,1,Parcellaire!U2:U65)</f>
        <v>7004.0396609330137</v>
      </c>
      <c r="V66" s="170">
        <f>SUMIF(Parcellaire!$B$2:$B$65,1,Parcellaire!V2:V65)</f>
        <v>11726.203429307458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6" t="s">
        <v>2</v>
      </c>
      <c r="C64" s="296"/>
      <c r="D64" s="296" t="s">
        <v>0</v>
      </c>
      <c r="E64" s="296"/>
      <c r="F64" s="296" t="s">
        <v>1</v>
      </c>
      <c r="G64" s="296"/>
      <c r="H64" s="296" t="s">
        <v>3</v>
      </c>
      <c r="I64" s="296"/>
      <c r="J64" s="296" t="s">
        <v>4</v>
      </c>
      <c r="K64" s="296"/>
      <c r="L64" s="296" t="s">
        <v>5</v>
      </c>
      <c r="M64" s="296"/>
      <c r="N64" s="296" t="s">
        <v>6</v>
      </c>
      <c r="O64" s="296"/>
      <c r="P64" s="296" t="s">
        <v>7</v>
      </c>
      <c r="Q64" s="296"/>
      <c r="R64" s="296" t="s">
        <v>8</v>
      </c>
      <c r="S64" s="296"/>
      <c r="T64" s="296" t="s">
        <v>9</v>
      </c>
      <c r="U64" s="296"/>
      <c r="V64" s="296" t="s">
        <v>10</v>
      </c>
      <c r="W64" s="296"/>
      <c r="X64" s="296" t="s">
        <v>11</v>
      </c>
      <c r="Y64" s="296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6" t="s">
        <v>2</v>
      </c>
      <c r="C90" s="296"/>
      <c r="D90" s="296" t="s">
        <v>0</v>
      </c>
      <c r="E90" s="296"/>
      <c r="F90" s="296" t="s">
        <v>1</v>
      </c>
      <c r="G90" s="296"/>
      <c r="H90" s="296" t="s">
        <v>3</v>
      </c>
      <c r="I90" s="296"/>
      <c r="J90" s="296" t="s">
        <v>4</v>
      </c>
      <c r="K90" s="296"/>
      <c r="L90" s="296" t="s">
        <v>5</v>
      </c>
      <c r="M90" s="296"/>
      <c r="N90" s="296" t="s">
        <v>6</v>
      </c>
      <c r="O90" s="296"/>
      <c r="P90" s="296" t="s">
        <v>7</v>
      </c>
      <c r="Q90" s="296"/>
      <c r="R90" s="296" t="s">
        <v>8</v>
      </c>
      <c r="S90" s="296"/>
      <c r="T90" s="296" t="s">
        <v>9</v>
      </c>
      <c r="U90" s="296"/>
      <c r="V90" s="296" t="s">
        <v>10</v>
      </c>
      <c r="W90" s="296"/>
      <c r="X90" s="296" t="s">
        <v>11</v>
      </c>
      <c r="Y90" s="296"/>
      <c r="AC90" t="s">
        <v>429</v>
      </c>
      <c r="AD90" s="296" t="s">
        <v>2</v>
      </c>
      <c r="AE90" s="296"/>
      <c r="AF90" s="296" t="s">
        <v>0</v>
      </c>
      <c r="AG90" s="296"/>
      <c r="AH90" s="296" t="s">
        <v>1</v>
      </c>
      <c r="AI90" s="296"/>
      <c r="AJ90" s="296" t="s">
        <v>3</v>
      </c>
      <c r="AK90" s="296"/>
      <c r="AL90" s="296" t="s">
        <v>4</v>
      </c>
      <c r="AM90" s="296"/>
      <c r="AN90" s="296" t="s">
        <v>5</v>
      </c>
      <c r="AO90" s="296"/>
      <c r="AP90" s="296" t="s">
        <v>6</v>
      </c>
      <c r="AQ90" s="296"/>
      <c r="AR90" s="296" t="s">
        <v>7</v>
      </c>
      <c r="AS90" s="296"/>
      <c r="AT90" s="296" t="s">
        <v>8</v>
      </c>
      <c r="AU90" s="296"/>
      <c r="AV90" s="296" t="s">
        <v>9</v>
      </c>
      <c r="AW90" s="296"/>
      <c r="AX90" s="296" t="s">
        <v>10</v>
      </c>
      <c r="AY90" s="296"/>
      <c r="AZ90" s="296" t="s">
        <v>11</v>
      </c>
      <c r="BA90" s="296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6" t="s">
        <v>2</v>
      </c>
      <c r="C117" s="296"/>
      <c r="D117" s="296" t="s">
        <v>0</v>
      </c>
      <c r="E117" s="296"/>
      <c r="F117" s="296" t="s">
        <v>1</v>
      </c>
      <c r="G117" s="296"/>
      <c r="H117" s="296" t="s">
        <v>3</v>
      </c>
      <c r="I117" s="296"/>
      <c r="J117" s="296" t="s">
        <v>4</v>
      </c>
      <c r="K117" s="296"/>
      <c r="L117" s="296" t="s">
        <v>5</v>
      </c>
      <c r="M117" s="296"/>
      <c r="N117" s="296" t="s">
        <v>6</v>
      </c>
      <c r="O117" s="296"/>
      <c r="P117" s="296" t="s">
        <v>7</v>
      </c>
      <c r="Q117" s="296"/>
      <c r="R117" s="296" t="s">
        <v>8</v>
      </c>
      <c r="S117" s="296"/>
      <c r="T117" s="296" t="s">
        <v>9</v>
      </c>
      <c r="U117" s="296"/>
      <c r="V117" s="296" t="s">
        <v>10</v>
      </c>
      <c r="W117" s="296"/>
      <c r="X117" s="296" t="s">
        <v>11</v>
      </c>
      <c r="Y117" s="296"/>
      <c r="AD117" s="296" t="s">
        <v>2</v>
      </c>
      <c r="AE117" s="296"/>
      <c r="AF117" s="296" t="s">
        <v>0</v>
      </c>
      <c r="AG117" s="296"/>
      <c r="AH117" s="296" t="s">
        <v>1</v>
      </c>
      <c r="AI117" s="296"/>
      <c r="AJ117" s="296" t="s">
        <v>3</v>
      </c>
      <c r="AK117" s="296"/>
      <c r="AL117" s="296" t="s">
        <v>4</v>
      </c>
      <c r="AM117" s="296"/>
      <c r="AN117" s="296" t="s">
        <v>5</v>
      </c>
      <c r="AO117" s="296"/>
      <c r="AP117" s="296" t="s">
        <v>6</v>
      </c>
      <c r="AQ117" s="296"/>
      <c r="AR117" s="296" t="s">
        <v>7</v>
      </c>
      <c r="AS117" s="296"/>
      <c r="AT117" s="296" t="s">
        <v>8</v>
      </c>
      <c r="AU117" s="296"/>
      <c r="AV117" s="296" t="s">
        <v>9</v>
      </c>
      <c r="AW117" s="296"/>
      <c r="AX117" s="296" t="s">
        <v>10</v>
      </c>
      <c r="AY117" s="296"/>
      <c r="AZ117" s="296" t="s">
        <v>11</v>
      </c>
      <c r="BA117" s="296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AX117:AY117"/>
    <mergeCell ref="AZ117:BA117"/>
    <mergeCell ref="AN117:AO117"/>
    <mergeCell ref="AP117:AQ117"/>
    <mergeCell ref="AR117:AS117"/>
    <mergeCell ref="AT117:AU117"/>
    <mergeCell ref="AV117:AW117"/>
    <mergeCell ref="AD117:AE117"/>
    <mergeCell ref="AF117:AG117"/>
    <mergeCell ref="AH117:AI117"/>
    <mergeCell ref="AJ117:AK117"/>
    <mergeCell ref="AL117:AM117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J90:AK90"/>
    <mergeCell ref="AL90:AM90"/>
    <mergeCell ref="AN90:AO90"/>
    <mergeCell ref="AP90:AQ90"/>
    <mergeCell ref="AR90:AS90"/>
    <mergeCell ref="V90:W90"/>
    <mergeCell ref="X90:Y90"/>
    <mergeCell ref="AD90:AE90"/>
    <mergeCell ref="AF90:AG90"/>
    <mergeCell ref="AH90:AI90"/>
    <mergeCell ref="L90:M90"/>
    <mergeCell ref="N90:O90"/>
    <mergeCell ref="P90:Q90"/>
    <mergeCell ref="R90:S90"/>
    <mergeCell ref="T90:U90"/>
    <mergeCell ref="B90:C90"/>
    <mergeCell ref="D90:E90"/>
    <mergeCell ref="F90:G90"/>
    <mergeCell ref="H90:I90"/>
    <mergeCell ref="J90:K90"/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86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1463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1.5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6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0</v>
      </c>
      <c r="U25" s="173">
        <f>Alim_Surf!E35</f>
        <v>0</v>
      </c>
      <c r="V25" s="173">
        <f>IF(T25=0,0,VLOOKUP(T25,[1]Cult!$A$7:$H$76,8))</f>
        <v>0</v>
      </c>
      <c r="W25" s="173">
        <f t="shared" ref="W25:W33" si="0">IF(V25="ME",U25,0)</f>
        <v>0</v>
      </c>
      <c r="X25" s="173">
        <f t="shared" ref="X25:X33" si="1">IF(V25="MG",U25,0)</f>
        <v>0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0</v>
      </c>
      <c r="U26" s="173">
        <f>Alim_Surf!E36</f>
        <v>0</v>
      </c>
      <c r="V26" s="173">
        <f>IF(T26=0,0,VLOOKUP(T26,[1]Cult!$A$7:$H$76,8))</f>
        <v>0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0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23.5</v>
      </c>
      <c r="L28" t="s">
        <v>52</v>
      </c>
      <c r="M28" s="30">
        <f>U228</f>
        <v>19.3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16</v>
      </c>
      <c r="L29" t="s">
        <v>52</v>
      </c>
      <c r="M29" s="30">
        <f>V228</f>
        <v>16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10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0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1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1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0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5</v>
      </c>
    </row>
    <row r="41" spans="10:29" x14ac:dyDescent="0.25">
      <c r="J41" s="14" t="s">
        <v>564</v>
      </c>
      <c r="K41" s="173">
        <f>AD228</f>
        <v>23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1.93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1389</v>
      </c>
      <c r="K48" s="173">
        <f>K33+K40+K41</f>
        <v>29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>
        <v>3.5</v>
      </c>
    </row>
    <row r="55" spans="10:16" x14ac:dyDescent="0.25">
      <c r="J55" s="14" t="s">
        <v>570</v>
      </c>
      <c r="K55" s="80">
        <v>36</v>
      </c>
    </row>
    <row r="56" spans="10:16" x14ac:dyDescent="0.25">
      <c r="J56" s="14" t="s">
        <v>571</v>
      </c>
      <c r="K56" s="174">
        <v>1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1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/>
      <c r="P61" t="s">
        <v>583</v>
      </c>
    </row>
    <row r="62" spans="10:16" x14ac:dyDescent="0.25">
      <c r="J62" s="14" t="s">
        <v>584</v>
      </c>
      <c r="K62" s="80"/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1440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0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0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 s="295">
        <v>1</v>
      </c>
      <c r="V76" s="295" t="s">
        <v>598</v>
      </c>
    </row>
    <row r="77" spans="10:22" x14ac:dyDescent="0.25">
      <c r="J77" s="14" t="s">
        <v>599</v>
      </c>
      <c r="K77" s="80"/>
      <c r="R77">
        <v>2</v>
      </c>
      <c r="U77" s="295">
        <v>2</v>
      </c>
      <c r="V77" s="295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80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>
        <v>2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1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>
        <v>1</v>
      </c>
      <c r="L88" t="s">
        <v>1382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1383</v>
      </c>
      <c r="K89" s="80">
        <v>1</v>
      </c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>
        <v>1</v>
      </c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1384</v>
      </c>
    </row>
    <row r="128" spans="9:12" x14ac:dyDescent="0.25">
      <c r="K128"/>
    </row>
    <row r="129" spans="10:15" x14ac:dyDescent="0.25">
      <c r="J129" s="14" t="s">
        <v>638</v>
      </c>
      <c r="K129" s="80">
        <v>1</v>
      </c>
      <c r="L129" t="s">
        <v>1385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266</v>
      </c>
      <c r="S164" s="173">
        <f>Alim_Surf!R7</f>
        <v>2.7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2.7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2.7</v>
      </c>
      <c r="AI164" s="173">
        <f>IF(T164=1,AD164,0)</f>
        <v>0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241</v>
      </c>
      <c r="S165" s="173">
        <f>Alim_Surf!R8</f>
        <v>11</v>
      </c>
      <c r="T165" s="173">
        <f>VLOOKUP(R165,[1]MEP!$A$4:$M$300,13)</f>
        <v>2</v>
      </c>
      <c r="U165" s="173">
        <f t="shared" ref="U165:U207" si="10">IF($T165&gt;0,$S165,0)</f>
        <v>11</v>
      </c>
      <c r="V165" s="173">
        <f t="shared" ref="V165:V207" si="11">IF($T165&gt;1,$S165,0)</f>
        <v>11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11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11</v>
      </c>
      <c r="AL165" s="5"/>
      <c r="AN165" s="32" t="s">
        <v>659</v>
      </c>
      <c r="AO165" s="173">
        <f>SUM(AD164:AD183)</f>
        <v>18.7</v>
      </c>
    </row>
    <row r="166" spans="17:41" x14ac:dyDescent="0.25">
      <c r="Q166">
        <v>3</v>
      </c>
      <c r="R166" s="173">
        <f>Alim_Surf!Q9</f>
        <v>290</v>
      </c>
      <c r="S166" s="173">
        <f>Alim_Surf!R9</f>
        <v>0</v>
      </c>
      <c r="T166" s="173">
        <f>VLOOKUP(R166,[1]MEP!$A$4:$M$300,13)</f>
        <v>1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0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0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0</v>
      </c>
    </row>
    <row r="167" spans="17:41" x14ac:dyDescent="0.25">
      <c r="Q167">
        <v>4</v>
      </c>
      <c r="R167" s="173">
        <f>Alim_Surf!Q10</f>
        <v>242</v>
      </c>
      <c r="S167" s="173">
        <f>Alim_Surf!R10</f>
        <v>3.3</v>
      </c>
      <c r="T167" s="173">
        <f>VLOOKUP(R167,[1]MEP!$A$4:$M$300,13)</f>
        <v>1</v>
      </c>
      <c r="U167" s="173">
        <f t="shared" si="10"/>
        <v>3.3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3.3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3.3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239</v>
      </c>
      <c r="S168" s="173">
        <f>Alim_Surf!R11</f>
        <v>1.7</v>
      </c>
      <c r="T168" s="173">
        <f>VLOOKUP(R168,[1]MEP!$A$4:$M$300,13)</f>
        <v>0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1.7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1.7</v>
      </c>
      <c r="AI168" s="173">
        <f t="shared" si="19"/>
        <v>0</v>
      </c>
      <c r="AJ168" s="173">
        <f t="shared" si="20"/>
        <v>0</v>
      </c>
      <c r="AL168" s="5"/>
      <c r="AN168" s="32" t="s">
        <v>662</v>
      </c>
      <c r="AO168" s="173">
        <f>SUM(AD186:AD205)</f>
        <v>4.3</v>
      </c>
    </row>
    <row r="169" spans="17:41" x14ac:dyDescent="0.25"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10"/>
        <v>0</v>
      </c>
      <c r="V169" s="173">
        <f t="shared" si="11"/>
        <v>0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8"/>
        <v>0</v>
      </c>
      <c r="AB169" s="173">
        <f t="shared" si="9"/>
        <v>0</v>
      </c>
      <c r="AC169" s="173">
        <f t="shared" si="13"/>
        <v>0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0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11.1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239</v>
      </c>
      <c r="S186" s="173">
        <f>Alim_Surf!R29</f>
        <v>4.3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4.3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4.3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242</v>
      </c>
      <c r="S187" s="173">
        <f>Alim_Surf!R30</f>
        <v>0</v>
      </c>
      <c r="T187" s="173">
        <f>VLOOKUP(R187,[1]MEP!$A$4:$M$300,13)</f>
        <v>1</v>
      </c>
      <c r="U187" s="173">
        <f t="shared" si="10"/>
        <v>0</v>
      </c>
      <c r="V187" s="173">
        <f t="shared" si="11"/>
        <v>0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8"/>
        <v>0</v>
      </c>
      <c r="AB187" s="173">
        <f t="shared" si="9"/>
        <v>0</v>
      </c>
      <c r="AC187" s="173">
        <f t="shared" si="13"/>
        <v>0</v>
      </c>
      <c r="AD187" s="173">
        <f t="shared" si="14"/>
        <v>0</v>
      </c>
      <c r="AE187" s="173">
        <f t="shared" si="15"/>
        <v>0</v>
      </c>
      <c r="AF187" s="173">
        <f t="shared" si="16"/>
        <v>0</v>
      </c>
      <c r="AG187" s="173">
        <f t="shared" si="17"/>
        <v>0</v>
      </c>
      <c r="AH187" s="173">
        <f t="shared" si="18"/>
        <v>0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10"/>
        <v>5</v>
      </c>
      <c r="V188" s="173">
        <f t="shared" si="11"/>
        <v>5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8"/>
        <v>0</v>
      </c>
      <c r="AB188" s="173">
        <f t="shared" si="9"/>
        <v>0</v>
      </c>
      <c r="AC188" s="173">
        <f t="shared" si="13"/>
        <v>5</v>
      </c>
      <c r="AD188" s="173">
        <f t="shared" si="14"/>
        <v>0</v>
      </c>
      <c r="AE188" s="173">
        <f t="shared" si="15"/>
        <v>0</v>
      </c>
      <c r="AF188" s="173">
        <f t="shared" si="16"/>
        <v>0</v>
      </c>
      <c r="AG188" s="173">
        <f t="shared" si="17"/>
        <v>5</v>
      </c>
      <c r="AH188" s="173">
        <f t="shared" si="18"/>
        <v>0</v>
      </c>
      <c r="AI188" s="173">
        <f t="shared" si="19"/>
        <v>0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10"/>
        <v>0</v>
      </c>
      <c r="V189" s="173">
        <f t="shared" si="11"/>
        <v>0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0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0</v>
      </c>
      <c r="AL189" s="5"/>
    </row>
    <row r="190" spans="17:38" x14ac:dyDescent="0.25"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28</v>
      </c>
      <c r="U228" s="62">
        <f>SUM(U164:U227)</f>
        <v>19.3</v>
      </c>
      <c r="V228" s="62">
        <f t="shared" ref="V228:W228" si="22">SUM(V164:V227)</f>
        <v>16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5</v>
      </c>
      <c r="AD228" s="62">
        <f>SUM(AD164:AD227)</f>
        <v>23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</v>
      </c>
      <c r="AH228" s="62">
        <f t="shared" si="24"/>
        <v>8.6999999999999993</v>
      </c>
      <c r="AI228" s="62">
        <f t="shared" si="24"/>
        <v>3.3</v>
      </c>
      <c r="AJ228" s="62">
        <f t="shared" si="24"/>
        <v>11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0</v>
      </c>
      <c r="D3" s="177">
        <f t="shared" si="0"/>
        <v>0</v>
      </c>
      <c r="E3" s="177">
        <f t="shared" si="0"/>
        <v>1</v>
      </c>
      <c r="F3" s="177">
        <f t="shared" si="0"/>
        <v>2</v>
      </c>
      <c r="G3" s="177">
        <f t="shared" si="0"/>
        <v>2</v>
      </c>
      <c r="H3" s="177">
        <f t="shared" si="0"/>
        <v>2</v>
      </c>
      <c r="I3" s="177">
        <f t="shared" si="0"/>
        <v>2</v>
      </c>
      <c r="J3" s="177">
        <f t="shared" si="0"/>
        <v>2</v>
      </c>
      <c r="K3" s="177">
        <f t="shared" si="0"/>
        <v>3</v>
      </c>
      <c r="L3" s="177">
        <f t="shared" si="0"/>
        <v>2</v>
      </c>
      <c r="M3" s="177">
        <f t="shared" si="0"/>
        <v>2</v>
      </c>
      <c r="N3" s="177">
        <f t="shared" si="0"/>
        <v>1</v>
      </c>
      <c r="O3" s="177">
        <f t="shared" si="0"/>
        <v>1</v>
      </c>
      <c r="P3" s="177">
        <f t="shared" si="0"/>
        <v>1</v>
      </c>
      <c r="Q3" s="177">
        <f t="shared" si="0"/>
        <v>1</v>
      </c>
      <c r="R3" s="177">
        <f t="shared" si="0"/>
        <v>1</v>
      </c>
      <c r="S3" s="177">
        <f t="shared" si="0"/>
        <v>1</v>
      </c>
      <c r="T3" s="177">
        <f t="shared" si="0"/>
        <v>1</v>
      </c>
      <c r="U3" s="177">
        <f t="shared" si="0"/>
        <v>2</v>
      </c>
      <c r="V3" s="177">
        <f t="shared" si="0"/>
        <v>1</v>
      </c>
      <c r="W3" s="177">
        <f t="shared" si="0"/>
        <v>0</v>
      </c>
      <c r="X3" s="177">
        <f t="shared" si="0"/>
        <v>0</v>
      </c>
      <c r="Y3" s="177">
        <f t="shared" si="0"/>
        <v>0</v>
      </c>
      <c r="Z3" s="177">
        <f t="shared" si="0"/>
        <v>0</v>
      </c>
      <c r="AB3" s="32"/>
      <c r="AC3" s="5"/>
      <c r="AD3" s="276"/>
      <c r="AE3" s="276"/>
      <c r="AF3" s="276"/>
      <c r="AO3" s="14" t="s">
        <v>681</v>
      </c>
      <c r="AP3" s="30">
        <f>BG31</f>
        <v>1141</v>
      </c>
      <c r="AQ3">
        <f>BJ31</f>
        <v>11.1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2</v>
      </c>
      <c r="D4" s="177">
        <f t="shared" ref="D4:Z4" si="1">COUNTIF(D81:D90,2)</f>
        <v>2</v>
      </c>
      <c r="E4" s="177">
        <f t="shared" si="1"/>
        <v>2</v>
      </c>
      <c r="F4" s="177">
        <f t="shared" si="1"/>
        <v>2</v>
      </c>
      <c r="G4" s="177">
        <f t="shared" si="1"/>
        <v>1</v>
      </c>
      <c r="H4" s="177">
        <f t="shared" si="1"/>
        <v>1</v>
      </c>
      <c r="I4" s="177">
        <f t="shared" si="1"/>
        <v>1</v>
      </c>
      <c r="J4" s="177">
        <f t="shared" si="1"/>
        <v>1</v>
      </c>
      <c r="K4" s="177">
        <f t="shared" si="1"/>
        <v>0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1</v>
      </c>
      <c r="W4" s="177">
        <f t="shared" si="1"/>
        <v>1</v>
      </c>
      <c r="X4" s="177">
        <f t="shared" si="1"/>
        <v>1</v>
      </c>
      <c r="Y4" s="177">
        <f t="shared" si="1"/>
        <v>1</v>
      </c>
      <c r="Z4" s="177">
        <f t="shared" si="1"/>
        <v>2</v>
      </c>
      <c r="AB4" s="32"/>
      <c r="AC4" s="5"/>
      <c r="AD4" s="276"/>
      <c r="AE4" s="276"/>
      <c r="AF4" s="276"/>
      <c r="AO4" s="14" t="s">
        <v>683</v>
      </c>
      <c r="AP4" s="30">
        <f>SUM(BG31:BI31)</f>
        <v>8224</v>
      </c>
      <c r="AQ4">
        <f>SUM(BJ31:BL31)</f>
        <v>39.099999999999994</v>
      </c>
      <c r="AV4" s="30">
        <f>Parcellaire!A2</f>
        <v>1</v>
      </c>
      <c r="AW4" s="30">
        <f>Parcellaire!B2</f>
        <v>1</v>
      </c>
      <c r="AX4" s="30" t="str">
        <f>Parcellaire!D2</f>
        <v>éloigné</v>
      </c>
      <c r="AY4" s="30">
        <f>Parcellaire!F2</f>
        <v>239</v>
      </c>
      <c r="AZ4" s="30">
        <f>Parcellaire!G2</f>
        <v>0.8</v>
      </c>
      <c r="BA4" s="30">
        <f>ROUND(Parcellaire!S2,0)</f>
        <v>0</v>
      </c>
      <c r="BB4" s="30">
        <f>ROUND(Parcellaire!T2,0)</f>
        <v>298</v>
      </c>
      <c r="BC4" s="30">
        <f>ROUND(Parcellaire!U2,0)</f>
        <v>199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298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0.8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1</v>
      </c>
      <c r="H5" s="177">
        <f t="shared" si="9"/>
        <v>1</v>
      </c>
      <c r="I5" s="177">
        <f t="shared" si="9"/>
        <v>1</v>
      </c>
      <c r="J5" s="177">
        <f t="shared" si="9"/>
        <v>1</v>
      </c>
      <c r="K5" s="177">
        <f t="shared" si="9"/>
        <v>1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1</v>
      </c>
      <c r="W5" s="177">
        <f t="shared" si="9"/>
        <v>1</v>
      </c>
      <c r="X5" s="177">
        <f t="shared" si="9"/>
        <v>1</v>
      </c>
      <c r="Y5" s="177">
        <f t="shared" si="9"/>
        <v>1</v>
      </c>
      <c r="Z5" s="177">
        <f t="shared" si="9"/>
        <v>0</v>
      </c>
      <c r="AB5" s="32"/>
      <c r="AC5" s="5"/>
      <c r="AD5" s="276"/>
      <c r="AE5" s="276"/>
      <c r="AF5" s="276"/>
      <c r="AI5" s="40" t="s">
        <v>1427</v>
      </c>
      <c r="AJ5" s="30">
        <f>MAX(C203:Z203)</f>
        <v>9</v>
      </c>
      <c r="AO5" s="14" t="s">
        <v>685</v>
      </c>
      <c r="AP5" s="30">
        <f>BI31</f>
        <v>2766</v>
      </c>
      <c r="AV5" s="30">
        <f>Parcellaire!A3</f>
        <v>2</v>
      </c>
      <c r="AW5" s="30">
        <f>Parcellaire!B3</f>
        <v>1</v>
      </c>
      <c r="AX5" s="30" t="str">
        <f>Parcellaire!D3</f>
        <v>éloigné</v>
      </c>
      <c r="AY5" s="30">
        <f>Parcellaire!F3</f>
        <v>239</v>
      </c>
      <c r="AZ5" s="30">
        <f>Parcellaire!G3</f>
        <v>0.9</v>
      </c>
      <c r="BA5" s="30">
        <f>ROUND(Parcellaire!S3,0)</f>
        <v>0</v>
      </c>
      <c r="BB5" s="30">
        <f>ROUND(Parcellaire!T3,0)</f>
        <v>332</v>
      </c>
      <c r="BC5" s="30">
        <f>ROUND(Parcellaire!U3,0)</f>
        <v>221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332</v>
      </c>
      <c r="BJ5" s="173">
        <f t="shared" si="6"/>
        <v>0</v>
      </c>
      <c r="BK5" s="173">
        <f t="shared" si="7"/>
        <v>0</v>
      </c>
      <c r="BL5" s="173">
        <f t="shared" si="8"/>
        <v>0.9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4317</v>
      </c>
      <c r="AQ6">
        <f>BK31</f>
        <v>18.7</v>
      </c>
      <c r="AV6" s="30">
        <f>Parcellaire!A4</f>
        <v>3</v>
      </c>
      <c r="AW6" s="30">
        <f>Parcellaire!B4</f>
        <v>2</v>
      </c>
      <c r="AX6" s="30" t="str">
        <f>Parcellaire!D4</f>
        <v>éloigné</v>
      </c>
      <c r="AY6" s="30">
        <f>Parcellaire!F4</f>
        <v>0</v>
      </c>
      <c r="AZ6" s="30">
        <f>Parcellaire!G4</f>
        <v>1</v>
      </c>
      <c r="BA6" s="30">
        <f>ROUND(Parcellaire!S4,0)</f>
        <v>0</v>
      </c>
      <c r="BB6" s="30">
        <f>ROUND(Parcellaire!T4,0)</f>
        <v>0</v>
      </c>
      <c r="BC6" s="30">
        <f>ROUND(Parcellaire!U4,0)</f>
        <v>0</v>
      </c>
      <c r="BD6" s="30" t="str">
        <f>IF(AW6=2,"",VLOOKUP(AY6,[1]MEP!$X$5:$AA$250,4))</f>
        <v/>
      </c>
      <c r="BE6" s="30" t="str">
        <f>IF(AW6=2,"",VLOOKUP(BD6,[1]MEP!$AC$5:$AD$10,2))</f>
        <v/>
      </c>
      <c r="BF6" s="30" t="str">
        <f t="shared" si="10"/>
        <v>AU</v>
      </c>
      <c r="BG6" s="173">
        <f t="shared" si="11"/>
        <v>0</v>
      </c>
      <c r="BH6" s="173">
        <f t="shared" si="4"/>
        <v>0</v>
      </c>
      <c r="BI6" s="173">
        <f t="shared" si="5"/>
        <v>0</v>
      </c>
      <c r="BJ6" s="173">
        <f t="shared" si="6"/>
        <v>0</v>
      </c>
      <c r="BK6" s="173">
        <f t="shared" si="7"/>
        <v>0</v>
      </c>
      <c r="BL6" s="173">
        <f t="shared" si="8"/>
        <v>0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1</v>
      </c>
      <c r="O7" s="177">
        <f t="shared" si="13"/>
        <v>1</v>
      </c>
      <c r="P7" s="177">
        <f t="shared" si="13"/>
        <v>1</v>
      </c>
      <c r="Q7" s="177">
        <f t="shared" si="13"/>
        <v>1</v>
      </c>
      <c r="R7" s="177">
        <f t="shared" si="13"/>
        <v>1</v>
      </c>
      <c r="S7" s="177">
        <f t="shared" si="13"/>
        <v>1</v>
      </c>
      <c r="T7" s="177">
        <f t="shared" si="13"/>
        <v>1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0</v>
      </c>
      <c r="AV7" s="30">
        <f>Parcellaire!A5</f>
        <v>4</v>
      </c>
      <c r="AW7" s="30">
        <f>Parcellaire!B5</f>
        <v>0</v>
      </c>
      <c r="AX7" s="30">
        <f>Parcellaire!D5</f>
        <v>0</v>
      </c>
      <c r="AY7" s="30">
        <f>Parcellaire!F5</f>
        <v>0</v>
      </c>
      <c r="AZ7" s="30">
        <f>Parcellaire!G5</f>
        <v>0</v>
      </c>
      <c r="BA7" s="30">
        <f>ROUND(Parcellaire!S5,0)</f>
        <v>0</v>
      </c>
      <c r="BB7" s="30" t="e">
        <f>ROUND(Parcellaire!T5,0)</f>
        <v>#VALUE!</v>
      </c>
      <c r="BC7" s="30">
        <f>ROUND(Parcellaire!U5,0)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10"/>
        <v>#N/A</v>
      </c>
      <c r="BG7" s="173">
        <f t="shared" si="11"/>
        <v>0</v>
      </c>
      <c r="BH7" s="173">
        <f t="shared" si="4"/>
        <v>0</v>
      </c>
      <c r="BI7" s="173">
        <f t="shared" si="5"/>
        <v>0</v>
      </c>
      <c r="BJ7" s="173">
        <f t="shared" si="6"/>
        <v>0</v>
      </c>
      <c r="BK7" s="173">
        <f t="shared" si="7"/>
        <v>0</v>
      </c>
      <c r="BL7" s="173">
        <f t="shared" si="8"/>
        <v>0</v>
      </c>
    </row>
    <row r="8" spans="1:64" x14ac:dyDescent="0.25">
      <c r="A8" s="14" t="s">
        <v>690</v>
      </c>
      <c r="B8" t="s">
        <v>568</v>
      </c>
      <c r="C8" s="177">
        <f>(C3+C4)*[1]Protect!$B$12</f>
        <v>4</v>
      </c>
      <c r="D8" s="177">
        <f>(D3+D4)*[1]Protect!$B$12</f>
        <v>4</v>
      </c>
      <c r="E8" s="177">
        <f>(E3+E4)*[1]Protect!$B$12</f>
        <v>6</v>
      </c>
      <c r="F8" s="177">
        <f>(F3+F4)*[1]Protect!$B$12</f>
        <v>8</v>
      </c>
      <c r="G8" s="177">
        <f>(G3+G4)*[1]Protect!$B$12</f>
        <v>6</v>
      </c>
      <c r="H8" s="177">
        <f>(H3+H4)*[1]Protect!$B$12</f>
        <v>6</v>
      </c>
      <c r="I8" s="177">
        <f>(I3+I4)*[1]Protect!$B$12</f>
        <v>6</v>
      </c>
      <c r="J8" s="177">
        <f>(J3+J4)*[1]Protect!$B$12</f>
        <v>6</v>
      </c>
      <c r="K8" s="177">
        <f>(K3+K4)*[1]Protect!$B$12</f>
        <v>6</v>
      </c>
      <c r="L8" s="177">
        <f>(L3+L4)*[1]Protect!$B$12</f>
        <v>4</v>
      </c>
      <c r="M8" s="177">
        <f>(M3+M4)*[1]Protect!$B$12</f>
        <v>4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2</v>
      </c>
      <c r="R8" s="177">
        <f>(R3+R4)*[1]Protect!$B$12</f>
        <v>2</v>
      </c>
      <c r="S8" s="177">
        <f>(S3+S4)*[1]Protect!$B$12</f>
        <v>2</v>
      </c>
      <c r="T8" s="177">
        <f>(T3+T4)*[1]Protect!$B$12</f>
        <v>2</v>
      </c>
      <c r="U8" s="177">
        <f>(U3+U4)*[1]Protect!$B$12</f>
        <v>4</v>
      </c>
      <c r="V8" s="177">
        <f>(V3+V4)*[1]Protect!$B$12</f>
        <v>4</v>
      </c>
      <c r="W8" s="177">
        <f>(W3+W4)*[1]Protect!$B$12</f>
        <v>2</v>
      </c>
      <c r="X8" s="177">
        <f>(X3+X4)*[1]Protect!$B$12</f>
        <v>2</v>
      </c>
      <c r="Y8" s="177">
        <f>(Y3+Y4)*[1]Protect!$B$12</f>
        <v>2</v>
      </c>
      <c r="Z8" s="177">
        <f>(Z3+Z4)*[1]Protect!$B$12</f>
        <v>4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9</v>
      </c>
      <c r="AO8" s="14"/>
      <c r="AV8" s="30">
        <f>Parcellaire!A6</f>
        <v>5</v>
      </c>
      <c r="AW8" s="30">
        <f>Parcellaire!B6</f>
        <v>1</v>
      </c>
      <c r="AX8" s="30" t="str">
        <f>Parcellaire!D6</f>
        <v>éloigné</v>
      </c>
      <c r="AY8" s="30">
        <f>Parcellaire!F6</f>
        <v>239</v>
      </c>
      <c r="AZ8" s="30">
        <f>Parcellaire!G6</f>
        <v>1.1000000000000001</v>
      </c>
      <c r="BA8" s="30">
        <f>ROUND(Parcellaire!S6,0)</f>
        <v>0</v>
      </c>
      <c r="BB8" s="30">
        <f>ROUND(Parcellaire!T6,0)</f>
        <v>367</v>
      </c>
      <c r="BC8" s="30">
        <f>ROUND(Parcellaire!U6,0)</f>
        <v>245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3">
        <f t="shared" si="11"/>
        <v>0</v>
      </c>
      <c r="BH8" s="173">
        <f t="shared" si="4"/>
        <v>0</v>
      </c>
      <c r="BI8" s="173">
        <f t="shared" si="5"/>
        <v>367</v>
      </c>
      <c r="BJ8" s="173">
        <f t="shared" si="6"/>
        <v>0</v>
      </c>
      <c r="BK8" s="173">
        <f t="shared" si="7"/>
        <v>0</v>
      </c>
      <c r="BL8" s="173">
        <f t="shared" si="8"/>
        <v>1.1000000000000001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3</v>
      </c>
      <c r="H9" s="177">
        <f>H5*[1]Protect!$B$13</f>
        <v>3</v>
      </c>
      <c r="I9" s="177">
        <f>I5*[1]Protect!$B$13</f>
        <v>3</v>
      </c>
      <c r="J9" s="177">
        <f>J5*[1]Protect!$B$13</f>
        <v>3</v>
      </c>
      <c r="K9" s="177">
        <f>K5*[1]Protect!$B$13</f>
        <v>3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3</v>
      </c>
      <c r="W9" s="177">
        <f>W5*[1]Protect!$B$13</f>
        <v>3</v>
      </c>
      <c r="X9" s="177">
        <f>X5*[1]Protect!$B$13</f>
        <v>3</v>
      </c>
      <c r="Y9" s="177">
        <f>Y5*[1]Protect!$B$13</f>
        <v>3</v>
      </c>
      <c r="Z9" s="177">
        <f>Z5*[1]Protect!$B$13</f>
        <v>0</v>
      </c>
      <c r="AV9" s="30">
        <f>Parcellaire!A7</f>
        <v>6</v>
      </c>
      <c r="AW9" s="30">
        <f>Parcellaire!B7</f>
        <v>1</v>
      </c>
      <c r="AX9" s="30" t="str">
        <f>Parcellaire!D7</f>
        <v>éloigné</v>
      </c>
      <c r="AY9" s="30">
        <f>Parcellaire!F7</f>
        <v>242</v>
      </c>
      <c r="AZ9" s="30">
        <f>Parcellaire!G7</f>
        <v>1.5</v>
      </c>
      <c r="BA9" s="30">
        <f>ROUND(Parcellaire!S7,0)</f>
        <v>0</v>
      </c>
      <c r="BB9" s="30">
        <f>ROUND(Parcellaire!T7,0)</f>
        <v>429</v>
      </c>
      <c r="BC9" s="30">
        <f>ROUND(Parcellaire!U7,0)</f>
        <v>286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PE</v>
      </c>
      <c r="BG9" s="173">
        <f t="shared" si="11"/>
        <v>0</v>
      </c>
      <c r="BH9" s="173">
        <f t="shared" si="4"/>
        <v>0</v>
      </c>
      <c r="BI9" s="173">
        <f t="shared" si="5"/>
        <v>429</v>
      </c>
      <c r="BJ9" s="173">
        <f t="shared" si="6"/>
        <v>0</v>
      </c>
      <c r="BK9" s="173">
        <f t="shared" si="7"/>
        <v>0</v>
      </c>
      <c r="BL9" s="173">
        <f t="shared" si="8"/>
        <v>1.5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proche</v>
      </c>
      <c r="AY10" s="30">
        <f>Parcellaire!F8</f>
        <v>242</v>
      </c>
      <c r="AZ10" s="30">
        <f>Parcellaire!G8</f>
        <v>2</v>
      </c>
      <c r="BA10" s="30">
        <f>ROUND(Parcellaire!S8,0)</f>
        <v>0</v>
      </c>
      <c r="BB10" s="30">
        <f>ROUND(Parcellaire!T8,0)</f>
        <v>495</v>
      </c>
      <c r="BC10" s="30">
        <f>ROUND(Parcellaire!U8,0)</f>
        <v>330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3">
        <f t="shared" si="11"/>
        <v>0</v>
      </c>
      <c r="BH10" s="173">
        <f t="shared" si="4"/>
        <v>495</v>
      </c>
      <c r="BI10" s="173">
        <f t="shared" si="5"/>
        <v>0</v>
      </c>
      <c r="BJ10" s="173">
        <f t="shared" si="6"/>
        <v>0</v>
      </c>
      <c r="BK10" s="173">
        <f t="shared" si="7"/>
        <v>2</v>
      </c>
      <c r="BL10" s="173">
        <f t="shared" si="8"/>
        <v>0</v>
      </c>
    </row>
    <row r="11" spans="1:64" x14ac:dyDescent="0.25">
      <c r="A11" s="14" t="s">
        <v>694</v>
      </c>
      <c r="B11" t="s">
        <v>568</v>
      </c>
      <c r="C11" s="177">
        <f>SUM(C8:C10)</f>
        <v>4</v>
      </c>
      <c r="D11" s="177">
        <f t="shared" ref="D11:Z11" si="14">SUM(D8:D10)</f>
        <v>4</v>
      </c>
      <c r="E11" s="177">
        <f t="shared" si="14"/>
        <v>6</v>
      </c>
      <c r="F11" s="177">
        <f t="shared" si="14"/>
        <v>8</v>
      </c>
      <c r="G11" s="177">
        <f t="shared" si="14"/>
        <v>9</v>
      </c>
      <c r="H11" s="177">
        <f t="shared" si="14"/>
        <v>9</v>
      </c>
      <c r="I11" s="177">
        <f t="shared" si="14"/>
        <v>9</v>
      </c>
      <c r="J11" s="177">
        <f t="shared" si="14"/>
        <v>9</v>
      </c>
      <c r="K11" s="177">
        <f t="shared" si="14"/>
        <v>9</v>
      </c>
      <c r="L11" s="177">
        <f t="shared" si="14"/>
        <v>4</v>
      </c>
      <c r="M11" s="177">
        <f t="shared" si="14"/>
        <v>4</v>
      </c>
      <c r="N11" s="177">
        <f t="shared" si="14"/>
        <v>2</v>
      </c>
      <c r="O11" s="177">
        <f t="shared" si="14"/>
        <v>2</v>
      </c>
      <c r="P11" s="177">
        <f t="shared" si="14"/>
        <v>2</v>
      </c>
      <c r="Q11" s="177">
        <f t="shared" si="14"/>
        <v>2</v>
      </c>
      <c r="R11" s="177">
        <f t="shared" si="14"/>
        <v>2</v>
      </c>
      <c r="S11" s="177">
        <f t="shared" si="14"/>
        <v>2</v>
      </c>
      <c r="T11" s="177">
        <f t="shared" si="14"/>
        <v>2</v>
      </c>
      <c r="U11" s="177">
        <f t="shared" si="14"/>
        <v>4</v>
      </c>
      <c r="V11" s="177">
        <f t="shared" si="14"/>
        <v>7</v>
      </c>
      <c r="W11" s="177">
        <f t="shared" si="14"/>
        <v>5</v>
      </c>
      <c r="X11" s="177">
        <f t="shared" si="14"/>
        <v>5</v>
      </c>
      <c r="Y11" s="177">
        <f t="shared" si="14"/>
        <v>5</v>
      </c>
      <c r="Z11" s="177">
        <f t="shared" si="14"/>
        <v>4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proche</v>
      </c>
      <c r="AY11" s="30">
        <f>Parcellaire!F9</f>
        <v>266</v>
      </c>
      <c r="AZ11" s="30">
        <f>Parcellaire!G9</f>
        <v>0.7</v>
      </c>
      <c r="BA11" s="30">
        <f>ROUND(Parcellaire!S9,0)</f>
        <v>0</v>
      </c>
      <c r="BB11" s="30">
        <f>ROUND(Parcellaire!T9,0)</f>
        <v>293</v>
      </c>
      <c r="BC11" s="30">
        <f>ROUND(Parcellaire!U9,0)</f>
        <v>195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PF</v>
      </c>
      <c r="BG11" s="173">
        <f t="shared" si="11"/>
        <v>0</v>
      </c>
      <c r="BH11" s="173">
        <f t="shared" si="4"/>
        <v>293</v>
      </c>
      <c r="BI11" s="173">
        <f t="shared" si="5"/>
        <v>0</v>
      </c>
      <c r="BJ11" s="173">
        <f t="shared" si="6"/>
        <v>0</v>
      </c>
      <c r="BK11" s="173">
        <f t="shared" si="7"/>
        <v>0.7</v>
      </c>
      <c r="BL11" s="173">
        <f t="shared" si="8"/>
        <v>0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4</v>
      </c>
      <c r="O12" s="177">
        <f>O7*[1]Protect!$B$15</f>
        <v>4</v>
      </c>
      <c r="P12" s="177">
        <f>P7*[1]Protect!$B$15</f>
        <v>4</v>
      </c>
      <c r="Q12" s="177">
        <f>Q7*[1]Protect!$B$15</f>
        <v>4</v>
      </c>
      <c r="R12" s="177">
        <f>R7*[1]Protect!$B$15</f>
        <v>4</v>
      </c>
      <c r="S12" s="177">
        <f>S7*[1]Protect!$B$15</f>
        <v>4</v>
      </c>
      <c r="T12" s="177">
        <f>T7*[1]Protect!$B$15</f>
        <v>4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241</v>
      </c>
      <c r="AZ12" s="30">
        <f>Parcellaire!G10</f>
        <v>2</v>
      </c>
      <c r="BA12" s="30">
        <f>ROUND(Parcellaire!S10,0)</f>
        <v>0</v>
      </c>
      <c r="BB12" s="30">
        <f>ROUND(Parcellaire!T10,0)</f>
        <v>495</v>
      </c>
      <c r="BC12" s="30">
        <f>ROUND(Parcellaire!U10,0)</f>
        <v>330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495</v>
      </c>
      <c r="BI12" s="173">
        <f t="shared" si="5"/>
        <v>0</v>
      </c>
      <c r="BJ12" s="173">
        <f t="shared" si="6"/>
        <v>0</v>
      </c>
      <c r="BK12" s="173">
        <f t="shared" si="7"/>
        <v>2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4</v>
      </c>
      <c r="D13" s="177">
        <f t="shared" ref="D13:Z13" si="15">D11+D12</f>
        <v>4</v>
      </c>
      <c r="E13" s="177">
        <f t="shared" si="15"/>
        <v>6</v>
      </c>
      <c r="F13" s="177">
        <f t="shared" si="15"/>
        <v>8</v>
      </c>
      <c r="G13" s="177">
        <f t="shared" si="15"/>
        <v>9</v>
      </c>
      <c r="H13" s="177">
        <f t="shared" si="15"/>
        <v>9</v>
      </c>
      <c r="I13" s="177">
        <f t="shared" si="15"/>
        <v>9</v>
      </c>
      <c r="J13" s="177">
        <f t="shared" si="15"/>
        <v>9</v>
      </c>
      <c r="K13" s="177">
        <f t="shared" si="15"/>
        <v>9</v>
      </c>
      <c r="L13" s="177">
        <f t="shared" si="15"/>
        <v>4</v>
      </c>
      <c r="M13" s="177">
        <f t="shared" si="15"/>
        <v>4</v>
      </c>
      <c r="N13" s="177">
        <f t="shared" si="15"/>
        <v>6</v>
      </c>
      <c r="O13" s="177">
        <f t="shared" si="15"/>
        <v>6</v>
      </c>
      <c r="P13" s="177">
        <f t="shared" si="15"/>
        <v>6</v>
      </c>
      <c r="Q13" s="177">
        <f t="shared" si="15"/>
        <v>6</v>
      </c>
      <c r="R13" s="177">
        <f t="shared" si="15"/>
        <v>6</v>
      </c>
      <c r="S13" s="177">
        <f t="shared" si="15"/>
        <v>6</v>
      </c>
      <c r="T13" s="177">
        <f t="shared" si="15"/>
        <v>6</v>
      </c>
      <c r="U13" s="177">
        <f t="shared" si="15"/>
        <v>4</v>
      </c>
      <c r="V13" s="177">
        <f t="shared" si="15"/>
        <v>7</v>
      </c>
      <c r="W13" s="177">
        <f t="shared" si="15"/>
        <v>5</v>
      </c>
      <c r="X13" s="177">
        <f t="shared" si="15"/>
        <v>5</v>
      </c>
      <c r="Y13" s="177">
        <f t="shared" si="15"/>
        <v>5</v>
      </c>
      <c r="Z13" s="177">
        <f t="shared" si="15"/>
        <v>4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241</v>
      </c>
      <c r="AZ13" s="30">
        <f>Parcellaire!G11</f>
        <v>3.3</v>
      </c>
      <c r="BA13" s="30">
        <f>ROUND(Parcellaire!S11,0)</f>
        <v>0</v>
      </c>
      <c r="BB13" s="30">
        <f>ROUND(Parcellaire!T11,0)</f>
        <v>636</v>
      </c>
      <c r="BC13" s="30">
        <f>ROUND(Parcellaire!U11,0)</f>
        <v>424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636</v>
      </c>
      <c r="BI13" s="173">
        <f t="shared" si="5"/>
        <v>0</v>
      </c>
      <c r="BJ13" s="173">
        <f t="shared" si="6"/>
        <v>0</v>
      </c>
      <c r="BK13" s="173">
        <f t="shared" si="7"/>
        <v>3.3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266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1</v>
      </c>
      <c r="D15" s="173">
        <f t="shared" si="16"/>
        <v>1</v>
      </c>
      <c r="E15" s="173">
        <f t="shared" si="16"/>
        <v>1</v>
      </c>
      <c r="F15" s="173">
        <f t="shared" si="16"/>
        <v>1</v>
      </c>
      <c r="G15" s="173">
        <f t="shared" si="16"/>
        <v>1</v>
      </c>
      <c r="H15" s="173">
        <f t="shared" si="16"/>
        <v>1</v>
      </c>
      <c r="I15" s="173">
        <f t="shared" si="16"/>
        <v>1</v>
      </c>
      <c r="J15" s="173">
        <f t="shared" si="16"/>
        <v>1</v>
      </c>
      <c r="K15" s="173">
        <f t="shared" si="16"/>
        <v>1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1</v>
      </c>
      <c r="W15" s="173">
        <f t="shared" si="16"/>
        <v>1</v>
      </c>
      <c r="X15" s="173">
        <f t="shared" si="16"/>
        <v>1</v>
      </c>
      <c r="Y15" s="173">
        <f t="shared" si="16"/>
        <v>1</v>
      </c>
      <c r="Z15" s="173">
        <f t="shared" si="16"/>
        <v>1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242</v>
      </c>
      <c r="AZ15" s="30">
        <f>Parcellaire!G13</f>
        <v>3</v>
      </c>
      <c r="BA15" s="30">
        <f>ROUND(Parcellaire!S13,0)</f>
        <v>0</v>
      </c>
      <c r="BB15" s="30">
        <f>ROUND(Parcellaire!T13,0)</f>
        <v>551</v>
      </c>
      <c r="BC15" s="30">
        <f>ROUND(Parcellaire!U13,0)</f>
        <v>367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551</v>
      </c>
      <c r="BI15" s="173">
        <f t="shared" si="5"/>
        <v>0</v>
      </c>
      <c r="BJ15" s="173">
        <f t="shared" si="6"/>
        <v>0</v>
      </c>
      <c r="BK15" s="173">
        <f t="shared" si="7"/>
        <v>3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2</v>
      </c>
      <c r="D16" s="173">
        <f t="shared" si="17"/>
        <v>2</v>
      </c>
      <c r="E16" s="173">
        <f t="shared" si="17"/>
        <v>2</v>
      </c>
      <c r="F16" s="173">
        <f t="shared" si="17"/>
        <v>1</v>
      </c>
      <c r="G16" s="173">
        <f t="shared" si="17"/>
        <v>1</v>
      </c>
      <c r="H16" s="173">
        <f t="shared" si="17"/>
        <v>0</v>
      </c>
      <c r="I16" s="173">
        <f t="shared" si="17"/>
        <v>0</v>
      </c>
      <c r="J16" s="173">
        <f t="shared" si="17"/>
        <v>0</v>
      </c>
      <c r="K16" s="173">
        <f t="shared" si="17"/>
        <v>0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0</v>
      </c>
      <c r="W16" s="173">
        <f t="shared" si="17"/>
        <v>1</v>
      </c>
      <c r="X16" s="173">
        <f t="shared" si="17"/>
        <v>2</v>
      </c>
      <c r="Y16" s="173">
        <f t="shared" si="17"/>
        <v>2</v>
      </c>
      <c r="Z16" s="173">
        <f t="shared" si="17"/>
        <v>2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242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1</v>
      </c>
      <c r="D17" s="173">
        <f t="shared" si="18"/>
        <v>1</v>
      </c>
      <c r="E17" s="173">
        <f t="shared" si="18"/>
        <v>1</v>
      </c>
      <c r="F17" s="173">
        <f t="shared" si="18"/>
        <v>2</v>
      </c>
      <c r="G17" s="173">
        <f t="shared" si="18"/>
        <v>2</v>
      </c>
      <c r="H17" s="173">
        <f t="shared" si="18"/>
        <v>3</v>
      </c>
      <c r="I17" s="173">
        <f t="shared" si="18"/>
        <v>3</v>
      </c>
      <c r="J17" s="173">
        <f t="shared" si="18"/>
        <v>3</v>
      </c>
      <c r="K17" s="173">
        <f t="shared" si="18"/>
        <v>3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2</v>
      </c>
      <c r="W17" s="173">
        <f t="shared" si="18"/>
        <v>1</v>
      </c>
      <c r="X17" s="173">
        <f t="shared" si="18"/>
        <v>1</v>
      </c>
      <c r="Y17" s="173">
        <f t="shared" si="18"/>
        <v>1</v>
      </c>
      <c r="Z17" s="173">
        <f t="shared" si="18"/>
        <v>1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290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2</v>
      </c>
      <c r="D18" s="62">
        <f t="shared" ref="D18:Z18" si="19">IF(AND(D15=0,(D16+D17)&gt;0),1,IF(AND(D15&gt;0,(D16+D17)&gt;0),D15+1,D15))</f>
        <v>2</v>
      </c>
      <c r="E18" s="62">
        <f t="shared" si="19"/>
        <v>2</v>
      </c>
      <c r="F18" s="62">
        <f t="shared" si="19"/>
        <v>2</v>
      </c>
      <c r="G18" s="62">
        <f t="shared" si="19"/>
        <v>2</v>
      </c>
      <c r="H18" s="62">
        <f t="shared" si="19"/>
        <v>2</v>
      </c>
      <c r="I18" s="62">
        <f t="shared" si="19"/>
        <v>2</v>
      </c>
      <c r="J18" s="62">
        <f t="shared" si="19"/>
        <v>2</v>
      </c>
      <c r="K18" s="62">
        <f t="shared" si="19"/>
        <v>2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2</v>
      </c>
      <c r="W18" s="62">
        <f t="shared" si="19"/>
        <v>2</v>
      </c>
      <c r="X18" s="62">
        <f t="shared" si="19"/>
        <v>2</v>
      </c>
      <c r="Y18" s="62">
        <f t="shared" si="19"/>
        <v>2</v>
      </c>
      <c r="Z18" s="62">
        <f t="shared" si="19"/>
        <v>2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241</v>
      </c>
      <c r="AZ18" s="30">
        <f>Parcellaire!G16</f>
        <v>2</v>
      </c>
      <c r="BA18" s="30">
        <f>ROUND(Parcellaire!S16,0)</f>
        <v>0</v>
      </c>
      <c r="BB18" s="30">
        <f>ROUND(Parcellaire!T16,0)</f>
        <v>472</v>
      </c>
      <c r="BC18" s="30">
        <f>ROUND(Parcellaire!U16,0)</f>
        <v>315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472</v>
      </c>
      <c r="BI18" s="173">
        <f t="shared" si="5"/>
        <v>0</v>
      </c>
      <c r="BJ18" s="173">
        <f t="shared" si="6"/>
        <v>0</v>
      </c>
      <c r="BK18" s="173">
        <f t="shared" si="7"/>
        <v>2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241</v>
      </c>
      <c r="AZ19" s="30">
        <f>Parcellaire!G17</f>
        <v>1.7</v>
      </c>
      <c r="BA19" s="30">
        <f>ROUND(Parcellaire!S17,0)</f>
        <v>0</v>
      </c>
      <c r="BB19" s="30">
        <f>ROUND(Parcellaire!T17,0)</f>
        <v>435</v>
      </c>
      <c r="BC19" s="30">
        <f>ROUND(Parcellaire!U17,0)</f>
        <v>290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435</v>
      </c>
      <c r="BI19" s="173">
        <f t="shared" si="5"/>
        <v>0</v>
      </c>
      <c r="BJ19" s="173">
        <f t="shared" si="6"/>
        <v>0</v>
      </c>
      <c r="BK19" s="173">
        <f t="shared" si="7"/>
        <v>1.7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1</v>
      </c>
      <c r="O20" s="173">
        <f t="shared" si="21"/>
        <v>1</v>
      </c>
      <c r="P20" s="173">
        <f t="shared" si="21"/>
        <v>1</v>
      </c>
      <c r="Q20" s="173">
        <f t="shared" si="21"/>
        <v>1</v>
      </c>
      <c r="R20" s="173">
        <f t="shared" si="21"/>
        <v>1</v>
      </c>
      <c r="S20" s="173">
        <f t="shared" si="21"/>
        <v>1</v>
      </c>
      <c r="T20" s="173">
        <f t="shared" si="21"/>
        <v>1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8224</v>
      </c>
      <c r="AE20" s="64">
        <v>0</v>
      </c>
      <c r="AF20" s="64">
        <f>SUM(AD20:AE20)</f>
        <v>8224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1</v>
      </c>
      <c r="AX20" s="30" t="str">
        <f>Parcellaire!D18</f>
        <v>proche</v>
      </c>
      <c r="AY20" s="30">
        <f>Parcellaire!F18</f>
        <v>241</v>
      </c>
      <c r="AZ20" s="30">
        <f>Parcellaire!G18</f>
        <v>3</v>
      </c>
      <c r="BA20" s="30">
        <f>ROUND(Parcellaire!S18,0)</f>
        <v>0</v>
      </c>
      <c r="BB20" s="30">
        <f>ROUND(Parcellaire!T18,0)</f>
        <v>606</v>
      </c>
      <c r="BC20" s="30">
        <f>ROUND(Parcellaire!U18,0)</f>
        <v>404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10"/>
        <v>PF</v>
      </c>
      <c r="BG20" s="173">
        <f t="shared" si="11"/>
        <v>0</v>
      </c>
      <c r="BH20" s="173">
        <f t="shared" si="4"/>
        <v>606</v>
      </c>
      <c r="BI20" s="173">
        <f t="shared" si="5"/>
        <v>0</v>
      </c>
      <c r="BJ20" s="173">
        <f t="shared" si="6"/>
        <v>0</v>
      </c>
      <c r="BK20" s="173">
        <f t="shared" si="7"/>
        <v>3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1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8224</v>
      </c>
      <c r="AV21" s="30">
        <f>Parcellaire!A19</f>
        <v>18</v>
      </c>
      <c r="AW21" s="30">
        <f>Parcellaire!B19</f>
        <v>1</v>
      </c>
      <c r="AX21" s="30" t="str">
        <f>Parcellaire!D19</f>
        <v>éloigné</v>
      </c>
      <c r="AY21" s="30">
        <f>Parcellaire!F19</f>
        <v>194</v>
      </c>
      <c r="AZ21" s="30">
        <f>Parcellaire!G19</f>
        <v>1</v>
      </c>
      <c r="BA21" s="30">
        <f>ROUND(Parcellaire!S19,0)</f>
        <v>0</v>
      </c>
      <c r="BB21" s="30">
        <f>ROUND(Parcellaire!T19,0)</f>
        <v>350</v>
      </c>
      <c r="BC21" s="30">
        <f>ROUND(Parcellaire!U19,0)</f>
        <v>233</v>
      </c>
      <c r="BD21" s="30" t="str">
        <f>IF(AW21=2,"",VLOOKUP(AY21,[1]MEP!$X$5:$AA$250,4))</f>
        <v>PT</v>
      </c>
      <c r="BE21" s="30" t="str">
        <f>IF(AW21=2,"",VLOOKUP(BD21,[1]MEP!$AC$5:$AD$10,2))</f>
        <v>P</v>
      </c>
      <c r="BF21" s="30" t="str">
        <f t="shared" si="10"/>
        <v>PE</v>
      </c>
      <c r="BG21" s="173">
        <f t="shared" si="11"/>
        <v>0</v>
      </c>
      <c r="BH21" s="173">
        <f t="shared" si="4"/>
        <v>0</v>
      </c>
      <c r="BI21" s="173">
        <f t="shared" si="5"/>
        <v>350</v>
      </c>
      <c r="BJ21" s="173">
        <f t="shared" si="6"/>
        <v>0</v>
      </c>
      <c r="BK21" s="173">
        <f t="shared" si="7"/>
        <v>0</v>
      </c>
      <c r="BL21" s="173">
        <f t="shared" si="8"/>
        <v>1</v>
      </c>
    </row>
    <row r="22" spans="1:64" x14ac:dyDescent="0.25">
      <c r="A22" s="178" t="s">
        <v>723</v>
      </c>
      <c r="B22" t="s">
        <v>568</v>
      </c>
      <c r="C22" s="62">
        <f>C18+C19+C21</f>
        <v>2</v>
      </c>
      <c r="D22" s="62">
        <f t="shared" ref="D22:Z22" si="22">D18+D19+D21</f>
        <v>2</v>
      </c>
      <c r="E22" s="62">
        <f t="shared" si="22"/>
        <v>2</v>
      </c>
      <c r="F22" s="62">
        <f t="shared" si="22"/>
        <v>2</v>
      </c>
      <c r="G22" s="62">
        <f t="shared" si="22"/>
        <v>2</v>
      </c>
      <c r="H22" s="62">
        <f t="shared" si="22"/>
        <v>2</v>
      </c>
      <c r="I22" s="62">
        <f t="shared" si="22"/>
        <v>2</v>
      </c>
      <c r="J22" s="62">
        <f t="shared" si="22"/>
        <v>2</v>
      </c>
      <c r="K22" s="62">
        <f t="shared" si="22"/>
        <v>2</v>
      </c>
      <c r="L22" s="62">
        <f t="shared" si="22"/>
        <v>1</v>
      </c>
      <c r="M22" s="62">
        <f t="shared" si="22"/>
        <v>1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2</v>
      </c>
      <c r="U22" s="62">
        <f t="shared" si="22"/>
        <v>1</v>
      </c>
      <c r="V22" s="62">
        <f t="shared" si="22"/>
        <v>2</v>
      </c>
      <c r="W22" s="62">
        <f t="shared" si="22"/>
        <v>2</v>
      </c>
      <c r="X22" s="62">
        <f t="shared" si="22"/>
        <v>2</v>
      </c>
      <c r="Y22" s="62">
        <f t="shared" si="22"/>
        <v>2</v>
      </c>
      <c r="Z22" s="62">
        <f t="shared" si="22"/>
        <v>2</v>
      </c>
      <c r="AC22" s="14" t="s">
        <v>718</v>
      </c>
      <c r="AD22" s="64">
        <f>IF(AND(Scénario!K88=1,Troupeau!B3="OL"),Protection!AP6,0)</f>
        <v>4317</v>
      </c>
      <c r="AE22" s="64">
        <f>IF(AND(LEFT(Scénario!K12,2)="OL",Troupeau!C3&lt;&gt;"",Scénario!K91=1),Protection!AP5+Protection!AP3,0)</f>
        <v>0</v>
      </c>
      <c r="AF22" s="64">
        <f>SUM(AD22:AE22)</f>
        <v>4317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1</v>
      </c>
      <c r="AX22" s="30" t="str">
        <f>Parcellaire!D20</f>
        <v>proche</v>
      </c>
      <c r="AY22" s="30">
        <f>Parcellaire!F20</f>
        <v>17</v>
      </c>
      <c r="AZ22" s="30">
        <f>Parcellaire!G20</f>
        <v>4.3</v>
      </c>
      <c r="BA22" s="30">
        <f>ROUND(Parcellaire!S20,0)</f>
        <v>0</v>
      </c>
      <c r="BB22" s="30">
        <f>ROUND(Parcellaire!T20,0)</f>
        <v>505</v>
      </c>
      <c r="BC22" s="30">
        <f>ROUND(Parcellaire!U20,0)</f>
        <v>1011</v>
      </c>
      <c r="BD22" s="30" t="str">
        <f>IF(AW22=2,"",VLOOKUP(AY22,[1]MEP!$X$5:$AA$250,4))</f>
        <v>lande</v>
      </c>
      <c r="BE22" s="30" t="str">
        <f>IF(AW22=2,"",VLOOKUP(BD22,[1]MEP!$AC$5:$AD$10,2))</f>
        <v>LP</v>
      </c>
      <c r="BF22" s="30" t="str">
        <f t="shared" si="10"/>
        <v>LP</v>
      </c>
      <c r="BG22" s="173">
        <f t="shared" si="11"/>
        <v>505</v>
      </c>
      <c r="BH22" s="173">
        <f t="shared" si="4"/>
        <v>0</v>
      </c>
      <c r="BI22" s="173">
        <f t="shared" si="5"/>
        <v>0</v>
      </c>
      <c r="BJ22" s="173">
        <f t="shared" si="6"/>
        <v>4.3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1</v>
      </c>
      <c r="AX23" s="30" t="str">
        <f>Parcellaire!D21</f>
        <v>éloigné</v>
      </c>
      <c r="AY23" s="30">
        <f>Parcellaire!F21</f>
        <v>172</v>
      </c>
      <c r="AZ23" s="30">
        <f>Parcellaire!G21</f>
        <v>6.8</v>
      </c>
      <c r="BA23" s="30">
        <f>ROUND(Parcellaire!S21,0)</f>
        <v>0</v>
      </c>
      <c r="BB23" s="30">
        <f>ROUND(Parcellaire!T21,0)</f>
        <v>636</v>
      </c>
      <c r="BC23" s="30">
        <f>ROUND(Parcellaire!U21,0)</f>
        <v>1271</v>
      </c>
      <c r="BD23" s="30" t="str">
        <f>IF(AW23=2,"",VLOOKUP(AY23,[1]MEP!$X$5:$AA$250,4))</f>
        <v>lande</v>
      </c>
      <c r="BE23" s="30" t="str">
        <f>IF(AW23=2,"",VLOOKUP(BD23,[1]MEP!$AC$5:$AD$10,2))</f>
        <v>LP</v>
      </c>
      <c r="BF23" s="30" t="str">
        <f t="shared" si="10"/>
        <v>LP</v>
      </c>
      <c r="BG23" s="173">
        <f t="shared" si="11"/>
        <v>636</v>
      </c>
      <c r="BH23" s="173">
        <f t="shared" si="4"/>
        <v>0</v>
      </c>
      <c r="BI23" s="173">
        <f t="shared" si="5"/>
        <v>0</v>
      </c>
      <c r="BJ23" s="173">
        <f t="shared" si="6"/>
        <v>6.8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1</v>
      </c>
      <c r="AX24" s="30" t="str">
        <f>Parcellaire!D22</f>
        <v>éloigné</v>
      </c>
      <c r="AY24" s="30">
        <f>Parcellaire!F22</f>
        <v>194</v>
      </c>
      <c r="AZ24" s="30">
        <f>Parcellaire!G22</f>
        <v>2</v>
      </c>
      <c r="BA24" s="30">
        <f>ROUND(Parcellaire!S22,0)</f>
        <v>0</v>
      </c>
      <c r="BB24" s="30">
        <f>ROUND(Parcellaire!T22,0)</f>
        <v>495</v>
      </c>
      <c r="BC24" s="30">
        <f>ROUND(Parcellaire!U22,0)</f>
        <v>330</v>
      </c>
      <c r="BD24" s="30" t="str">
        <f>IF(AW24=2,"",VLOOKUP(AY24,[1]MEP!$X$5:$AA$250,4))</f>
        <v>PT</v>
      </c>
      <c r="BE24" s="30" t="str">
        <f>IF(AW24=2,"",VLOOKUP(BD24,[1]MEP!$AC$5:$AD$10,2))</f>
        <v>P</v>
      </c>
      <c r="BF24" s="30" t="str">
        <f t="shared" si="10"/>
        <v>PE</v>
      </c>
      <c r="BG24" s="173">
        <f t="shared" si="11"/>
        <v>0</v>
      </c>
      <c r="BH24" s="173">
        <f t="shared" si="4"/>
        <v>0</v>
      </c>
      <c r="BI24" s="173">
        <f t="shared" si="5"/>
        <v>495</v>
      </c>
      <c r="BJ24" s="173">
        <f t="shared" si="6"/>
        <v>0</v>
      </c>
      <c r="BK24" s="173">
        <f t="shared" si="7"/>
        <v>0</v>
      </c>
      <c r="BL24" s="173">
        <f t="shared" si="8"/>
        <v>2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1</v>
      </c>
      <c r="F25" s="177">
        <f t="shared" si="23"/>
        <v>1</v>
      </c>
      <c r="G25" s="177">
        <f t="shared" si="23"/>
        <v>1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3</v>
      </c>
      <c r="N25" s="177">
        <f t="shared" si="23"/>
        <v>3</v>
      </c>
      <c r="O25" s="177">
        <f t="shared" si="23"/>
        <v>3</v>
      </c>
      <c r="P25" s="177">
        <f t="shared" si="23"/>
        <v>3</v>
      </c>
      <c r="Q25" s="177">
        <f t="shared" si="23"/>
        <v>3</v>
      </c>
      <c r="R25" s="177">
        <f t="shared" si="23"/>
        <v>3</v>
      </c>
      <c r="S25" s="177">
        <f t="shared" si="23"/>
        <v>3</v>
      </c>
      <c r="T25" s="177">
        <f t="shared" si="23"/>
        <v>3</v>
      </c>
      <c r="U25" s="177">
        <f t="shared" si="23"/>
        <v>1</v>
      </c>
      <c r="V25" s="177">
        <f t="shared" si="23"/>
        <v>2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8224</v>
      </c>
      <c r="AV25" s="30">
        <f>Parcellaire!A23</f>
        <v>22</v>
      </c>
      <c r="AW25" s="30">
        <f>Parcellaire!B23</f>
        <v>1</v>
      </c>
      <c r="AX25" s="30" t="str">
        <f>Parcellaire!D23</f>
        <v>éloigné</v>
      </c>
      <c r="AY25" s="30">
        <f>Parcellaire!F23</f>
        <v>194</v>
      </c>
      <c r="AZ25" s="30">
        <f>Parcellaire!G23</f>
        <v>2</v>
      </c>
      <c r="BA25" s="30">
        <f>ROUND(Parcellaire!S23,0)</f>
        <v>0</v>
      </c>
      <c r="BB25" s="30">
        <f>ROUND(Parcellaire!T23,0)</f>
        <v>495</v>
      </c>
      <c r="BC25" s="30">
        <f>ROUND(Parcellaire!U23,0)</f>
        <v>330</v>
      </c>
      <c r="BD25" s="30" t="str">
        <f>IF(AW25=2,"",VLOOKUP(AY25,[1]MEP!$X$5:$AA$250,4))</f>
        <v>PT</v>
      </c>
      <c r="BE25" s="30" t="str">
        <f>IF(AW25=2,"",VLOOKUP(BD25,[1]MEP!$AC$5:$AD$10,2))</f>
        <v>P</v>
      </c>
      <c r="BF25" s="30" t="str">
        <f t="shared" si="10"/>
        <v>PE</v>
      </c>
      <c r="BG25" s="173">
        <f t="shared" si="11"/>
        <v>0</v>
      </c>
      <c r="BH25" s="173">
        <f t="shared" si="4"/>
        <v>0</v>
      </c>
      <c r="BI25" s="173">
        <f t="shared" si="5"/>
        <v>495</v>
      </c>
      <c r="BJ25" s="173">
        <f t="shared" si="6"/>
        <v>0</v>
      </c>
      <c r="BK25" s="173">
        <f t="shared" si="7"/>
        <v>0</v>
      </c>
      <c r="BL25" s="173">
        <f t="shared" si="8"/>
        <v>2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2</v>
      </c>
      <c r="V26" s="177">
        <f t="shared" si="24"/>
        <v>1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39.099999999999994</v>
      </c>
      <c r="AV26" s="30">
        <f>Parcellaire!A24</f>
        <v>21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3">
        <f t="shared" si="11"/>
        <v>0</v>
      </c>
      <c r="BH26" s="173">
        <f t="shared" si="4"/>
        <v>0</v>
      </c>
      <c r="BI26" s="173">
        <f t="shared" si="5"/>
        <v>0</v>
      </c>
      <c r="BJ26" s="173">
        <f t="shared" si="6"/>
        <v>0</v>
      </c>
      <c r="BK26" s="173">
        <f t="shared" si="7"/>
        <v>0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22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3">
        <f t="shared" si="11"/>
        <v>0</v>
      </c>
      <c r="BH27" s="173">
        <f t="shared" si="4"/>
        <v>0</v>
      </c>
      <c r="BI27" s="173">
        <f t="shared" si="5"/>
        <v>0</v>
      </c>
      <c r="BJ27" s="173">
        <f t="shared" si="6"/>
        <v>0</v>
      </c>
      <c r="BK27" s="173">
        <f t="shared" si="7"/>
        <v>0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0</v>
      </c>
      <c r="N28" s="177">
        <f t="shared" si="26"/>
        <v>0</v>
      </c>
      <c r="O28" s="177">
        <f t="shared" si="26"/>
        <v>0</v>
      </c>
      <c r="P28" s="177">
        <f t="shared" si="26"/>
        <v>0</v>
      </c>
      <c r="Q28" s="177">
        <f t="shared" si="26"/>
        <v>0</v>
      </c>
      <c r="R28" s="177">
        <f t="shared" si="26"/>
        <v>0</v>
      </c>
      <c r="S28" s="177">
        <f t="shared" si="26"/>
        <v>0</v>
      </c>
      <c r="T28" s="177">
        <f t="shared" si="26"/>
        <v>0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1</v>
      </c>
      <c r="AJ28" s="14"/>
      <c r="AV28" s="30">
        <f>Parcellaire!A26</f>
        <v>23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3">
        <f t="shared" si="11"/>
        <v>0</v>
      </c>
      <c r="BH28" s="173">
        <f t="shared" si="4"/>
        <v>0</v>
      </c>
      <c r="BI28" s="173">
        <f t="shared" si="5"/>
        <v>0</v>
      </c>
      <c r="BJ28" s="173">
        <f t="shared" si="6"/>
        <v>0</v>
      </c>
      <c r="BK28" s="173">
        <f t="shared" si="7"/>
        <v>0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2</v>
      </c>
      <c r="F29" s="177">
        <f>F25*[1]Protect!$B$12</f>
        <v>2</v>
      </c>
      <c r="G29" s="177">
        <f>G25*[1]Protect!$B$12</f>
        <v>2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6</v>
      </c>
      <c r="N29" s="177">
        <f>N25*[1]Protect!$B$12</f>
        <v>6</v>
      </c>
      <c r="O29" s="177">
        <f>O25*[1]Protect!$B$12</f>
        <v>6</v>
      </c>
      <c r="P29" s="177">
        <f>P25*[1]Protect!$B$12</f>
        <v>6</v>
      </c>
      <c r="Q29" s="177">
        <f>Q25*[1]Protect!$B$12</f>
        <v>6</v>
      </c>
      <c r="R29" s="177">
        <f>R25*[1]Protect!$B$12</f>
        <v>6</v>
      </c>
      <c r="S29" s="177">
        <f>S25*[1]Protect!$B$12</f>
        <v>6</v>
      </c>
      <c r="T29" s="177">
        <f>T25*[1]Protect!$B$12</f>
        <v>6</v>
      </c>
      <c r="U29" s="177">
        <f>U25*[1]Protect!$B$12</f>
        <v>2</v>
      </c>
      <c r="V29" s="177">
        <f>V25*[1]Protect!$B$12</f>
        <v>4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24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3">
        <f t="shared" si="11"/>
        <v>0</v>
      </c>
      <c r="BH29" s="173">
        <f t="shared" si="4"/>
        <v>0</v>
      </c>
      <c r="BI29" s="173">
        <f t="shared" si="5"/>
        <v>0</v>
      </c>
      <c r="BJ29" s="173">
        <f t="shared" si="6"/>
        <v>0</v>
      </c>
      <c r="BK29" s="173">
        <f t="shared" si="7"/>
        <v>0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6</v>
      </c>
      <c r="V30" s="177">
        <f>V26*[1]Protect!$B$13</f>
        <v>3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25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3">
        <f t="shared" si="11"/>
        <v>0</v>
      </c>
      <c r="BH30" s="173">
        <f t="shared" si="4"/>
        <v>0</v>
      </c>
      <c r="BI30" s="173">
        <f t="shared" si="5"/>
        <v>0</v>
      </c>
      <c r="BJ30" s="173">
        <f t="shared" si="6"/>
        <v>0</v>
      </c>
      <c r="BK30" s="173">
        <f t="shared" si="7"/>
        <v>0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1141</v>
      </c>
      <c r="BH31" s="62">
        <f t="shared" ref="BH31:BK31" si="27">SUM(BH3:BH30)</f>
        <v>4317</v>
      </c>
      <c r="BI31" s="62">
        <f t="shared" si="27"/>
        <v>2766</v>
      </c>
      <c r="BJ31" s="62">
        <f t="shared" si="27"/>
        <v>11.1</v>
      </c>
      <c r="BK31" s="62">
        <f t="shared" si="27"/>
        <v>18.7</v>
      </c>
      <c r="BL31" s="62">
        <f>SUM(BL3:BL30)</f>
        <v>9.3000000000000007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2</v>
      </c>
      <c r="F32" s="177">
        <f t="shared" si="28"/>
        <v>2</v>
      </c>
      <c r="G32" s="177">
        <f t="shared" si="28"/>
        <v>2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6</v>
      </c>
      <c r="N32" s="177">
        <f t="shared" si="28"/>
        <v>6</v>
      </c>
      <c r="O32" s="177">
        <f t="shared" si="28"/>
        <v>6</v>
      </c>
      <c r="P32" s="177">
        <f t="shared" si="28"/>
        <v>6</v>
      </c>
      <c r="Q32" s="177">
        <f t="shared" si="28"/>
        <v>6</v>
      </c>
      <c r="R32" s="177">
        <f t="shared" si="28"/>
        <v>6</v>
      </c>
      <c r="S32" s="177">
        <f t="shared" si="28"/>
        <v>6</v>
      </c>
      <c r="T32" s="177">
        <f t="shared" si="28"/>
        <v>6</v>
      </c>
      <c r="U32" s="177">
        <f t="shared" si="28"/>
        <v>8</v>
      </c>
      <c r="V32" s="177">
        <f t="shared" si="28"/>
        <v>7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0</v>
      </c>
      <c r="N33" s="177">
        <f>N28*[1]Protect!$B$15</f>
        <v>0</v>
      </c>
      <c r="O33" s="177">
        <f>O28*[1]Protect!$B$15</f>
        <v>0</v>
      </c>
      <c r="P33" s="177">
        <f>P28*[1]Protect!$B$15</f>
        <v>0</v>
      </c>
      <c r="Q33" s="177">
        <f>Q28*[1]Protect!$B$15</f>
        <v>0</v>
      </c>
      <c r="R33" s="177">
        <f>R28*[1]Protect!$B$15</f>
        <v>0</v>
      </c>
      <c r="S33" s="177">
        <f>S28*[1]Protect!$B$15</f>
        <v>0</v>
      </c>
      <c r="T33" s="177">
        <f>T28*[1]Protect!$B$15</f>
        <v>0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0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4</v>
      </c>
      <c r="F34" s="177">
        <f t="shared" si="29"/>
        <v>4</v>
      </c>
      <c r="G34" s="177">
        <f t="shared" si="29"/>
        <v>4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12</v>
      </c>
      <c r="N34" s="177">
        <f t="shared" si="29"/>
        <v>12</v>
      </c>
      <c r="O34" s="177">
        <f t="shared" si="29"/>
        <v>12</v>
      </c>
      <c r="P34" s="177">
        <f t="shared" si="29"/>
        <v>12</v>
      </c>
      <c r="Q34" s="177">
        <f t="shared" si="29"/>
        <v>12</v>
      </c>
      <c r="R34" s="177">
        <f t="shared" si="29"/>
        <v>12</v>
      </c>
      <c r="S34" s="177">
        <f t="shared" si="29"/>
        <v>12</v>
      </c>
      <c r="T34" s="177">
        <f t="shared" si="29"/>
        <v>12</v>
      </c>
      <c r="U34" s="177">
        <f t="shared" si="29"/>
        <v>16</v>
      </c>
      <c r="V34" s="177">
        <f t="shared" si="29"/>
        <v>14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3</v>
      </c>
      <c r="N36" s="173">
        <f t="shared" si="30"/>
        <v>3</v>
      </c>
      <c r="O36" s="173">
        <f t="shared" si="30"/>
        <v>3</v>
      </c>
      <c r="P36" s="173">
        <f t="shared" si="30"/>
        <v>3</v>
      </c>
      <c r="Q36" s="173">
        <f t="shared" si="30"/>
        <v>3</v>
      </c>
      <c r="R36" s="173">
        <f t="shared" si="30"/>
        <v>3</v>
      </c>
      <c r="S36" s="173">
        <f t="shared" si="30"/>
        <v>3</v>
      </c>
      <c r="T36" s="173">
        <f t="shared" si="30"/>
        <v>3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3</v>
      </c>
      <c r="N39" s="62">
        <f t="shared" si="33"/>
        <v>3</v>
      </c>
      <c r="O39" s="62">
        <f t="shared" si="33"/>
        <v>3</v>
      </c>
      <c r="P39" s="62">
        <f t="shared" si="33"/>
        <v>3</v>
      </c>
      <c r="Q39" s="62">
        <f t="shared" si="33"/>
        <v>3</v>
      </c>
      <c r="R39" s="62">
        <f t="shared" si="33"/>
        <v>3</v>
      </c>
      <c r="S39" s="62">
        <f t="shared" si="33"/>
        <v>3</v>
      </c>
      <c r="T39" s="62">
        <f t="shared" si="33"/>
        <v>3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0</v>
      </c>
      <c r="N41" s="173">
        <f t="shared" si="35"/>
        <v>0</v>
      </c>
      <c r="O41" s="173">
        <f t="shared" si="35"/>
        <v>0</v>
      </c>
      <c r="P41" s="173">
        <f t="shared" si="35"/>
        <v>0</v>
      </c>
      <c r="Q41" s="173">
        <f t="shared" si="35"/>
        <v>0</v>
      </c>
      <c r="R41" s="173">
        <f t="shared" si="35"/>
        <v>0</v>
      </c>
      <c r="S41" s="173">
        <f t="shared" si="35"/>
        <v>0</v>
      </c>
      <c r="T41" s="173">
        <f t="shared" si="35"/>
        <v>0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5</v>
      </c>
      <c r="O68" s="173">
        <f>IF($AA68=0,99,IF(O81&gt;3,CdTrp1!N76,CdTrp1!N52))</f>
        <v>5</v>
      </c>
      <c r="P68" s="173">
        <f>IF($AA68=0,99,IF(P81&gt;3,CdTrp1!O76,CdTrp1!O52))</f>
        <v>5</v>
      </c>
      <c r="Q68" s="173">
        <f>IF($AA68=0,99,IF(Q81&gt;3,CdTrp1!P76,CdTrp1!P52))</f>
        <v>5</v>
      </c>
      <c r="R68" s="173">
        <f>IF($AA68=0,99,IF(R81&gt;3,CdTrp1!Q76,CdTrp1!Q52))</f>
        <v>5</v>
      </c>
      <c r="S68" s="173">
        <f>IF($AA68=0,99,IF(S81&gt;3,CdTrp1!R76,CdTrp1!R52))</f>
        <v>5</v>
      </c>
      <c r="T68" s="173">
        <f>IF($AA68=0,99,IF(T81&gt;3,CdTrp1!S76,CdTrp1!S52))</f>
        <v>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258.84057971014482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0.5</v>
      </c>
      <c r="D69" s="173">
        <f>IF($AA69=0,99,IF(D82&gt;3,CdTrp1!C77,CdTrp1!C53))</f>
        <v>0.5</v>
      </c>
      <c r="E69" s="173">
        <f>IF($AA69=0,99,IF(E82&gt;3,CdTrp1!D77,CdTrp1!D53))</f>
        <v>0.5</v>
      </c>
      <c r="F69" s="173">
        <f>IF($AA69=0,99,IF(F82&gt;3,CdTrp1!E77,CdTrp1!E53))</f>
        <v>0.5</v>
      </c>
      <c r="G69" s="173">
        <f>IF($AA69=0,99,IF(G82&gt;3,CdTrp1!F77,CdTrp1!F53))</f>
        <v>0.5</v>
      </c>
      <c r="H69" s="173">
        <f>IF($AA69=0,99,IF(H82&gt;3,CdTrp1!G77,CdTrp1!G53))</f>
        <v>0.5</v>
      </c>
      <c r="I69" s="173">
        <f>IF($AA69=0,99,IF(I82&gt;3,CdTrp1!H77,CdTrp1!H53))</f>
        <v>0.5</v>
      </c>
      <c r="J69" s="173">
        <f>IF($AA69=0,99,IF(J82&gt;3,CdTrp1!I77,CdTrp1!I53))</f>
        <v>0.5</v>
      </c>
      <c r="K69" s="173">
        <f>IF($AA69=0,99,IF(K82&gt;3,CdTrp1!J77,CdTrp1!J53))</f>
        <v>0.5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0.5</v>
      </c>
      <c r="W69" s="173">
        <f>IF($AA69=0,99,IF(W82&gt;3,CdTrp1!V77,CdTrp1!V53))</f>
        <v>0.5</v>
      </c>
      <c r="X69" s="173">
        <f>IF($AA69=0,99,IF(X82&gt;3,CdTrp1!W77,CdTrp1!W53))</f>
        <v>0.5</v>
      </c>
      <c r="Y69" s="173">
        <f>IF($AA69=0,99,IF(Y82&gt;3,CdTrp1!X77,CdTrp1!X53))</f>
        <v>0.5</v>
      </c>
      <c r="Z69" s="173">
        <f>IF($AA69=0,99,IF(Z82&gt;3,CdTrp1!Y77,CdTrp1!Y53))</f>
        <v>0.5</v>
      </c>
      <c r="AA69" s="182">
        <f>SUM(CdTrp1!B16:Y16)/24</f>
        <v>14.649275362318839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0.5</v>
      </c>
      <c r="I70" s="173">
        <f>IF($AA70=0,99,IF(I83&gt;3,CdTrp1!H78,CdTrp1!H54))</f>
        <v>0.5</v>
      </c>
      <c r="J70" s="173">
        <f>IF($AA70=0,99,IF(J83&gt;3,CdTrp1!I78,CdTrp1!I54))</f>
        <v>0.5</v>
      </c>
      <c r="K70" s="173">
        <f>IF($AA70=0,99,IF(K83&gt;3,CdTrp1!J78,CdTrp1!J54))</f>
        <v>0.5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3</v>
      </c>
      <c r="W70" s="173">
        <f>IF($AA70=0,99,IF(W83&gt;3,CdTrp1!V78,CdTrp1!V54))</f>
        <v>3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0</v>
      </c>
      <c r="D71" s="173">
        <f>IF($AA71=0,99,IF(D84&gt;3,CdTrp1!C79,CdTrp1!C55))</f>
        <v>0</v>
      </c>
      <c r="E71" s="173">
        <f>IF($AA71=0,99,IF(E84&gt;3,CdTrp1!D79,CdTrp1!D55))</f>
        <v>0</v>
      </c>
      <c r="F71" s="173">
        <f>IF($AA71=0,99,IF(F84&gt;3,CdTrp1!E79,CdTrp1!E55))</f>
        <v>0</v>
      </c>
      <c r="G71" s="173">
        <f>IF($AA71=0,99,IF(G84&gt;3,CdTrp1!F79,CdTrp1!F55))</f>
        <v>0</v>
      </c>
      <c r="H71" s="173">
        <f>IF($AA71=0,99,IF(H84&gt;3,CdTrp1!G79,CdTrp1!G55))</f>
        <v>0</v>
      </c>
      <c r="I71" s="173">
        <f>IF($AA71=0,99,IF(I84&gt;3,CdTrp1!H79,CdTrp1!H55))</f>
        <v>0</v>
      </c>
      <c r="J71" s="173">
        <f>IF($AA71=0,99,IF(J84&gt;3,CdTrp1!I79,CdTrp1!I55))</f>
        <v>0</v>
      </c>
      <c r="K71" s="173">
        <f>IF($AA71=0,99,IF(K84&gt;3,CdTrp1!J79,CdTrp1!J55))</f>
        <v>0</v>
      </c>
      <c r="L71" s="173">
        <f>IF($AA71=0,99,IF(L84&gt;3,CdTrp1!K79,CdTrp1!K55))</f>
        <v>3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0</v>
      </c>
      <c r="W71" s="173">
        <f>IF($AA71=0,99,IF(W84&gt;3,CdTrp1!V79,CdTrp1!V55))</f>
        <v>0</v>
      </c>
      <c r="X71" s="173">
        <f>IF($AA71=0,99,IF(X84&gt;3,CdTrp1!W79,CdTrp1!W55))</f>
        <v>0</v>
      </c>
      <c r="Y71" s="173">
        <f>IF($AA71=0,99,IF(Y84&gt;3,CdTrp1!X79,CdTrp1!X55))</f>
        <v>0</v>
      </c>
      <c r="Z71" s="173">
        <f>IF($AA71=0,99,IF(Z84&gt;3,CdTrp1!Y79,CdTrp1!Y55))</f>
        <v>0</v>
      </c>
      <c r="AA71" s="182">
        <f>SUM(CdTrp1!B18:Y18)/24</f>
        <v>4.6260869565217408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5</v>
      </c>
      <c r="O81" s="173">
        <f>CdTrp1!N76</f>
        <v>5</v>
      </c>
      <c r="P81" s="173">
        <f>CdTrp1!O76</f>
        <v>5</v>
      </c>
      <c r="Q81" s="173">
        <f>CdTrp1!P76</f>
        <v>5</v>
      </c>
      <c r="R81" s="173">
        <f>CdTrp1!Q76</f>
        <v>5</v>
      </c>
      <c r="S81" s="173">
        <f>CdTrp1!R76</f>
        <v>5</v>
      </c>
      <c r="T81" s="173">
        <f>CdTrp1!S76</f>
        <v>5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2</v>
      </c>
      <c r="D82" s="173">
        <f>CdTrp1!C77</f>
        <v>2</v>
      </c>
      <c r="E82" s="173">
        <f>CdTrp1!D77</f>
        <v>2</v>
      </c>
      <c r="F82" s="173">
        <f>CdTrp1!E77</f>
        <v>2</v>
      </c>
      <c r="G82" s="173">
        <f>CdTrp1!F77</f>
        <v>3</v>
      </c>
      <c r="H82" s="173">
        <f>CdTrp1!G77</f>
        <v>3</v>
      </c>
      <c r="I82" s="173">
        <f>CdTrp1!H77</f>
        <v>3</v>
      </c>
      <c r="J82" s="173">
        <f>CdTrp1!I77</f>
        <v>3</v>
      </c>
      <c r="K82" s="173">
        <f>CdTrp1!J77</f>
        <v>3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3</v>
      </c>
      <c r="W82" s="173">
        <f>CdTrp1!V77</f>
        <v>3</v>
      </c>
      <c r="X82" s="173">
        <f>CdTrp1!W77</f>
        <v>3</v>
      </c>
      <c r="Y82" s="173">
        <f>CdTrp1!X77</f>
        <v>3</v>
      </c>
      <c r="Z82" s="173">
        <f>CdTrp1!Y77</f>
        <v>2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1</v>
      </c>
      <c r="F83" s="173">
        <f>CdTrp1!E78</f>
        <v>1</v>
      </c>
      <c r="G83" s="173">
        <f>CdTrp1!F78</f>
        <v>1</v>
      </c>
      <c r="H83" s="173">
        <f>CdTrp1!G78</f>
        <v>1</v>
      </c>
      <c r="I83" s="173">
        <f>CdTrp1!H78</f>
        <v>1</v>
      </c>
      <c r="J83" s="173">
        <f>CdTrp1!I78</f>
        <v>1</v>
      </c>
      <c r="K83" s="173">
        <f>CdTrp1!J78</f>
        <v>1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2</v>
      </c>
      <c r="D84" s="173">
        <f>CdTrp1!C79</f>
        <v>2</v>
      </c>
      <c r="E84" s="173">
        <f>CdTrp1!D79</f>
        <v>2</v>
      </c>
      <c r="F84" s="173">
        <f>CdTrp1!E79</f>
        <v>2</v>
      </c>
      <c r="G84" s="173">
        <f>CdTrp1!F79</f>
        <v>2</v>
      </c>
      <c r="H84" s="173">
        <f>CdTrp1!G79</f>
        <v>2</v>
      </c>
      <c r="I84" s="173">
        <f>CdTrp1!H79</f>
        <v>2</v>
      </c>
      <c r="J84" s="173">
        <f>CdTrp1!I79</f>
        <v>2</v>
      </c>
      <c r="K84" s="173">
        <f>CdTrp1!J79</f>
        <v>1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2</v>
      </c>
      <c r="W84" s="173">
        <f>CdTrp1!V79</f>
        <v>2</v>
      </c>
      <c r="X84" s="173">
        <f>CdTrp1!W79</f>
        <v>2</v>
      </c>
      <c r="Y84" s="173">
        <f>CdTrp1!X79</f>
        <v>2</v>
      </c>
      <c r="Z84" s="173">
        <f>CdTrp1!Y79</f>
        <v>2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0</v>
      </c>
      <c r="N110" s="173">
        <f>IF($AA110=0,99,IF(N123&gt;3,CdTrp2!M76,CdTrp2!M52))</f>
        <v>0</v>
      </c>
      <c r="O110" s="173">
        <f>IF($AA110=0,99,IF(O123&gt;3,CdTrp2!N76,CdTrp2!N52))</f>
        <v>0</v>
      </c>
      <c r="P110" s="173">
        <f>IF($AA110=0,99,IF(P123&gt;3,CdTrp2!O76,CdTrp2!O52))</f>
        <v>0</v>
      </c>
      <c r="Q110" s="173">
        <f>IF($AA110=0,99,IF(Q123&gt;3,CdTrp2!P76,CdTrp2!P52))</f>
        <v>0</v>
      </c>
      <c r="R110" s="173">
        <f>IF($AA110=0,99,IF(R123&gt;3,CdTrp2!Q76,CdTrp2!Q52))</f>
        <v>0</v>
      </c>
      <c r="S110" s="173">
        <f>IF($AA110=0,99,IF(S123&gt;3,CdTrp2!R76,CdTrp2!R52))</f>
        <v>0</v>
      </c>
      <c r="T110" s="173">
        <f>IF($AA110=0,99,IF(T123&gt;3,CdTrp2!S76,CdTrp2!S52))</f>
        <v>0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14.313333333333333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3</v>
      </c>
      <c r="D111" s="173">
        <f>IF($AA111=0,99,IF(D124&gt;3,CdTrp2!C77,CdTrp2!C53))</f>
        <v>3</v>
      </c>
      <c r="E111" s="173">
        <f>IF($AA111=0,99,IF(E124&gt;3,CdTrp2!D77,CdTrp2!D53))</f>
        <v>3</v>
      </c>
      <c r="F111" s="173">
        <f>IF($AA111=0,99,IF(F124&gt;3,CdTrp2!E77,CdTrp2!E53))</f>
        <v>3</v>
      </c>
      <c r="G111" s="173">
        <f>IF($AA111=0,99,IF(G124&gt;3,CdTrp2!F77,CdTrp2!F53))</f>
        <v>3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3</v>
      </c>
      <c r="Z111" s="173">
        <f>IF($AA111=0,99,IF(Z124&gt;3,CdTrp2!Y77,CdTrp2!Y53))</f>
        <v>3</v>
      </c>
      <c r="AA111" s="182">
        <f>SUM(CdTrp2!B16:Y16)/24</f>
        <v>2.6916666666666669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9.1200000000000028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1</v>
      </c>
      <c r="K123" s="30">
        <f>CdTrp2!J76</f>
        <v>2</v>
      </c>
      <c r="L123" s="30">
        <f>CdTrp2!K76</f>
        <v>2</v>
      </c>
      <c r="M123" s="30">
        <f>CdTrp2!L76</f>
        <v>2</v>
      </c>
      <c r="N123" s="30">
        <f>CdTrp2!M76</f>
        <v>2</v>
      </c>
      <c r="O123" s="30">
        <f>CdTrp2!N76</f>
        <v>2</v>
      </c>
      <c r="P123" s="30">
        <f>CdTrp2!O76</f>
        <v>1</v>
      </c>
      <c r="Q123" s="30">
        <f>CdTrp2!P76</f>
        <v>1</v>
      </c>
      <c r="R123" s="30">
        <f>CdTrp2!Q76</f>
        <v>1</v>
      </c>
      <c r="S123" s="30">
        <f>CdTrp2!R76</f>
        <v>2</v>
      </c>
      <c r="T123" s="30">
        <f>CdTrp2!S76</f>
        <v>2</v>
      </c>
      <c r="U123" s="30">
        <f>CdTrp2!T76</f>
        <v>3</v>
      </c>
      <c r="V123" s="30">
        <f>CdTrp2!U76</f>
        <v>3</v>
      </c>
      <c r="W123" s="30">
        <f>CdTrp2!V76</f>
        <v>2</v>
      </c>
      <c r="X123" s="30">
        <f>CdTrp2!W76</f>
        <v>2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3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1396</v>
      </c>
      <c r="C180" s="173">
        <f>IF(Troupeau!$B$3="OL",Protection!C18,0)</f>
        <v>2</v>
      </c>
      <c r="D180" s="173">
        <f>IF(Troupeau!$B$3="OL",Protection!D18,0)</f>
        <v>2</v>
      </c>
      <c r="E180" s="173">
        <f>IF(Troupeau!$B$3="OL",Protection!E18,0)</f>
        <v>2</v>
      </c>
      <c r="F180" s="173">
        <f>IF(Troupeau!$B$3="OL",Protection!F18,0)</f>
        <v>2</v>
      </c>
      <c r="G180" s="173">
        <f>IF(Troupeau!$B$3="OL",Protection!G18,0)</f>
        <v>2</v>
      </c>
      <c r="H180" s="173">
        <f>IF(Troupeau!$B$3="OL",Protection!H18,0)</f>
        <v>2</v>
      </c>
      <c r="I180" s="173">
        <f>IF(Troupeau!$B$3="OL",Protection!I18,0)</f>
        <v>2</v>
      </c>
      <c r="J180" s="173">
        <f>IF(Troupeau!$B$3="OL",Protection!J18,0)</f>
        <v>2</v>
      </c>
      <c r="K180" s="173">
        <f>IF(Troupeau!$B$3="OL",Protection!K18,0)</f>
        <v>2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2</v>
      </c>
      <c r="W180" s="173">
        <f>IF(Troupeau!$B$3="OL",Protection!W18,0)</f>
        <v>2</v>
      </c>
      <c r="X180" s="173">
        <f>IF(Troupeau!$B$3="OL",Protection!X18,0)</f>
        <v>2</v>
      </c>
      <c r="Y180" s="173">
        <f>IF(Troupeau!$B$3="OL",Protection!Y18,0)</f>
        <v>2</v>
      </c>
      <c r="Z180" s="173">
        <f>IF(Troupeau!$B$3="OL",Protection!Z18,0)</f>
        <v>2</v>
      </c>
    </row>
    <row r="181" spans="1:26" x14ac:dyDescent="0.25">
      <c r="A181" t="s">
        <v>1397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1</v>
      </c>
      <c r="O181" s="173">
        <f>IF(Troupeau!$B$3="OL",Protection!O19+O21,0)</f>
        <v>1</v>
      </c>
      <c r="P181" s="173">
        <f>IF(Troupeau!$B$3="OL",Protection!P19+P21,0)</f>
        <v>1</v>
      </c>
      <c r="Q181" s="173">
        <f>IF(Troupeau!$B$3="OL",Protection!Q19+Q21,0)</f>
        <v>1</v>
      </c>
      <c r="R181" s="173">
        <f>IF(Troupeau!$B$3="OL",Protection!R19+R21,0)</f>
        <v>1</v>
      </c>
      <c r="S181" s="173">
        <f>IF(Troupeau!$B$3="OL",Protection!S19+S21,0)</f>
        <v>1</v>
      </c>
      <c r="T181" s="173">
        <f>IF(Troupeau!$B$3="OL",Protection!T19+T21,0)</f>
        <v>1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1398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1399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1400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1401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1402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1403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1404</v>
      </c>
      <c r="C195" s="173">
        <f>C180+C183+C185+C187</f>
        <v>2</v>
      </c>
      <c r="D195" s="173">
        <f t="shared" ref="D195:Z196" si="50">D180+D183+D185+D187</f>
        <v>2</v>
      </c>
      <c r="E195" s="173">
        <f t="shared" si="50"/>
        <v>2</v>
      </c>
      <c r="F195" s="173">
        <f t="shared" si="50"/>
        <v>2</v>
      </c>
      <c r="G195" s="173">
        <f t="shared" si="50"/>
        <v>2</v>
      </c>
      <c r="H195" s="173">
        <f t="shared" si="50"/>
        <v>2</v>
      </c>
      <c r="I195" s="173">
        <f t="shared" si="50"/>
        <v>2</v>
      </c>
      <c r="J195" s="173">
        <f t="shared" si="50"/>
        <v>2</v>
      </c>
      <c r="K195" s="173">
        <f t="shared" si="50"/>
        <v>2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2</v>
      </c>
      <c r="W195" s="173">
        <f t="shared" si="50"/>
        <v>2</v>
      </c>
      <c r="X195" s="173">
        <f t="shared" si="50"/>
        <v>2</v>
      </c>
      <c r="Y195" s="173">
        <f t="shared" si="50"/>
        <v>2</v>
      </c>
      <c r="Z195" s="173">
        <f t="shared" si="50"/>
        <v>2</v>
      </c>
    </row>
    <row r="196" spans="1:26" x14ac:dyDescent="0.25">
      <c r="B196" s="14" t="s">
        <v>1405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1</v>
      </c>
      <c r="O196" s="173">
        <f t="shared" si="50"/>
        <v>1</v>
      </c>
      <c r="P196" s="173">
        <f t="shared" si="50"/>
        <v>1</v>
      </c>
      <c r="Q196" s="173">
        <f t="shared" si="50"/>
        <v>1</v>
      </c>
      <c r="R196" s="173">
        <f t="shared" si="50"/>
        <v>1</v>
      </c>
      <c r="S196" s="173">
        <f t="shared" si="50"/>
        <v>1</v>
      </c>
      <c r="T196" s="173">
        <f t="shared" si="50"/>
        <v>1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1406</v>
      </c>
      <c r="C201" s="173">
        <f>IF(Troupeau!$B$3="OL",C8+C9,0)</f>
        <v>4</v>
      </c>
      <c r="D201" s="173">
        <f>IF(Troupeau!$B$3="OL",D8+D9,0)</f>
        <v>4</v>
      </c>
      <c r="E201" s="173">
        <f>IF(Troupeau!$B$3="OL",E8+E9,0)</f>
        <v>6</v>
      </c>
      <c r="F201" s="173">
        <f>IF(Troupeau!$B$3="OL",F8+F9,0)</f>
        <v>8</v>
      </c>
      <c r="G201" s="173">
        <f>IF(Troupeau!$B$3="OL",G8+G9,0)</f>
        <v>9</v>
      </c>
      <c r="H201" s="173">
        <f>IF(Troupeau!$B$3="OL",H8+H9,0)</f>
        <v>9</v>
      </c>
      <c r="I201" s="173">
        <f>IF(Troupeau!$B$3="OL",I8+I9,0)</f>
        <v>9</v>
      </c>
      <c r="J201" s="173">
        <f>IF(Troupeau!$B$3="OL",J8+J9,0)</f>
        <v>9</v>
      </c>
      <c r="K201" s="173">
        <f>IF(Troupeau!$B$3="OL",K8+K9,0)</f>
        <v>9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2</v>
      </c>
      <c r="R201" s="173">
        <f>IF(Troupeau!$B$3="OL",R8+R9,0)</f>
        <v>2</v>
      </c>
      <c r="S201" s="173">
        <f>IF(Troupeau!$B$3="OL",S8+S9,0)</f>
        <v>2</v>
      </c>
      <c r="T201" s="173">
        <f>IF(Troupeau!$B$3="OL",T8+T9,0)</f>
        <v>2</v>
      </c>
      <c r="U201" s="173">
        <f>IF(Troupeau!$B$3="OL",U8+U9,0)</f>
        <v>4</v>
      </c>
      <c r="V201" s="173">
        <f>IF(Troupeau!$B$3="OL",V8+V9,0)</f>
        <v>7</v>
      </c>
      <c r="W201" s="173">
        <f>IF(Troupeau!$B$3="OL",W8+W9,0)</f>
        <v>5</v>
      </c>
      <c r="X201" s="173">
        <f>IF(Troupeau!$B$3="OL",X8+X9,0)</f>
        <v>5</v>
      </c>
      <c r="Y201" s="173">
        <f>IF(Troupeau!$B$3="OL",Y8+Y9,0)</f>
        <v>5</v>
      </c>
      <c r="Z201" s="173">
        <f>IF(Troupeau!$B$3="OL",Z8+Z9,0)</f>
        <v>4</v>
      </c>
    </row>
    <row r="202" spans="1:26" x14ac:dyDescent="0.25">
      <c r="A202" t="s">
        <v>1407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4</v>
      </c>
      <c r="O202" s="173">
        <f>IF(Troupeau!$B$3="OL",O10+O12,0)</f>
        <v>4</v>
      </c>
      <c r="P202" s="173">
        <f>IF(Troupeau!$B$3="OL",P10+P12,0)</f>
        <v>4</v>
      </c>
      <c r="Q202" s="173">
        <f>IF(Troupeau!$B$3="OL",Q10+Q12,0)</f>
        <v>4</v>
      </c>
      <c r="R202" s="173">
        <f>IF(Troupeau!$B$3="OL",R10+R12,0)</f>
        <v>4</v>
      </c>
      <c r="S202" s="173">
        <f>IF(Troupeau!$B$3="OL",S10+S12,0)</f>
        <v>4</v>
      </c>
      <c r="T202" s="173">
        <f>IF(Troupeau!$B$3="OL",T10+T12,0)</f>
        <v>4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1426</v>
      </c>
      <c r="C203" s="173">
        <f>SUM(C201:C202)</f>
        <v>4</v>
      </c>
      <c r="D203" s="173">
        <f t="shared" ref="D203:Z203" si="51">SUM(D201:D202)</f>
        <v>4</v>
      </c>
      <c r="E203" s="173">
        <f t="shared" si="51"/>
        <v>6</v>
      </c>
      <c r="F203" s="173">
        <f t="shared" si="51"/>
        <v>8</v>
      </c>
      <c r="G203" s="173">
        <f t="shared" si="51"/>
        <v>9</v>
      </c>
      <c r="H203" s="173">
        <f t="shared" si="51"/>
        <v>9</v>
      </c>
      <c r="I203" s="173">
        <f t="shared" si="51"/>
        <v>9</v>
      </c>
      <c r="J203" s="173">
        <f t="shared" si="51"/>
        <v>9</v>
      </c>
      <c r="K203" s="173">
        <f t="shared" si="51"/>
        <v>9</v>
      </c>
      <c r="L203" s="173">
        <f t="shared" si="51"/>
        <v>4</v>
      </c>
      <c r="M203" s="173">
        <f t="shared" si="51"/>
        <v>4</v>
      </c>
      <c r="N203" s="173">
        <f t="shared" si="51"/>
        <v>6</v>
      </c>
      <c r="O203" s="173">
        <f t="shared" si="51"/>
        <v>6</v>
      </c>
      <c r="P203" s="173">
        <f t="shared" si="51"/>
        <v>6</v>
      </c>
      <c r="Q203" s="173">
        <f t="shared" si="51"/>
        <v>6</v>
      </c>
      <c r="R203" s="173">
        <f t="shared" si="51"/>
        <v>6</v>
      </c>
      <c r="S203" s="173">
        <f t="shared" si="51"/>
        <v>6</v>
      </c>
      <c r="T203" s="173">
        <f t="shared" si="51"/>
        <v>6</v>
      </c>
      <c r="U203" s="173">
        <f t="shared" si="51"/>
        <v>4</v>
      </c>
      <c r="V203" s="173">
        <f t="shared" si="51"/>
        <v>7</v>
      </c>
      <c r="W203" s="173">
        <f t="shared" si="51"/>
        <v>5</v>
      </c>
      <c r="X203" s="173">
        <f t="shared" si="51"/>
        <v>5</v>
      </c>
      <c r="Y203" s="173">
        <f t="shared" si="51"/>
        <v>5</v>
      </c>
      <c r="Z203" s="173">
        <f t="shared" si="51"/>
        <v>4</v>
      </c>
    </row>
    <row r="204" spans="1:26" x14ac:dyDescent="0.25">
      <c r="A204" t="s">
        <v>1408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1409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1410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1411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1412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1413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1414</v>
      </c>
      <c r="C212" s="173">
        <f>C201+C204+C206+C208</f>
        <v>4</v>
      </c>
      <c r="D212" s="173">
        <f t="shared" ref="D212:Z213" si="52">D201+D204+D206+D208</f>
        <v>4</v>
      </c>
      <c r="E212" s="173">
        <f t="shared" si="52"/>
        <v>6</v>
      </c>
      <c r="F212" s="173">
        <f t="shared" si="52"/>
        <v>8</v>
      </c>
      <c r="G212" s="173">
        <f t="shared" si="52"/>
        <v>9</v>
      </c>
      <c r="H212" s="173">
        <f t="shared" si="52"/>
        <v>9</v>
      </c>
      <c r="I212" s="173">
        <f t="shared" si="52"/>
        <v>9</v>
      </c>
      <c r="J212" s="173">
        <f t="shared" si="52"/>
        <v>9</v>
      </c>
      <c r="K212" s="173">
        <f t="shared" si="52"/>
        <v>9</v>
      </c>
      <c r="L212" s="173">
        <f t="shared" si="52"/>
        <v>4</v>
      </c>
      <c r="M212" s="173">
        <f t="shared" si="52"/>
        <v>4</v>
      </c>
      <c r="N212" s="173">
        <f t="shared" si="52"/>
        <v>2</v>
      </c>
      <c r="O212" s="173">
        <f t="shared" si="52"/>
        <v>2</v>
      </c>
      <c r="P212" s="173">
        <f t="shared" si="52"/>
        <v>2</v>
      </c>
      <c r="Q212" s="173">
        <f t="shared" si="52"/>
        <v>2</v>
      </c>
      <c r="R212" s="173">
        <f t="shared" si="52"/>
        <v>2</v>
      </c>
      <c r="S212" s="173">
        <f t="shared" si="52"/>
        <v>2</v>
      </c>
      <c r="T212" s="173">
        <f t="shared" si="52"/>
        <v>2</v>
      </c>
      <c r="U212" s="173">
        <f t="shared" si="52"/>
        <v>4</v>
      </c>
      <c r="V212" s="173">
        <f t="shared" si="52"/>
        <v>7</v>
      </c>
      <c r="W212" s="173">
        <f t="shared" si="52"/>
        <v>5</v>
      </c>
      <c r="X212" s="173">
        <f t="shared" si="52"/>
        <v>5</v>
      </c>
      <c r="Y212" s="173">
        <f t="shared" si="52"/>
        <v>5</v>
      </c>
      <c r="Z212" s="173">
        <f t="shared" si="52"/>
        <v>4</v>
      </c>
    </row>
    <row r="213" spans="1:26" x14ac:dyDescent="0.25">
      <c r="A213" s="15" t="s">
        <v>1415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4</v>
      </c>
      <c r="O213" s="173">
        <f t="shared" si="52"/>
        <v>4</v>
      </c>
      <c r="P213" s="173">
        <f t="shared" si="52"/>
        <v>4</v>
      </c>
      <c r="Q213" s="173">
        <f t="shared" si="52"/>
        <v>4</v>
      </c>
      <c r="R213" s="173">
        <f t="shared" si="52"/>
        <v>4</v>
      </c>
      <c r="S213" s="173">
        <f t="shared" si="52"/>
        <v>4</v>
      </c>
      <c r="T213" s="173">
        <f t="shared" si="52"/>
        <v>4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1416</v>
      </c>
      <c r="C214" s="173">
        <f>C212+C213</f>
        <v>4</v>
      </c>
      <c r="D214" s="173">
        <f t="shared" ref="D214:Z214" si="53">D212+D213</f>
        <v>4</v>
      </c>
      <c r="E214" s="173">
        <f t="shared" si="53"/>
        <v>6</v>
      </c>
      <c r="F214" s="173">
        <f t="shared" si="53"/>
        <v>8</v>
      </c>
      <c r="G214" s="173">
        <f t="shared" si="53"/>
        <v>9</v>
      </c>
      <c r="H214" s="173">
        <f t="shared" si="53"/>
        <v>9</v>
      </c>
      <c r="I214" s="173">
        <f t="shared" si="53"/>
        <v>9</v>
      </c>
      <c r="J214" s="173">
        <f t="shared" si="53"/>
        <v>9</v>
      </c>
      <c r="K214" s="173">
        <f t="shared" si="53"/>
        <v>9</v>
      </c>
      <c r="L214" s="173">
        <f t="shared" si="53"/>
        <v>4</v>
      </c>
      <c r="M214" s="173">
        <f t="shared" si="53"/>
        <v>4</v>
      </c>
      <c r="N214" s="173">
        <f t="shared" si="53"/>
        <v>6</v>
      </c>
      <c r="O214" s="173">
        <f t="shared" si="53"/>
        <v>6</v>
      </c>
      <c r="P214" s="173">
        <f t="shared" si="53"/>
        <v>6</v>
      </c>
      <c r="Q214" s="173">
        <f t="shared" si="53"/>
        <v>6</v>
      </c>
      <c r="R214" s="173">
        <f t="shared" si="53"/>
        <v>6</v>
      </c>
      <c r="S214" s="173">
        <f t="shared" si="53"/>
        <v>6</v>
      </c>
      <c r="T214" s="173">
        <f t="shared" si="53"/>
        <v>6</v>
      </c>
      <c r="U214" s="173">
        <f t="shared" si="53"/>
        <v>4</v>
      </c>
      <c r="V214" s="173">
        <f t="shared" si="53"/>
        <v>7</v>
      </c>
      <c r="W214" s="173">
        <f t="shared" si="53"/>
        <v>5</v>
      </c>
      <c r="X214" s="173">
        <f t="shared" si="53"/>
        <v>5</v>
      </c>
      <c r="Y214" s="173">
        <f t="shared" si="53"/>
        <v>5</v>
      </c>
      <c r="Z214" s="173">
        <f t="shared" si="53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264.3478260869565</v>
      </c>
      <c r="AW4" s="173">
        <f>CdTrp1!C15</f>
        <v>261.70434782608697</v>
      </c>
      <c r="AX4" s="173">
        <f>CdTrp1!D15</f>
        <v>259.06086956521739</v>
      </c>
      <c r="AY4" s="173">
        <f>CdTrp1!E15</f>
        <v>257.73913043478262</v>
      </c>
      <c r="AZ4" s="173">
        <f>CdTrp1!F15</f>
        <v>256.4173913043478</v>
      </c>
      <c r="BA4" s="173">
        <f>CdTrp1!G15</f>
        <v>255.09565217391304</v>
      </c>
      <c r="BB4" s="173">
        <f>CdTrp1!H15</f>
        <v>253.77391304347827</v>
      </c>
      <c r="BC4" s="173">
        <f>CdTrp1!I15</f>
        <v>252.45217391304348</v>
      </c>
      <c r="BD4" s="173">
        <f>CdTrp1!J15</f>
        <v>249.80869565217392</v>
      </c>
      <c r="BE4" s="173">
        <f>CdTrp1!K15</f>
        <v>255.09565217391304</v>
      </c>
      <c r="BF4" s="173">
        <f>CdTrp1!L15</f>
        <v>255.09565217391304</v>
      </c>
      <c r="BG4" s="173">
        <f>CdTrp1!M15</f>
        <v>255.09565217391304</v>
      </c>
      <c r="BH4" s="173">
        <f>CdTrp1!N15</f>
        <v>255.09565217391304</v>
      </c>
      <c r="BI4" s="173">
        <f>CdTrp1!O15</f>
        <v>255.09565217391304</v>
      </c>
      <c r="BJ4" s="173">
        <f>CdTrp1!P15</f>
        <v>255.09565217391304</v>
      </c>
      <c r="BK4" s="173">
        <f>CdTrp1!Q15</f>
        <v>255.09565217391304</v>
      </c>
      <c r="BL4" s="173">
        <f>CdTrp1!R15</f>
        <v>255.09565217391304</v>
      </c>
      <c r="BM4" s="173">
        <f>CdTrp1!S15</f>
        <v>255.09565217391304</v>
      </c>
      <c r="BN4" s="173">
        <f>CdTrp1!T15</f>
        <v>255.09565217391304</v>
      </c>
      <c r="BO4" s="173">
        <f>CdTrp1!U15</f>
        <v>278.88695652173914</v>
      </c>
      <c r="BP4" s="173">
        <f>CdTrp1!V15</f>
        <v>278.88695652173914</v>
      </c>
      <c r="BQ4" s="173">
        <f>CdTrp1!W15</f>
        <v>264.3478260869565</v>
      </c>
      <c r="BR4" s="173">
        <f>CdTrp1!X15</f>
        <v>264.3478260869565</v>
      </c>
      <c r="BS4" s="173">
        <f>CdTrp1!Y15</f>
        <v>264.3478260869565</v>
      </c>
      <c r="BZ4" s="189" t="str">
        <f>+CdTrp2!A15</f>
        <v xml:space="preserve">vaches </v>
      </c>
      <c r="CA4" s="172"/>
      <c r="CB4" s="270">
        <f>CdTrp2!B15</f>
        <v>14.44</v>
      </c>
      <c r="CC4" s="270">
        <f>CdTrp2!C15</f>
        <v>14.44</v>
      </c>
      <c r="CD4" s="270">
        <f>CdTrp2!D15</f>
        <v>14.44</v>
      </c>
      <c r="CE4" s="270">
        <f>CdTrp2!E15</f>
        <v>14.44</v>
      </c>
      <c r="CF4" s="270">
        <f>CdTrp2!F15</f>
        <v>14.44</v>
      </c>
      <c r="CG4" s="270">
        <f>CdTrp2!G15</f>
        <v>14.44</v>
      </c>
      <c r="CH4" s="270">
        <f>CdTrp2!H15</f>
        <v>14.44</v>
      </c>
      <c r="CI4" s="270">
        <f>CdTrp2!I15</f>
        <v>14.44</v>
      </c>
      <c r="CJ4" s="270">
        <f>CdTrp2!J15</f>
        <v>14.44</v>
      </c>
      <c r="CK4" s="270">
        <f>CdTrp2!K15</f>
        <v>14.44</v>
      </c>
      <c r="CL4" s="270">
        <f>CdTrp2!L15</f>
        <v>14.44</v>
      </c>
      <c r="CM4" s="270">
        <f>CdTrp2!M15</f>
        <v>14.44</v>
      </c>
      <c r="CN4" s="270">
        <f>CdTrp2!N15</f>
        <v>14.44</v>
      </c>
      <c r="CO4" s="270">
        <f>CdTrp2!O15</f>
        <v>14.44</v>
      </c>
      <c r="CP4" s="270">
        <f>CdTrp2!P15</f>
        <v>14.44</v>
      </c>
      <c r="CQ4" s="270">
        <f>CdTrp2!Q15</f>
        <v>14.44</v>
      </c>
      <c r="CR4" s="270">
        <f>CdTrp2!R15</f>
        <v>13.68</v>
      </c>
      <c r="CS4" s="270">
        <f>CdTrp2!S15</f>
        <v>13.68</v>
      </c>
      <c r="CT4" s="270">
        <f>CdTrp2!T15</f>
        <v>13.68</v>
      </c>
      <c r="CU4" s="270">
        <f>CdTrp2!U15</f>
        <v>13.68</v>
      </c>
      <c r="CV4" s="270">
        <f>CdTrp2!V15</f>
        <v>14.44</v>
      </c>
      <c r="CW4" s="270">
        <f>CdTrp2!W15</f>
        <v>14.44</v>
      </c>
      <c r="CX4" s="270">
        <f>CdTrp2!X15</f>
        <v>14.44</v>
      </c>
      <c r="CY4" s="270">
        <f>CdTrp2!Y15</f>
        <v>14.44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1015</v>
      </c>
      <c r="G5" s="173">
        <f>AV117</f>
        <v>49</v>
      </c>
      <c r="H5" s="173">
        <f t="shared" ref="H5:AD5" si="0">AW117</f>
        <v>49</v>
      </c>
      <c r="I5" s="173">
        <f t="shared" si="0"/>
        <v>49</v>
      </c>
      <c r="J5" s="173">
        <f t="shared" si="0"/>
        <v>63</v>
      </c>
      <c r="K5" s="173">
        <f t="shared" si="0"/>
        <v>63</v>
      </c>
      <c r="L5" s="173">
        <f t="shared" si="0"/>
        <v>77</v>
      </c>
      <c r="M5" s="173">
        <f t="shared" si="0"/>
        <v>77</v>
      </c>
      <c r="N5" s="173">
        <f t="shared" si="0"/>
        <v>77</v>
      </c>
      <c r="O5" s="173">
        <f t="shared" si="0"/>
        <v>70</v>
      </c>
      <c r="P5" s="173">
        <f t="shared" si="0"/>
        <v>28</v>
      </c>
      <c r="Q5" s="173">
        <f t="shared" si="0"/>
        <v>28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14</v>
      </c>
      <c r="V5" s="173">
        <f t="shared" si="0"/>
        <v>14</v>
      </c>
      <c r="W5" s="173">
        <f t="shared" si="0"/>
        <v>14</v>
      </c>
      <c r="X5" s="173">
        <f t="shared" si="0"/>
        <v>14</v>
      </c>
      <c r="Y5" s="173">
        <f t="shared" si="0"/>
        <v>28</v>
      </c>
      <c r="Z5" s="173">
        <f t="shared" si="0"/>
        <v>63</v>
      </c>
      <c r="AA5" s="173">
        <f t="shared" si="0"/>
        <v>49</v>
      </c>
      <c r="AB5" s="173">
        <f t="shared" si="0"/>
        <v>49</v>
      </c>
      <c r="AC5" s="173">
        <f t="shared" si="0"/>
        <v>49</v>
      </c>
      <c r="AD5" s="173">
        <f t="shared" si="0"/>
        <v>49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25.11304347826087</v>
      </c>
      <c r="AW5" s="173">
        <f>CdTrp1!C16</f>
        <v>25.11304347826087</v>
      </c>
      <c r="AX5" s="173">
        <f>CdTrp1!D16</f>
        <v>25.11304347826087</v>
      </c>
      <c r="AY5" s="173">
        <f>CdTrp1!E16</f>
        <v>25.11304347826087</v>
      </c>
      <c r="AZ5" s="173">
        <f>CdTrp1!F16</f>
        <v>25.11304347826087</v>
      </c>
      <c r="BA5" s="173">
        <f>CdTrp1!G16</f>
        <v>25.11304347826087</v>
      </c>
      <c r="BB5" s="173">
        <f>CdTrp1!H16</f>
        <v>25.11304347826087</v>
      </c>
      <c r="BC5" s="173">
        <f>CdTrp1!I16</f>
        <v>25.11304347826087</v>
      </c>
      <c r="BD5" s="173">
        <f>CdTrp1!J16</f>
        <v>25.11304347826087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25.11304347826087</v>
      </c>
      <c r="BP5" s="173">
        <f>CdTrp1!V16</f>
        <v>25.11304347826087</v>
      </c>
      <c r="BQ5" s="173">
        <f>CdTrp1!W16</f>
        <v>25.11304347826087</v>
      </c>
      <c r="BR5" s="173">
        <f>CdTrp1!X16</f>
        <v>25.11304347826087</v>
      </c>
      <c r="BS5" s="173">
        <f>CdTrp1!Y16</f>
        <v>25.11304347826087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1.52</v>
      </c>
      <c r="CH5" s="270">
        <f>CdTrp2!H16</f>
        <v>3.04</v>
      </c>
      <c r="CI5" s="270">
        <f>CdTrp2!I16</f>
        <v>4.5599999999999996</v>
      </c>
      <c r="CJ5" s="270">
        <f>CdTrp2!J16</f>
        <v>4.5599999999999996</v>
      </c>
      <c r="CK5" s="270">
        <f>CdTrp2!K16</f>
        <v>4.5599999999999996</v>
      </c>
      <c r="CL5" s="270">
        <f>CdTrp2!L16</f>
        <v>4.5599999999999996</v>
      </c>
      <c r="CM5" s="270">
        <f>CdTrp2!M16</f>
        <v>4.5599999999999996</v>
      </c>
      <c r="CN5" s="270">
        <f>CdTrp2!N16</f>
        <v>4.5599999999999996</v>
      </c>
      <c r="CO5" s="270">
        <f>CdTrp2!O16</f>
        <v>4.5599999999999996</v>
      </c>
      <c r="CP5" s="270">
        <f>CdTrp2!P16</f>
        <v>4.5599999999999996</v>
      </c>
      <c r="CQ5" s="270">
        <f>CdTrp2!Q16</f>
        <v>4.5599999999999996</v>
      </c>
      <c r="CR5" s="270">
        <f>CdTrp2!R16</f>
        <v>4.5599999999999996</v>
      </c>
      <c r="CS5" s="270">
        <f>CdTrp2!S16</f>
        <v>4.5599999999999996</v>
      </c>
      <c r="CT5" s="270">
        <f>CdTrp2!T16</f>
        <v>3.8</v>
      </c>
      <c r="CU5" s="270">
        <f>CdTrp2!U16</f>
        <v>3.8</v>
      </c>
      <c r="CV5" s="270">
        <f>CdTrp2!V16</f>
        <v>1.52</v>
      </c>
      <c r="CW5" s="270">
        <f>CdTrp2!W16</f>
        <v>0.76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189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8.75</v>
      </c>
      <c r="M6" s="173">
        <f t="shared" si="2"/>
        <v>19.25</v>
      </c>
      <c r="N6" s="173">
        <f t="shared" si="2"/>
        <v>19.25</v>
      </c>
      <c r="O6" s="173">
        <f t="shared" si="2"/>
        <v>22.75</v>
      </c>
      <c r="P6" s="173">
        <f t="shared" si="2"/>
        <v>22.75</v>
      </c>
      <c r="Q6" s="173">
        <f t="shared" si="2"/>
        <v>14</v>
      </c>
      <c r="R6" s="173">
        <f t="shared" si="2"/>
        <v>14</v>
      </c>
      <c r="S6" s="173">
        <f t="shared" si="2"/>
        <v>14</v>
      </c>
      <c r="T6" s="173">
        <f t="shared" si="2"/>
        <v>12.25</v>
      </c>
      <c r="U6" s="173">
        <f t="shared" si="2"/>
        <v>12.25</v>
      </c>
      <c r="V6" s="173">
        <f t="shared" si="2"/>
        <v>12.25</v>
      </c>
      <c r="W6" s="173">
        <f t="shared" si="2"/>
        <v>14</v>
      </c>
      <c r="X6" s="173">
        <f t="shared" si="2"/>
        <v>14</v>
      </c>
      <c r="Y6" s="173">
        <f t="shared" si="2"/>
        <v>22.75</v>
      </c>
      <c r="Z6" s="173">
        <f t="shared" si="2"/>
        <v>21</v>
      </c>
      <c r="AA6" s="173">
        <f t="shared" si="2"/>
        <v>28</v>
      </c>
      <c r="AB6" s="173">
        <f t="shared" si="2"/>
        <v>28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68.730434782608697</v>
      </c>
      <c r="AW6" s="173">
        <f>CdTrp1!C17</f>
        <v>68.730434782608697</v>
      </c>
      <c r="AX6" s="173">
        <f>CdTrp1!D17</f>
        <v>68.730434782608697</v>
      </c>
      <c r="AY6" s="173">
        <f>CdTrp1!E17</f>
        <v>68.730434782608697</v>
      </c>
      <c r="AZ6" s="173">
        <f>CdTrp1!F17</f>
        <v>68.730434782608697</v>
      </c>
      <c r="BA6" s="173">
        <f>CdTrp1!G17</f>
        <v>68.730434782608697</v>
      </c>
      <c r="BB6" s="173">
        <f>CdTrp1!H17</f>
        <v>68.730434782608697</v>
      </c>
      <c r="BC6" s="173">
        <f>CdTrp1!I17</f>
        <v>68.730434782608697</v>
      </c>
      <c r="BD6" s="173">
        <f>CdTrp1!J17</f>
        <v>68.730434782608697</v>
      </c>
      <c r="BE6" s="173">
        <f>CdTrp1!K17</f>
        <v>68.730434782608697</v>
      </c>
      <c r="BF6" s="173">
        <f>CdTrp1!L17</f>
        <v>68.730434782608697</v>
      </c>
      <c r="BG6" s="173">
        <f>CdTrp1!M17</f>
        <v>68.730434782608697</v>
      </c>
      <c r="BH6" s="173">
        <f>CdTrp1!N17</f>
        <v>68.730434782608697</v>
      </c>
      <c r="BI6" s="173">
        <f>CdTrp1!O17</f>
        <v>68.730434782608697</v>
      </c>
      <c r="BJ6" s="173">
        <f>CdTrp1!P17</f>
        <v>68.730434782608697</v>
      </c>
      <c r="BK6" s="173">
        <f>CdTrp1!Q17</f>
        <v>68.730434782608697</v>
      </c>
      <c r="BL6" s="173">
        <f>CdTrp1!R17</f>
        <v>68.730434782608697</v>
      </c>
      <c r="BM6" s="173">
        <f>CdTrp1!S17</f>
        <v>68.730434782608697</v>
      </c>
      <c r="BN6" s="173">
        <f>CdTrp1!T17</f>
        <v>68.730434782608697</v>
      </c>
      <c r="BO6" s="173">
        <f>CdTrp1!U17</f>
        <v>0</v>
      </c>
      <c r="BP6" s="173">
        <f>CdTrp1!V17</f>
        <v>0</v>
      </c>
      <c r="BQ6" s="173">
        <f>CdTrp1!W17</f>
        <v>68.730434782608697</v>
      </c>
      <c r="BR6" s="173">
        <f>CdTrp1!X17</f>
        <v>68.730434782608697</v>
      </c>
      <c r="BS6" s="173">
        <f>CdTrp1!Y17</f>
        <v>68.730434782608697</v>
      </c>
      <c r="BZ6" s="189" t="str">
        <f>+CdTrp2!A17</f>
        <v>genisses +1an</v>
      </c>
      <c r="CA6" s="172"/>
      <c r="CB6" s="270">
        <f>CdTrp2!B17</f>
        <v>9.1199999999999992</v>
      </c>
      <c r="CC6" s="270">
        <f>CdTrp2!C17</f>
        <v>9.1199999999999992</v>
      </c>
      <c r="CD6" s="270">
        <f>CdTrp2!D17</f>
        <v>9.1199999999999992</v>
      </c>
      <c r="CE6" s="270">
        <f>CdTrp2!E17</f>
        <v>9.1199999999999992</v>
      </c>
      <c r="CF6" s="270">
        <f>CdTrp2!F17</f>
        <v>9.1199999999999992</v>
      </c>
      <c r="CG6" s="270">
        <f>CdTrp2!G17</f>
        <v>9.1199999999999992</v>
      </c>
      <c r="CH6" s="270">
        <f>CdTrp2!H17</f>
        <v>9.1199999999999992</v>
      </c>
      <c r="CI6" s="270">
        <f>CdTrp2!I17</f>
        <v>9.1199999999999992</v>
      </c>
      <c r="CJ6" s="270">
        <f>CdTrp2!J17</f>
        <v>9.1199999999999992</v>
      </c>
      <c r="CK6" s="270">
        <f>CdTrp2!K17</f>
        <v>9.1199999999999992</v>
      </c>
      <c r="CL6" s="270">
        <f>CdTrp2!L17</f>
        <v>9.1199999999999992</v>
      </c>
      <c r="CM6" s="270">
        <f>CdTrp2!M17</f>
        <v>9.1199999999999992</v>
      </c>
      <c r="CN6" s="270">
        <f>CdTrp2!N17</f>
        <v>9.1199999999999992</v>
      </c>
      <c r="CO6" s="270">
        <f>CdTrp2!O17</f>
        <v>9.1199999999999992</v>
      </c>
      <c r="CP6" s="270">
        <f>CdTrp2!P17</f>
        <v>9.1199999999999992</v>
      </c>
      <c r="CQ6" s="270">
        <f>CdTrp2!Q17</f>
        <v>9.1199999999999992</v>
      </c>
      <c r="CR6" s="270">
        <f>CdTrp2!R17</f>
        <v>9.1199999999999992</v>
      </c>
      <c r="CS6" s="270">
        <f>CdTrp2!S17</f>
        <v>9.1199999999999992</v>
      </c>
      <c r="CT6" s="270">
        <f>CdTrp2!T17</f>
        <v>9.1199999999999992</v>
      </c>
      <c r="CU6" s="270">
        <f>CdTrp2!U17</f>
        <v>9.1199999999999992</v>
      </c>
      <c r="CV6" s="270">
        <f>CdTrp2!V17</f>
        <v>9.1199999999999992</v>
      </c>
      <c r="CW6" s="270">
        <f>CdTrp2!W17</f>
        <v>9.1199999999999992</v>
      </c>
      <c r="CX6" s="270">
        <f>CdTrp2!X17</f>
        <v>9.1199999999999992</v>
      </c>
      <c r="CY6" s="270">
        <f>CdTrp2!Y17</f>
        <v>9.1199999999999992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7.9304347826086961</v>
      </c>
      <c r="AW7" s="173">
        <f>CdTrp1!C18</f>
        <v>7.9304347826086961</v>
      </c>
      <c r="AX7" s="173">
        <f>CdTrp1!D18</f>
        <v>7.9304347826086961</v>
      </c>
      <c r="AY7" s="173">
        <f>CdTrp1!E18</f>
        <v>7.9304347826086961</v>
      </c>
      <c r="AZ7" s="173">
        <f>CdTrp1!F18</f>
        <v>7.9304347826086961</v>
      </c>
      <c r="BA7" s="173">
        <f>CdTrp1!G18</f>
        <v>7.9304347826086961</v>
      </c>
      <c r="BB7" s="173">
        <f>CdTrp1!H18</f>
        <v>7.9304347826086961</v>
      </c>
      <c r="BC7" s="173">
        <f>CdTrp1!I18</f>
        <v>7.9304347826086961</v>
      </c>
      <c r="BD7" s="173">
        <f>CdTrp1!J18</f>
        <v>7.9304347826086961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7.9304347826086961</v>
      </c>
      <c r="BP7" s="173">
        <f>CdTrp1!V18</f>
        <v>7.9304347826086961</v>
      </c>
      <c r="BQ7" s="173">
        <f>CdTrp1!W18</f>
        <v>7.9304347826086961</v>
      </c>
      <c r="BR7" s="173">
        <f>CdTrp1!X18</f>
        <v>7.9304347826086961</v>
      </c>
      <c r="BS7" s="173">
        <f>CdTrp1!Y18</f>
        <v>7.9304347826086961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871.15547826086947</v>
      </c>
      <c r="G9" s="30">
        <f>AV102</f>
        <v>52.786695652173911</v>
      </c>
      <c r="H9" s="30">
        <f t="shared" ref="H9:AD9" si="4">AW102</f>
        <v>52.694173913043478</v>
      </c>
      <c r="I9" s="30">
        <f t="shared" si="4"/>
        <v>52.601652173913045</v>
      </c>
      <c r="J9" s="30">
        <f t="shared" si="4"/>
        <v>52.555391304347829</v>
      </c>
      <c r="K9" s="30">
        <f t="shared" si="4"/>
        <v>52.509130434782605</v>
      </c>
      <c r="L9" s="30">
        <f t="shared" si="4"/>
        <v>31.462869565217389</v>
      </c>
      <c r="M9" s="30">
        <f t="shared" si="4"/>
        <v>31.416608695652172</v>
      </c>
      <c r="N9" s="30">
        <f t="shared" si="4"/>
        <v>31.370347826086956</v>
      </c>
      <c r="O9" s="30">
        <f t="shared" si="4"/>
        <v>31.277826086956523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29.89</v>
      </c>
      <c r="AA9" s="30">
        <f t="shared" si="4"/>
        <v>50.89</v>
      </c>
      <c r="AB9" s="30">
        <f t="shared" si="4"/>
        <v>52.786695652173911</v>
      </c>
      <c r="AC9" s="30">
        <f t="shared" si="4"/>
        <v>52.786695652173911</v>
      </c>
      <c r="AD9" s="30">
        <f t="shared" si="4"/>
        <v>52.786695652173911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2705.1554782608696</v>
      </c>
      <c r="G13" s="30">
        <f>SUM(G5:G11)</f>
        <v>143.7866956521739</v>
      </c>
      <c r="H13" s="30">
        <f t="shared" ref="H13:AD13" si="8">SUM(H5:H11)</f>
        <v>143.69417391304347</v>
      </c>
      <c r="I13" s="30">
        <f t="shared" si="8"/>
        <v>148.85165217391304</v>
      </c>
      <c r="J13" s="30">
        <f t="shared" si="8"/>
        <v>162.80539130434784</v>
      </c>
      <c r="K13" s="30">
        <f t="shared" si="8"/>
        <v>162.75913043478261</v>
      </c>
      <c r="L13" s="30">
        <f t="shared" si="8"/>
        <v>159.21286956521737</v>
      </c>
      <c r="M13" s="30">
        <f t="shared" si="8"/>
        <v>148.66660869565217</v>
      </c>
      <c r="N13" s="30">
        <f t="shared" si="8"/>
        <v>148.62034782608697</v>
      </c>
      <c r="O13" s="30">
        <f t="shared" si="8"/>
        <v>145.02782608695651</v>
      </c>
      <c r="P13" s="30">
        <f t="shared" si="8"/>
        <v>102.33391304347826</v>
      </c>
      <c r="Q13" s="30">
        <f t="shared" si="8"/>
        <v>72.583913043478262</v>
      </c>
      <c r="R13" s="30">
        <f t="shared" si="8"/>
        <v>49.655565217391306</v>
      </c>
      <c r="S13" s="30">
        <f t="shared" si="8"/>
        <v>49.655565217391306</v>
      </c>
      <c r="T13" s="30">
        <f t="shared" si="8"/>
        <v>47.905565217391306</v>
      </c>
      <c r="U13" s="30">
        <f t="shared" si="8"/>
        <v>47.905565217391306</v>
      </c>
      <c r="V13" s="30">
        <f t="shared" si="8"/>
        <v>47.905565217391306</v>
      </c>
      <c r="W13" s="30">
        <f t="shared" si="8"/>
        <v>49.655565217391306</v>
      </c>
      <c r="X13" s="30">
        <f t="shared" si="8"/>
        <v>49.655565217391306</v>
      </c>
      <c r="Y13" s="30">
        <f t="shared" si="8"/>
        <v>102.33391304347826</v>
      </c>
      <c r="Z13" s="30">
        <f t="shared" si="8"/>
        <v>134.88999999999999</v>
      </c>
      <c r="AA13" s="30">
        <f t="shared" si="8"/>
        <v>148.88999999999999</v>
      </c>
      <c r="AB13" s="30">
        <f t="shared" si="8"/>
        <v>150.7866956521739</v>
      </c>
      <c r="AC13" s="30">
        <f t="shared" si="8"/>
        <v>143.7866956521739</v>
      </c>
      <c r="AD13" s="30">
        <f t="shared" si="8"/>
        <v>143.7866956521739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1</v>
      </c>
      <c r="C16" s="190">
        <f>VALUE(LEFT(Scénario!K57,1))</f>
        <v>4</v>
      </c>
      <c r="D16" s="190">
        <f>IF(B16&gt;0,VLOOKUP(C16,[1]Trav!$A$86:$D$90,4),0)</f>
        <v>112</v>
      </c>
      <c r="E16" s="190">
        <f>Scénario!K54*2</f>
        <v>7</v>
      </c>
      <c r="F16" s="173">
        <f>IF(B16&gt;0,D16*E16/B16,0)</f>
        <v>784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0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fort</v>
      </c>
      <c r="AV27" s="173">
        <f t="shared" si="17"/>
        <v>2</v>
      </c>
      <c r="AW27" s="173">
        <f t="shared" si="17"/>
        <v>2</v>
      </c>
      <c r="AX27" s="173">
        <f t="shared" si="17"/>
        <v>2</v>
      </c>
      <c r="AY27" s="173">
        <f t="shared" si="17"/>
        <v>2</v>
      </c>
      <c r="AZ27" s="173">
        <f t="shared" si="17"/>
        <v>2</v>
      </c>
      <c r="BA27" s="173">
        <f t="shared" si="17"/>
        <v>2</v>
      </c>
      <c r="BB27" s="173">
        <f t="shared" si="17"/>
        <v>2</v>
      </c>
      <c r="BC27" s="173">
        <f t="shared" si="17"/>
        <v>2</v>
      </c>
      <c r="BD27" s="173">
        <f t="shared" si="17"/>
        <v>2</v>
      </c>
      <c r="BE27" s="173">
        <f t="shared" si="17"/>
        <v>2</v>
      </c>
      <c r="BF27" s="173">
        <f t="shared" si="17"/>
        <v>2</v>
      </c>
      <c r="BG27" s="173">
        <f t="shared" si="17"/>
        <v>2</v>
      </c>
      <c r="BH27" s="173">
        <f t="shared" si="17"/>
        <v>2</v>
      </c>
      <c r="BI27" s="173">
        <f t="shared" si="17"/>
        <v>2</v>
      </c>
      <c r="BJ27" s="173">
        <f t="shared" si="17"/>
        <v>2</v>
      </c>
      <c r="BK27" s="173">
        <f t="shared" si="17"/>
        <v>2</v>
      </c>
      <c r="BL27" s="173">
        <f t="shared" si="18"/>
        <v>2</v>
      </c>
      <c r="BM27" s="173">
        <f t="shared" si="18"/>
        <v>2</v>
      </c>
      <c r="BN27" s="173">
        <f t="shared" si="18"/>
        <v>2</v>
      </c>
      <c r="BO27" s="173">
        <f t="shared" si="18"/>
        <v>2</v>
      </c>
      <c r="BP27" s="173">
        <f t="shared" si="18"/>
        <v>2</v>
      </c>
      <c r="BQ27" s="173">
        <f t="shared" si="18"/>
        <v>2</v>
      </c>
      <c r="BR27" s="173">
        <f t="shared" si="18"/>
        <v>2</v>
      </c>
      <c r="BS27" s="173">
        <f t="shared" si="18"/>
        <v>2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fort</v>
      </c>
      <c r="AV29" s="173">
        <f t="shared" si="17"/>
        <v>2</v>
      </c>
      <c r="AW29" s="173">
        <f t="shared" si="17"/>
        <v>2</v>
      </c>
      <c r="AX29" s="173">
        <f t="shared" si="17"/>
        <v>2</v>
      </c>
      <c r="AY29" s="173">
        <f t="shared" si="17"/>
        <v>2</v>
      </c>
      <c r="AZ29" s="173">
        <f t="shared" si="17"/>
        <v>2</v>
      </c>
      <c r="BA29" s="173">
        <f t="shared" si="17"/>
        <v>2</v>
      </c>
      <c r="BB29" s="173">
        <f t="shared" si="17"/>
        <v>2</v>
      </c>
      <c r="BC29" s="173">
        <f t="shared" si="17"/>
        <v>2</v>
      </c>
      <c r="BD29" s="173">
        <f t="shared" si="17"/>
        <v>2</v>
      </c>
      <c r="BE29" s="173">
        <f t="shared" si="17"/>
        <v>2</v>
      </c>
      <c r="BF29" s="173">
        <f t="shared" si="17"/>
        <v>2</v>
      </c>
      <c r="BG29" s="173">
        <f t="shared" si="17"/>
        <v>2</v>
      </c>
      <c r="BH29" s="173">
        <f t="shared" si="17"/>
        <v>2</v>
      </c>
      <c r="BI29" s="173">
        <f t="shared" si="17"/>
        <v>2</v>
      </c>
      <c r="BJ29" s="173">
        <f t="shared" si="17"/>
        <v>2</v>
      </c>
      <c r="BK29" s="173">
        <f t="shared" si="17"/>
        <v>2</v>
      </c>
      <c r="BL29" s="173">
        <f t="shared" si="18"/>
        <v>2</v>
      </c>
      <c r="BM29" s="173">
        <f t="shared" si="18"/>
        <v>2</v>
      </c>
      <c r="BN29" s="173">
        <f t="shared" si="18"/>
        <v>2</v>
      </c>
      <c r="BO29" s="173">
        <f t="shared" si="18"/>
        <v>2</v>
      </c>
      <c r="BP29" s="173">
        <f t="shared" si="18"/>
        <v>2</v>
      </c>
      <c r="BQ29" s="173">
        <f t="shared" si="18"/>
        <v>2</v>
      </c>
      <c r="BR29" s="173">
        <f t="shared" si="18"/>
        <v>2</v>
      </c>
      <c r="BS29" s="173">
        <f t="shared" si="18"/>
        <v>2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279</v>
      </c>
      <c r="C31" s="190">
        <f>IF(B31&gt;0,VLOOKUP(Troupeau!B3,[1]Trav!$A$96:$B$99,2),0)</f>
        <v>110</v>
      </c>
      <c r="D31" s="172"/>
      <c r="E31" s="172"/>
      <c r="F31" s="173">
        <f>B31*C31/60</f>
        <v>511.5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15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90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265</v>
      </c>
      <c r="D35" s="190">
        <f>IF(Troupeau!B3="OL",[1]Trav!$B$103,0)</f>
        <v>2.4900000000000002</v>
      </c>
      <c r="E35" s="172"/>
      <c r="F35" s="173">
        <f>B35+C35*D35</f>
        <v>879.85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2</v>
      </c>
      <c r="AW38" s="173">
        <f>IF(CdTrp1!C53=1,3,IF(CdTrp1!C53=0.5,2,IF(CdTrp1!C53=0,1,0)))</f>
        <v>2</v>
      </c>
      <c r="AX38" s="173">
        <f>IF(CdTrp1!D53=1,3,IF(CdTrp1!D53=0.5,2,IF(CdTrp1!D53=0,1,0)))</f>
        <v>2</v>
      </c>
      <c r="AY38" s="173">
        <f>IF(CdTrp1!E53=1,3,IF(CdTrp1!E53=0.5,2,IF(CdTrp1!E53=0,1,0)))</f>
        <v>2</v>
      </c>
      <c r="AZ38" s="173">
        <f>IF(CdTrp1!F53=1,3,IF(CdTrp1!F53=0.5,2,IF(CdTrp1!F53=0,1,0)))</f>
        <v>2</v>
      </c>
      <c r="BA38" s="173">
        <f>IF(CdTrp1!G53=1,3,IF(CdTrp1!G53=0.5,2,IF(CdTrp1!G53=0,1,0)))</f>
        <v>2</v>
      </c>
      <c r="BB38" s="173">
        <f>IF(CdTrp1!H53=1,3,IF(CdTrp1!H53=0.5,2,IF(CdTrp1!H53=0,1,0)))</f>
        <v>2</v>
      </c>
      <c r="BC38" s="173">
        <f>IF(CdTrp1!I53=1,3,IF(CdTrp1!I53=0.5,2,IF(CdTrp1!I53=0,1,0)))</f>
        <v>2</v>
      </c>
      <c r="BD38" s="173">
        <f>IF(CdTrp1!J53=1,3,IF(CdTrp1!J53=0.5,2,IF(CdTrp1!J53=0,1,0)))</f>
        <v>2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2</v>
      </c>
      <c r="BP38" s="173">
        <f>IF(CdTrp1!V53=1,3,IF(CdTrp1!V53=0.5,2,IF(CdTrp1!V53=0,1,0)))</f>
        <v>2</v>
      </c>
      <c r="BQ38" s="173">
        <f>IF(CdTrp1!W53=1,3,IF(CdTrp1!W53=0.5,2,IF(CdTrp1!W53=0,1,0)))</f>
        <v>2</v>
      </c>
      <c r="BR38" s="173">
        <f>IF(CdTrp1!X53=1,3,IF(CdTrp1!X53=0.5,2,IF(CdTrp1!X53=0,1,0)))</f>
        <v>2</v>
      </c>
      <c r="BS38" s="173">
        <f>IF(CdTrp1!Y53=1,3,IF(CdTrp1!Y53=0.5,2,IF(CdTrp1!Y53=0,1,0)))</f>
        <v>2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90">
        <f>IF(B39=0,0,VLOOKUP(Troupeau!B3,[1]Trav!$A$108:$B$109,2))</f>
        <v>0</v>
      </c>
      <c r="D39" s="172"/>
      <c r="E39" s="172"/>
      <c r="F39" s="173">
        <f>ROUND(B39*C39/60,0)</f>
        <v>0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2</v>
      </c>
      <c r="BB39" s="173">
        <f>IF(CdTrp1!H54=1,3,IF(CdTrp1!H54=0.5,2,IF(CdTrp1!H54=0,1,0)))</f>
        <v>2</v>
      </c>
      <c r="BC39" s="173">
        <f>IF(CdTrp1!I54=1,3,IF(CdTrp1!I54=0.5,2,IF(CdTrp1!I54=0,1,0)))</f>
        <v>2</v>
      </c>
      <c r="BD39" s="173">
        <f>IF(CdTrp1!J54=1,3,IF(CdTrp1!J54=0.5,2,IF(CdTrp1!J54=0,1,0)))</f>
        <v>2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1</v>
      </c>
      <c r="AW40" s="173">
        <f>IF(CdTrp1!C55=1,3,IF(CdTrp1!C55=0.5,2,IF(CdTrp1!C55=0,1,0)))</f>
        <v>1</v>
      </c>
      <c r="AX40" s="173">
        <f>IF(CdTrp1!D55=1,3,IF(CdTrp1!D55=0.5,2,IF(CdTrp1!D55=0,1,0)))</f>
        <v>1</v>
      </c>
      <c r="AY40" s="173">
        <f>IF(CdTrp1!E55=1,3,IF(CdTrp1!E55=0.5,2,IF(CdTrp1!E55=0,1,0)))</f>
        <v>1</v>
      </c>
      <c r="AZ40" s="173">
        <f>IF(CdTrp1!F55=1,3,IF(CdTrp1!F55=0.5,2,IF(CdTrp1!F55=0,1,0)))</f>
        <v>1</v>
      </c>
      <c r="BA40" s="173">
        <f>IF(CdTrp1!G55=1,3,IF(CdTrp1!G55=0.5,2,IF(CdTrp1!G55=0,1,0)))</f>
        <v>1</v>
      </c>
      <c r="BB40" s="173">
        <f>IF(CdTrp1!H55=1,3,IF(CdTrp1!H55=0.5,2,IF(CdTrp1!H55=0,1,0)))</f>
        <v>1</v>
      </c>
      <c r="BC40" s="173">
        <f>IF(CdTrp1!I55=1,3,IF(CdTrp1!I55=0.5,2,IF(CdTrp1!I55=0,1,0)))</f>
        <v>1</v>
      </c>
      <c r="BD40" s="173">
        <f>IF(CdTrp1!J55=1,3,IF(CdTrp1!J55=0.5,2,IF(CdTrp1!J55=0,1,0)))</f>
        <v>1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1</v>
      </c>
      <c r="BP40" s="173">
        <f>IF(CdTrp1!V55=1,3,IF(CdTrp1!V55=0.5,2,IF(CdTrp1!V55=0,1,0)))</f>
        <v>1</v>
      </c>
      <c r="BQ40" s="173">
        <f>IF(CdTrp1!W55=1,3,IF(CdTrp1!W55=0.5,2,IF(CdTrp1!W55=0,1,0)))</f>
        <v>1</v>
      </c>
      <c r="BR40" s="173">
        <f>IF(CdTrp1!X55=1,3,IF(CdTrp1!X55=0.5,2,IF(CdTrp1!X55=0,1,0)))</f>
        <v>1</v>
      </c>
      <c r="BS40" s="173">
        <f>IF(CdTrp1!Y55=1,3,IF(CdTrp1!Y55=0.5,2,IF(CdTrp1!Y55=0,1,0)))</f>
        <v>1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1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2</v>
      </c>
      <c r="CM48" s="173">
        <f>IF(CdTrp2!M76=1,1,IF(CdTrp2!M76=2,2,IF(CdTrp2!M76=3,2,0)))</f>
        <v>2</v>
      </c>
      <c r="CN48" s="173">
        <f>IF(CdTrp2!N76=1,1,IF(CdTrp2!N76=2,2,IF(CdTrp2!N76=3,2,0)))</f>
        <v>2</v>
      </c>
      <c r="CO48" s="173">
        <f>IF(CdTrp2!O76=1,1,IF(CdTrp2!O76=2,2,IF(CdTrp2!O76=3,2,0)))</f>
        <v>1</v>
      </c>
      <c r="CP48" s="173">
        <f>IF(CdTrp2!P76=1,1,IF(CdTrp2!P76=2,2,IF(CdTrp2!P76=3,2,0)))</f>
        <v>1</v>
      </c>
      <c r="CQ48" s="173">
        <f>IF(CdTrp2!Q76=1,1,IF(CdTrp2!Q76=2,2,IF(CdTrp2!Q76=3,2,0)))</f>
        <v>1</v>
      </c>
      <c r="CR48" s="173">
        <f>IF(CdTrp2!R76=1,1,IF(CdTrp2!R76=2,2,IF(CdTrp2!R76=3,2,0)))</f>
        <v>2</v>
      </c>
      <c r="CS48" s="173">
        <f>IF(CdTrp2!S76=1,1,IF(CdTrp2!S76=2,2,IF(CdTrp2!S76=3,2,0)))</f>
        <v>2</v>
      </c>
      <c r="CT48" s="173">
        <f>IF(CdTrp2!T76=1,1,IF(CdTrp2!T76=2,2,IF(CdTrp2!T76=3,2,0)))</f>
        <v>2</v>
      </c>
      <c r="CU48" s="173">
        <f>IF(CdTrp2!U76=1,1,IF(CdTrp2!U76=2,2,IF(CdTrp2!U76=3,2,0)))</f>
        <v>2</v>
      </c>
      <c r="CV48" s="173">
        <f>IF(CdTrp2!V76=1,1,IF(CdTrp2!V76=2,2,IF(CdTrp2!V76=3,2,0)))</f>
        <v>2</v>
      </c>
      <c r="CW48" s="173">
        <f>IF(CdTrp2!W76=1,1,IF(CdTrp2!W76=2,2,IF(CdTrp2!W76=3,2,0)))</f>
        <v>2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2</v>
      </c>
      <c r="AY49" s="173">
        <f>IF(CdTrp1!E77=1,1,IF(CdTrp1!E77=2,2,IF(CdTrp1!E77=3,2,0)))</f>
        <v>2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0</v>
      </c>
      <c r="CE49" s="173">
        <f>IF(CdTrp2!E77=1,1,IF(CdTrp2!E77=2,2,IF(CdTrp2!E77=3,2,0)))</f>
        <v>0</v>
      </c>
      <c r="CF49" s="173">
        <f>IF(CdTrp2!F77=1,1,IF(CdTrp2!F77=2,2,IF(CdTrp2!F77=3,2,0)))</f>
        <v>0</v>
      </c>
      <c r="CG49" s="173">
        <f>IF(CdTrp2!G77=1,1,IF(CdTrp2!G77=2,2,IF(CdTrp2!G77=3,2,0)))</f>
        <v>1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0</v>
      </c>
      <c r="C50" s="190">
        <f>IF(B50&gt;[1]Trav!$E$116,[1]Trav!C116,[1]Trav!B116)</f>
        <v>11</v>
      </c>
      <c r="E50" s="172"/>
      <c r="F50" s="173">
        <f>ROUND(B50*C50,0)</f>
        <v>0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1</v>
      </c>
      <c r="AY50" s="173">
        <f>IF(CdTrp1!E78=1,1,IF(CdTrp1!E78=2,2,IF(CdTrp1!E78=3,2,0)))</f>
        <v>1</v>
      </c>
      <c r="AZ50" s="173">
        <f>IF(CdTrp1!F78=1,1,IF(CdTrp1!F78=2,2,IF(CdTrp1!F78=3,2,0)))</f>
        <v>1</v>
      </c>
      <c r="BA50" s="173">
        <f>IF(CdTrp1!G78=1,1,IF(CdTrp1!G78=2,2,IF(CdTrp1!G78=3,2,0)))</f>
        <v>1</v>
      </c>
      <c r="BB50" s="173">
        <f>IF(CdTrp1!H78=1,1,IF(CdTrp1!H78=2,2,IF(CdTrp1!H78=3,2,0)))</f>
        <v>1</v>
      </c>
      <c r="BC50" s="173">
        <f>IF(CdTrp1!I78=1,1,IF(CdTrp1!I78=2,2,IF(CdTrp1!I78=3,2,0)))</f>
        <v>1</v>
      </c>
      <c r="BD50" s="173">
        <f>IF(CdTrp1!J78=1,1,IF(CdTrp1!J78=2,2,IF(CdTrp1!J78=3,2,0)))</f>
        <v>1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2</v>
      </c>
      <c r="AW51" s="173">
        <f>IF(CdTrp1!C79=1,1,IF(CdTrp1!C79=2,2,IF(CdTrp1!C79=3,2,0)))</f>
        <v>2</v>
      </c>
      <c r="AX51" s="173">
        <f>IF(CdTrp1!D79=1,1,IF(CdTrp1!D79=2,2,IF(CdTrp1!D79=3,2,0)))</f>
        <v>2</v>
      </c>
      <c r="AY51" s="173">
        <f>IF(CdTrp1!E79=1,1,IF(CdTrp1!E79=2,2,IF(CdTrp1!E79=3,2,0)))</f>
        <v>2</v>
      </c>
      <c r="AZ51" s="173">
        <f>IF(CdTrp1!F79=1,1,IF(CdTrp1!F79=2,2,IF(CdTrp1!F79=3,2,0)))</f>
        <v>2</v>
      </c>
      <c r="BA51" s="173">
        <f>IF(CdTrp1!G79=1,1,IF(CdTrp1!G79=2,2,IF(CdTrp1!G79=3,2,0)))</f>
        <v>2</v>
      </c>
      <c r="BB51" s="173">
        <f>IF(CdTrp1!H79=1,1,IF(CdTrp1!H79=2,2,IF(CdTrp1!H79=3,2,0)))</f>
        <v>2</v>
      </c>
      <c r="BC51" s="173">
        <f>IF(CdTrp1!I79=1,1,IF(CdTrp1!I79=2,2,IF(CdTrp1!I79=3,2,0)))</f>
        <v>2</v>
      </c>
      <c r="BD51" s="173">
        <f>IF(CdTrp1!J79=1,1,IF(CdTrp1!J79=2,2,IF(CdTrp1!J79=3,2,0)))</f>
        <v>1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2</v>
      </c>
      <c r="BP51" s="173">
        <f>IF(CdTrp1!V79=1,1,IF(CdTrp1!V79=2,2,IF(CdTrp1!V79=3,2,0)))</f>
        <v>2</v>
      </c>
      <c r="BQ51" s="173">
        <f>IF(CdTrp1!W79=1,1,IF(CdTrp1!W79=2,2,IF(CdTrp1!W79=3,2,0)))</f>
        <v>2</v>
      </c>
      <c r="BR51" s="173">
        <f>IF(CdTrp1!X79=1,1,IF(CdTrp1!X79=2,2,IF(CdTrp1!X79=3,2,0)))</f>
        <v>2</v>
      </c>
      <c r="BS51" s="173">
        <f>IF(CdTrp1!Y79=1,1,IF(CdTrp1!Y79=2,2,IF(CdTrp1!Y79=3,2,0)))</f>
        <v>2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1.25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1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28</v>
      </c>
      <c r="C54" s="190">
        <f>IF(B54&gt;[1]Trav!E119,[1]Trav!C119,[1]Trav!B119)</f>
        <v>1.4</v>
      </c>
      <c r="D54"/>
      <c r="E54" s="172"/>
      <c r="F54" s="173">
        <f t="shared" si="32"/>
        <v>39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17.37</v>
      </c>
      <c r="C55" s="190">
        <f>IF(B55&gt;[1]Trav!E121,[1]Trav!C121,[1]Trav!B121)</f>
        <v>7.2</v>
      </c>
      <c r="D55"/>
      <c r="E55" s="172"/>
      <c r="F55" s="173">
        <f t="shared" si="32"/>
        <v>125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16</v>
      </c>
      <c r="C56" s="190">
        <f>IF(B56&gt;[1]Trav!E121,[1]Trav!C121,[1]Trav!B121)</f>
        <v>7.2</v>
      </c>
      <c r="D56"/>
      <c r="E56" s="172"/>
      <c r="F56" s="173">
        <f t="shared" si="32"/>
        <v>115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1.9299999999999997</v>
      </c>
      <c r="C58" s="190">
        <f>IF(B58&gt;[1]Trav!E122,[1]Trav!C122,[1]Trav!B122)</f>
        <v>4.4000000000000004</v>
      </c>
      <c r="E58" s="172"/>
      <c r="F58" s="173">
        <f t="shared" si="32"/>
        <v>8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0</v>
      </c>
      <c r="C59" s="190">
        <f>[1]Trav!$B$123</f>
        <v>7.2</v>
      </c>
      <c r="E59" s="172"/>
      <c r="F59" s="173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10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221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212</v>
      </c>
      <c r="CM60" s="173">
        <f>IF(CM15=0,0,IF(CM37=3,0,VALUE(CONCATENATE(Travail!CM26,Travail!CM37,Travail!CM48))))</f>
        <v>212</v>
      </c>
      <c r="CN60" s="173">
        <f>IF(CN15=0,0,IF(CN37=3,0,VALUE(CONCATENATE(Travail!CN26,Travail!CN37,Travail!CN48))))</f>
        <v>212</v>
      </c>
      <c r="CO60" s="173">
        <f>IF(CO15=0,0,IF(CO37=3,0,VALUE(CONCATENATE(Travail!CO26,Travail!CO37,Travail!CO48))))</f>
        <v>211</v>
      </c>
      <c r="CP60" s="173">
        <f>IF(CP15=0,0,IF(CP37=3,0,VALUE(CONCATENATE(Travail!CP26,Travail!CP37,Travail!CP48))))</f>
        <v>211</v>
      </c>
      <c r="CQ60" s="173">
        <f>IF(CQ15=0,0,IF(CQ37=3,0,VALUE(CONCATENATE(Travail!CQ26,Travail!CQ37,Travail!CQ48))))</f>
        <v>211</v>
      </c>
      <c r="CR60" s="173">
        <f>IF(CR15=0,0,IF(CR37=3,0,VALUE(CONCATENATE(Travail!CR26,Travail!CR37,Travail!CR48))))</f>
        <v>212</v>
      </c>
      <c r="CS60" s="173">
        <f>IF(CS15=0,0,IF(CS37=3,0,VALUE(CONCATENATE(Travail!CS26,Travail!CS37,Travail!CS48))))</f>
        <v>212</v>
      </c>
      <c r="CT60" s="173">
        <f>IF(CT15=0,0,IF(CT37=3,0,VALUE(CONCATENATE(Travail!CT26,Travail!CT37,Travail!CT48))))</f>
        <v>222</v>
      </c>
      <c r="CU60" s="173">
        <f>IF(CU15=0,0,IF(CU37=3,0,VALUE(CONCATENATE(Travail!CU26,Travail!CU37,Travail!CU48))))</f>
        <v>222</v>
      </c>
      <c r="CV60" s="173">
        <f>IF(CV15=0,0,IF(CV37=3,0,VALUE(CONCATENATE(Travail!CV26,Travail!CV37,Travail!CV48))))</f>
        <v>222</v>
      </c>
      <c r="CW60" s="173">
        <f>IF(CW15=0,0,IF(CW37=3,0,VALUE(CONCATENATE(Travail!CW26,Travail!CW37,Travail!CW48))))</f>
        <v>222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222</v>
      </c>
      <c r="AW61" s="173">
        <f>IF(AW16=0,0,IF(AW38=3,0,VALUE(CONCATENATE(Travail!AW27,Travail!AW38,Travail!AW49))))</f>
        <v>222</v>
      </c>
      <c r="AX61" s="173">
        <f>IF(AX16=0,0,IF(AX38=3,0,VALUE(CONCATENATE(Travail!AX27,Travail!AX38,Travail!AX49))))</f>
        <v>222</v>
      </c>
      <c r="AY61" s="173">
        <f>IF(AY16=0,0,IF(AY38=3,0,VALUE(CONCATENATE(Travail!AY27,Travail!AY38,Travail!AY49))))</f>
        <v>222</v>
      </c>
      <c r="AZ61" s="173">
        <f>IF(AZ16=0,0,IF(AZ38=3,0,VALUE(CONCATENATE(Travail!AZ27,Travail!AZ38,Travail!AZ49))))</f>
        <v>222</v>
      </c>
      <c r="BA61" s="173">
        <f>IF(BA16=0,0,IF(BA38=3,0,VALUE(CONCATENATE(Travail!BA27,Travail!BA38,Travail!BA49))))</f>
        <v>222</v>
      </c>
      <c r="BB61" s="173">
        <f>IF(BB16=0,0,IF(BB38=3,0,VALUE(CONCATENATE(Travail!BB27,Travail!BB38,Travail!BB49))))</f>
        <v>222</v>
      </c>
      <c r="BC61" s="173">
        <f>IF(BC16=0,0,IF(BC38=3,0,VALUE(CONCATENATE(Travail!BC27,Travail!BC38,Travail!BC49))))</f>
        <v>222</v>
      </c>
      <c r="BD61" s="173">
        <f>IF(BD16=0,0,IF(BD38=3,0,VALUE(CONCATENATE(Travail!BD27,Travail!BD38,Travail!BD49))))</f>
        <v>222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222</v>
      </c>
      <c r="BP61" s="173">
        <f>IF(BP16=0,0,IF(BP38=3,0,VALUE(CONCATENATE(Travail!BP27,Travail!BP38,Travail!BP49))))</f>
        <v>222</v>
      </c>
      <c r="BQ61" s="173">
        <f>IF(BQ16=0,0,IF(BQ38=3,0,VALUE(CONCATENATE(Travail!BQ27,Travail!BQ38,Travail!BQ49))))</f>
        <v>222</v>
      </c>
      <c r="BR61" s="173">
        <f>IF(BR16=0,0,IF(BR38=3,0,VALUE(CONCATENATE(Travail!BR27,Travail!BR38,Travail!BR49))))</f>
        <v>222</v>
      </c>
      <c r="BS61" s="173">
        <f>IF(BS16=0,0,IF(BS38=3,0,VALUE(CONCATENATE(Travail!BS27,Travail!BS38,Travail!BS49))))</f>
        <v>222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211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221</v>
      </c>
      <c r="BB62" s="173">
        <f>IF(BB17=0,0,IF(BB39=3,0,VALUE(CONCATENATE(Travail!BB28,Travail!BB39,Travail!BB50))))</f>
        <v>221</v>
      </c>
      <c r="BC62" s="173">
        <f>IF(BC17=0,0,IF(BC39=3,0,VALUE(CONCATENATE(Travail!BC28,Travail!BC39,Travail!BC50))))</f>
        <v>221</v>
      </c>
      <c r="BD62" s="173">
        <f>IF(BD17=0,0,IF(BD39=3,0,VALUE(CONCATENATE(Travail!BD28,Travail!BD39,Travail!BD50))))</f>
        <v>221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212</v>
      </c>
      <c r="AW63" s="173">
        <f>IF(AW18=0,0,IF(AW40=3,0,VALUE(CONCATENATE(Travail!AW29,Travail!AW40,Travail!AW51))))</f>
        <v>212</v>
      </c>
      <c r="AX63" s="173">
        <f>IF(AX18=0,0,IF(AX40=3,0,VALUE(CONCATENATE(Travail!AX29,Travail!AX40,Travail!AX51))))</f>
        <v>212</v>
      </c>
      <c r="AY63" s="173">
        <f>IF(AY18=0,0,IF(AY40=3,0,VALUE(CONCATENATE(Travail!AY29,Travail!AY40,Travail!AY51))))</f>
        <v>212</v>
      </c>
      <c r="AZ63" s="173">
        <f>IF(AZ18=0,0,IF(AZ40=3,0,VALUE(CONCATENATE(Travail!AZ29,Travail!AZ40,Travail!AZ51))))</f>
        <v>212</v>
      </c>
      <c r="BA63" s="173">
        <f>IF(BA18=0,0,IF(BA40=3,0,VALUE(CONCATENATE(Travail!BA29,Travail!BA40,Travail!BA51))))</f>
        <v>212</v>
      </c>
      <c r="BB63" s="173">
        <f>IF(BB18=0,0,IF(BB40=3,0,VALUE(CONCATENATE(Travail!BB29,Travail!BB40,Travail!BB51))))</f>
        <v>212</v>
      </c>
      <c r="BC63" s="173">
        <f>IF(BC18=0,0,IF(BC40=3,0,VALUE(CONCATENATE(Travail!BC29,Travail!BC40,Travail!BC51))))</f>
        <v>212</v>
      </c>
      <c r="BD63" s="173">
        <f>IF(BD18=0,0,IF(BD40=3,0,VALUE(CONCATENATE(Travail!BD29,Travail!BD40,Travail!BD51))))</f>
        <v>211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212</v>
      </c>
      <c r="BP63" s="173">
        <f>IF(BP18=0,0,IF(BP40=3,0,VALUE(CONCATENATE(Travail!BP29,Travail!BP40,Travail!BP51))))</f>
        <v>212</v>
      </c>
      <c r="BQ63" s="173">
        <f>IF(BQ18=0,0,IF(BQ40=3,0,VALUE(CONCATENATE(Travail!BQ29,Travail!BQ40,Travail!BQ51))))</f>
        <v>212</v>
      </c>
      <c r="BR63" s="173">
        <f>IF(BR18=0,0,IF(BR40=3,0,VALUE(CONCATENATE(Travail!BR29,Travail!BR40,Travail!BR51))))</f>
        <v>212</v>
      </c>
      <c r="BS63" s="173">
        <f>IF(BS18=0,0,IF(BS40=3,0,VALUE(CONCATENATE(Travail!BS29,Travail!BS40,Travail!BS51))))</f>
        <v>212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275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15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20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20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20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20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20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20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5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15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10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22</v>
      </c>
      <c r="AW72" s="173">
        <f t="shared" si="36"/>
        <v>22</v>
      </c>
      <c r="AX72" s="173">
        <f t="shared" si="36"/>
        <v>22</v>
      </c>
      <c r="AY72" s="173">
        <f t="shared" si="36"/>
        <v>22</v>
      </c>
      <c r="AZ72" s="173">
        <f t="shared" si="36"/>
        <v>22</v>
      </c>
      <c r="BA72" s="173">
        <f t="shared" si="36"/>
        <v>22</v>
      </c>
      <c r="BB72" s="173">
        <f t="shared" si="36"/>
        <v>22</v>
      </c>
      <c r="BC72" s="173">
        <f t="shared" si="36"/>
        <v>22</v>
      </c>
      <c r="BD72" s="173">
        <f t="shared" si="36"/>
        <v>22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22</v>
      </c>
      <c r="BP72" s="173">
        <f t="shared" si="36"/>
        <v>22</v>
      </c>
      <c r="BQ72" s="173">
        <f t="shared" si="36"/>
        <v>22</v>
      </c>
      <c r="BR72" s="173">
        <f t="shared" si="36"/>
        <v>22</v>
      </c>
      <c r="BS72" s="173">
        <f t="shared" si="36"/>
        <v>22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22</v>
      </c>
      <c r="BB73" s="173">
        <f t="shared" si="36"/>
        <v>22</v>
      </c>
      <c r="BC73" s="173">
        <f t="shared" si="36"/>
        <v>22</v>
      </c>
      <c r="BD73" s="173">
        <f t="shared" si="36"/>
        <v>22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21</v>
      </c>
      <c r="AW74" s="173">
        <f t="shared" si="36"/>
        <v>21</v>
      </c>
      <c r="AX74" s="173">
        <f t="shared" si="36"/>
        <v>21</v>
      </c>
      <c r="AY74" s="173">
        <f t="shared" si="36"/>
        <v>21</v>
      </c>
      <c r="AZ74" s="173">
        <f t="shared" si="36"/>
        <v>21</v>
      </c>
      <c r="BA74" s="173">
        <f t="shared" si="36"/>
        <v>21</v>
      </c>
      <c r="BB74" s="173">
        <f t="shared" si="36"/>
        <v>21</v>
      </c>
      <c r="BC74" s="173">
        <f t="shared" si="36"/>
        <v>21</v>
      </c>
      <c r="BD74" s="173">
        <f t="shared" si="36"/>
        <v>21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21</v>
      </c>
      <c r="BP74" s="173">
        <f t="shared" si="36"/>
        <v>21</v>
      </c>
      <c r="BQ74" s="173">
        <f t="shared" si="36"/>
        <v>21</v>
      </c>
      <c r="BR74" s="173">
        <f t="shared" si="36"/>
        <v>21</v>
      </c>
      <c r="BS74" s="173">
        <f t="shared" si="36"/>
        <v>21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1417</v>
      </c>
      <c r="F75" s="198">
        <f>IF(Protection!$AJ$8=0,0,SUM(G75:AD75))</f>
        <v>133</v>
      </c>
      <c r="G75" s="198">
        <f>IF(Protection!C195=0,0,[1]Protect!$B$9*Protection!C195*14)</f>
        <v>7</v>
      </c>
      <c r="H75" s="198">
        <f>IF(Protection!D195=0,0,[1]Protect!$B$9*Protection!D195*14)</f>
        <v>7</v>
      </c>
      <c r="I75" s="198">
        <f>IF(Protection!E195=0,0,[1]Protect!$B$9*Protection!E195*14)</f>
        <v>7</v>
      </c>
      <c r="J75" s="198">
        <f>IF(Protection!F195=0,0,[1]Protect!$B$9*Protection!F195*14)</f>
        <v>7</v>
      </c>
      <c r="K75" s="198">
        <f>IF(Protection!G195=0,0,[1]Protect!$B$9*Protection!G195*14)</f>
        <v>7</v>
      </c>
      <c r="L75" s="198">
        <f>IF(Protection!H195=0,0,[1]Protect!$B$9*Protection!H195*14)</f>
        <v>7</v>
      </c>
      <c r="M75" s="198">
        <f>IF(Protection!I195=0,0,[1]Protect!$B$9*Protection!I195*14)</f>
        <v>7</v>
      </c>
      <c r="N75" s="198">
        <f>IF(Protection!J195=0,0,[1]Protect!$B$9*Protection!J195*14)</f>
        <v>7</v>
      </c>
      <c r="O75" s="198">
        <f>IF(Protection!K195=0,0,[1]Protect!$B$9*Protection!K195*14)</f>
        <v>7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7</v>
      </c>
      <c r="AA75" s="198">
        <f>IF(Protection!W195=0,0,[1]Protect!$B$9*Protection!W195*14)</f>
        <v>7</v>
      </c>
      <c r="AB75" s="198">
        <f>IF(Protection!X195=0,0,[1]Protect!$B$9*Protection!X195*14)</f>
        <v>7</v>
      </c>
      <c r="AC75" s="198">
        <f>IF(Protection!Y195=0,0,[1]Protect!$B$9*Protection!Y195*14)</f>
        <v>7</v>
      </c>
      <c r="AD75" s="198">
        <f>IF(Protection!Z195=0,0,[1]Protect!$B$9*Protection!Z195*14)</f>
        <v>7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1418</v>
      </c>
      <c r="F76" s="198">
        <f>IF(Protection!$AJ$8=0,0,SUM(G76:AD76))</f>
        <v>24.5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3.5</v>
      </c>
      <c r="S76" s="198">
        <f>IF(Protection!O196=0,0,[1]Protect!$B$9*Protection!O196*14)</f>
        <v>3.5</v>
      </c>
      <c r="T76" s="198">
        <f>IF(Protection!P196=0,0,[1]Protect!$B$9*Protection!P196*14)</f>
        <v>3.5</v>
      </c>
      <c r="U76" s="198">
        <f>IF(Protection!Q196=0,0,[1]Protect!$B$9*Protection!Q196*14)</f>
        <v>3.5</v>
      </c>
      <c r="V76" s="198">
        <f>IF(Protection!R196=0,0,[1]Protect!$B$9*Protection!R196*14)</f>
        <v>3.5</v>
      </c>
      <c r="W76" s="198">
        <f>IF(Protection!S196=0,0,[1]Protect!$B$9*Protection!S196*14)</f>
        <v>3.5</v>
      </c>
      <c r="X76" s="198">
        <f>IF(Protection!T196=0,0,[1]Protect!$B$9*Protection!T196*14)</f>
        <v>3.5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432.5</v>
      </c>
      <c r="G77" s="46">
        <f t="shared" ref="G77:AD77" si="43">+SUM(G69:G76)</f>
        <v>17</v>
      </c>
      <c r="H77" s="46">
        <f t="shared" si="43"/>
        <v>17</v>
      </c>
      <c r="I77" s="46">
        <f t="shared" si="43"/>
        <v>22</v>
      </c>
      <c r="J77" s="46">
        <f t="shared" si="43"/>
        <v>27</v>
      </c>
      <c r="K77" s="46">
        <f t="shared" si="43"/>
        <v>27</v>
      </c>
      <c r="L77" s="46">
        <f t="shared" si="43"/>
        <v>27</v>
      </c>
      <c r="M77" s="46">
        <f t="shared" si="43"/>
        <v>27</v>
      </c>
      <c r="N77" s="46">
        <f t="shared" si="43"/>
        <v>27</v>
      </c>
      <c r="O77" s="46">
        <f t="shared" si="43"/>
        <v>27</v>
      </c>
      <c r="P77" s="46">
        <f t="shared" si="43"/>
        <v>13.5</v>
      </c>
      <c r="Q77" s="46">
        <f t="shared" si="43"/>
        <v>13.5</v>
      </c>
      <c r="R77" s="46">
        <f t="shared" si="43"/>
        <v>12</v>
      </c>
      <c r="S77" s="46">
        <f t="shared" si="43"/>
        <v>12</v>
      </c>
      <c r="T77" s="46">
        <f t="shared" si="43"/>
        <v>12</v>
      </c>
      <c r="U77" s="46">
        <f t="shared" si="43"/>
        <v>12</v>
      </c>
      <c r="V77" s="46">
        <f t="shared" si="43"/>
        <v>12</v>
      </c>
      <c r="W77" s="46">
        <f t="shared" si="43"/>
        <v>12</v>
      </c>
      <c r="X77" s="46">
        <f t="shared" si="43"/>
        <v>12</v>
      </c>
      <c r="Y77" s="46">
        <f t="shared" si="43"/>
        <v>13.5</v>
      </c>
      <c r="Z77" s="46">
        <f t="shared" si="43"/>
        <v>22</v>
      </c>
      <c r="AA77" s="46">
        <f t="shared" si="43"/>
        <v>17</v>
      </c>
      <c r="AB77" s="46">
        <f t="shared" si="43"/>
        <v>17</v>
      </c>
      <c r="AC77" s="46">
        <f t="shared" si="43"/>
        <v>17</v>
      </c>
      <c r="AD77" s="46">
        <f t="shared" si="43"/>
        <v>17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1.29</v>
      </c>
      <c r="C81" s="190">
        <f>[1]Protect!$B$10</f>
        <v>4</v>
      </c>
      <c r="D81" s="172"/>
      <c r="E81" s="172"/>
      <c r="F81" s="173">
        <f>ROUND(C81*B81*8,0)</f>
        <v>41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2</v>
      </c>
      <c r="AW81" s="173">
        <f t="shared" ref="AW81:BS81" si="44">COUNTIF(AW$71:AW$80,23)</f>
        <v>2</v>
      </c>
      <c r="AX81" s="173">
        <f t="shared" si="44"/>
        <v>2</v>
      </c>
      <c r="AY81" s="173">
        <f t="shared" si="44"/>
        <v>1</v>
      </c>
      <c r="AZ81" s="173">
        <f t="shared" si="44"/>
        <v>1</v>
      </c>
      <c r="BA81" s="173">
        <f t="shared" si="44"/>
        <v>0</v>
      </c>
      <c r="BB81" s="173">
        <f t="shared" si="44"/>
        <v>0</v>
      </c>
      <c r="BC81" s="173">
        <f t="shared" si="44"/>
        <v>0</v>
      </c>
      <c r="BD81" s="173">
        <f t="shared" si="44"/>
        <v>0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0</v>
      </c>
      <c r="BP81" s="173">
        <f t="shared" si="44"/>
        <v>1</v>
      </c>
      <c r="BQ81" s="173">
        <f t="shared" si="44"/>
        <v>2</v>
      </c>
      <c r="BR81" s="173">
        <f t="shared" si="44"/>
        <v>2</v>
      </c>
      <c r="BS81" s="173">
        <f t="shared" si="44"/>
        <v>2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8.2240000000000002</v>
      </c>
      <c r="C83" s="190">
        <f>[1]Protect!$B$24+[1]Protect!$B$26</f>
        <v>0.33</v>
      </c>
      <c r="D83" s="172"/>
      <c r="E83" s="172"/>
      <c r="F83" s="173">
        <f>ROUND(B83*C83,1)</f>
        <v>2.7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1</v>
      </c>
      <c r="AW83" s="173">
        <f t="shared" ref="AW83:BS83" si="50">COUNTIF(AW$71:AW$80,22)</f>
        <v>1</v>
      </c>
      <c r="AX83" s="173">
        <f t="shared" si="50"/>
        <v>1</v>
      </c>
      <c r="AY83" s="173">
        <f t="shared" si="50"/>
        <v>2</v>
      </c>
      <c r="AZ83" s="173">
        <f t="shared" si="50"/>
        <v>2</v>
      </c>
      <c r="BA83" s="173">
        <f t="shared" si="50"/>
        <v>3</v>
      </c>
      <c r="BB83" s="173">
        <f t="shared" si="50"/>
        <v>3</v>
      </c>
      <c r="BC83" s="173">
        <f t="shared" si="50"/>
        <v>3</v>
      </c>
      <c r="BD83" s="173">
        <f t="shared" si="50"/>
        <v>3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2</v>
      </c>
      <c r="BP83" s="173">
        <f t="shared" si="50"/>
        <v>1</v>
      </c>
      <c r="BQ83" s="173">
        <f t="shared" si="50"/>
        <v>1</v>
      </c>
      <c r="BR83" s="173">
        <f t="shared" si="50"/>
        <v>1</v>
      </c>
      <c r="BS83" s="173">
        <f t="shared" si="50"/>
        <v>1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6.6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22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3.5</v>
      </c>
      <c r="C86" s="176"/>
      <c r="D86" s="176"/>
      <c r="E86" s="176"/>
      <c r="F86" s="173">
        <f>B86*[1]Eco!$B$108*[1]Eco!$B$109</f>
        <v>840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21</v>
      </c>
      <c r="BB86" s="190">
        <f>IF(BB85=0,0,HLOOKUP(BB85,[1]Trav!$C$39:$G$59,$AU$105))</f>
        <v>21</v>
      </c>
      <c r="BC86" s="190">
        <f>IF(BC85=0,0,HLOOKUP(BC85,[1]Trav!$C$39:$G$59,$AU$105))</f>
        <v>21</v>
      </c>
      <c r="BD86" s="190">
        <f>IF(BD85=0,0,HLOOKUP(BD85,[1]Trav!$C$39:$G$59,$AU$105))</f>
        <v>21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21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1388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264.3478260869565</v>
      </c>
      <c r="AW90" s="173">
        <f t="shared" si="60"/>
        <v>261.70434782608697</v>
      </c>
      <c r="AX90" s="173">
        <f t="shared" si="60"/>
        <v>259.06086956521739</v>
      </c>
      <c r="AY90" s="173">
        <f t="shared" si="60"/>
        <v>257.73913043478262</v>
      </c>
      <c r="AZ90" s="173">
        <f t="shared" si="60"/>
        <v>256.4173913043478</v>
      </c>
      <c r="BA90" s="173">
        <f t="shared" si="60"/>
        <v>255.09565217391304</v>
      </c>
      <c r="BB90" s="173">
        <f t="shared" si="60"/>
        <v>253.77391304347827</v>
      </c>
      <c r="BC90" s="173">
        <f t="shared" si="60"/>
        <v>252.45217391304348</v>
      </c>
      <c r="BD90" s="173">
        <f t="shared" si="60"/>
        <v>249.80869565217392</v>
      </c>
      <c r="BE90" s="173">
        <f t="shared" si="60"/>
        <v>255.09565217391304</v>
      </c>
      <c r="BF90" s="173">
        <f t="shared" si="60"/>
        <v>255.09565217391304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255.09565217391304</v>
      </c>
      <c r="BO90" s="173">
        <f t="shared" si="60"/>
        <v>278.88695652173914</v>
      </c>
      <c r="BP90" s="173">
        <f t="shared" si="60"/>
        <v>278.88695652173914</v>
      </c>
      <c r="BQ90" s="173">
        <f t="shared" si="60"/>
        <v>264.3478260869565</v>
      </c>
      <c r="BR90" s="173">
        <f t="shared" si="60"/>
        <v>264.3478260869565</v>
      </c>
      <c r="BS90" s="173">
        <f t="shared" si="60"/>
        <v>264.3478260869565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14.44</v>
      </c>
      <c r="CC90" s="173">
        <f t="shared" si="62"/>
        <v>14.44</v>
      </c>
      <c r="CD90" s="173">
        <f t="shared" si="62"/>
        <v>14.44</v>
      </c>
      <c r="CE90" s="173">
        <f t="shared" si="62"/>
        <v>14.44</v>
      </c>
      <c r="CF90" s="173">
        <f t="shared" si="62"/>
        <v>14.44</v>
      </c>
      <c r="CG90" s="173">
        <f t="shared" si="62"/>
        <v>14.44</v>
      </c>
      <c r="CH90" s="173">
        <f t="shared" si="62"/>
        <v>14.44</v>
      </c>
      <c r="CI90" s="173">
        <f t="shared" si="62"/>
        <v>14.44</v>
      </c>
      <c r="CJ90" s="173">
        <f t="shared" si="62"/>
        <v>14.44</v>
      </c>
      <c r="CK90" s="173">
        <f t="shared" si="62"/>
        <v>14.44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13.68</v>
      </c>
      <c r="CU90" s="173">
        <f t="shared" si="62"/>
        <v>13.68</v>
      </c>
      <c r="CV90" s="173">
        <f t="shared" si="62"/>
        <v>14.44</v>
      </c>
      <c r="CW90" s="173">
        <f t="shared" si="62"/>
        <v>14.44</v>
      </c>
      <c r="CX90" s="173">
        <f t="shared" si="62"/>
        <v>14.44</v>
      </c>
      <c r="CY90" s="173">
        <f t="shared" si="62"/>
        <v>14.44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1886.1554782608696</v>
      </c>
      <c r="C91" s="5"/>
      <c r="D91" s="202">
        <f>B91/Troupeau!$B$17</f>
        <v>6.2044588100686502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25.11304347826087</v>
      </c>
      <c r="AW91" s="173">
        <f t="shared" si="60"/>
        <v>25.11304347826087</v>
      </c>
      <c r="AX91" s="173">
        <f t="shared" si="60"/>
        <v>25.11304347826087</v>
      </c>
      <c r="AY91" s="173">
        <f t="shared" si="60"/>
        <v>25.11304347826087</v>
      </c>
      <c r="AZ91" s="173">
        <f t="shared" si="60"/>
        <v>25.11304347826087</v>
      </c>
      <c r="BA91" s="173">
        <f t="shared" si="60"/>
        <v>25.11304347826087</v>
      </c>
      <c r="BB91" s="173">
        <f t="shared" si="60"/>
        <v>25.11304347826087</v>
      </c>
      <c r="BC91" s="173">
        <f t="shared" si="60"/>
        <v>25.11304347826087</v>
      </c>
      <c r="BD91" s="173">
        <f t="shared" si="60"/>
        <v>25.11304347826087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25.11304347826087</v>
      </c>
      <c r="BP91" s="173">
        <f t="shared" si="60"/>
        <v>25.11304347826087</v>
      </c>
      <c r="BQ91" s="173">
        <f t="shared" si="60"/>
        <v>25.11304347826087</v>
      </c>
      <c r="BR91" s="173">
        <f t="shared" si="60"/>
        <v>25.11304347826087</v>
      </c>
      <c r="BS91" s="173">
        <f t="shared" si="60"/>
        <v>25.11304347826087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1.52</v>
      </c>
      <c r="CW91" s="173">
        <f t="shared" si="62"/>
        <v>0.76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693</v>
      </c>
      <c r="C92" s="5"/>
      <c r="D92" s="202">
        <f>IF(B92=0,0,B92/Troupeau!$C$17)</f>
        <v>36.473684210526315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68.730434782608697</v>
      </c>
      <c r="AW92" s="173">
        <f t="shared" si="60"/>
        <v>68.730434782608697</v>
      </c>
      <c r="AX92" s="173">
        <f t="shared" si="60"/>
        <v>68.730434782608697</v>
      </c>
      <c r="AY92" s="173">
        <f t="shared" si="60"/>
        <v>68.730434782608697</v>
      </c>
      <c r="AZ92" s="173">
        <f t="shared" si="60"/>
        <v>68.730434782608697</v>
      </c>
      <c r="BA92" s="173">
        <f t="shared" si="60"/>
        <v>68.730434782608697</v>
      </c>
      <c r="BB92" s="173">
        <f t="shared" si="60"/>
        <v>68.730434782608697</v>
      </c>
      <c r="BC92" s="173">
        <f t="shared" si="60"/>
        <v>68.730434782608697</v>
      </c>
      <c r="BD92" s="173">
        <f t="shared" si="60"/>
        <v>68.730434782608697</v>
      </c>
      <c r="BE92" s="173">
        <f t="shared" si="60"/>
        <v>68.730434782608697</v>
      </c>
      <c r="BF92" s="173">
        <f t="shared" si="60"/>
        <v>68.730434782608697</v>
      </c>
      <c r="BG92" s="173">
        <f t="shared" si="60"/>
        <v>68.730434782608697</v>
      </c>
      <c r="BH92" s="173">
        <f t="shared" si="60"/>
        <v>68.730434782608697</v>
      </c>
      <c r="BI92" s="173">
        <f t="shared" si="60"/>
        <v>68.730434782608697</v>
      </c>
      <c r="BJ92" s="173">
        <f t="shared" si="60"/>
        <v>68.730434782608697</v>
      </c>
      <c r="BK92" s="173">
        <f t="shared" si="60"/>
        <v>68.730434782608697</v>
      </c>
      <c r="BL92" s="173">
        <f t="shared" si="60"/>
        <v>68.730434782608697</v>
      </c>
      <c r="BM92" s="173">
        <f t="shared" si="60"/>
        <v>68.730434782608697</v>
      </c>
      <c r="BN92" s="173">
        <f t="shared" si="60"/>
        <v>68.730434782608697</v>
      </c>
      <c r="BO92" s="173">
        <f t="shared" si="60"/>
        <v>0</v>
      </c>
      <c r="BP92" s="173">
        <f t="shared" si="60"/>
        <v>0</v>
      </c>
      <c r="BQ92" s="173">
        <f t="shared" si="60"/>
        <v>68.730434782608697</v>
      </c>
      <c r="BR92" s="173">
        <f t="shared" si="60"/>
        <v>68.730434782608697</v>
      </c>
      <c r="BS92" s="173">
        <f t="shared" si="60"/>
        <v>68.730434782608697</v>
      </c>
      <c r="BY92" s="2"/>
      <c r="BZ92" s="189" t="str">
        <f t="shared" si="61"/>
        <v>genisses +1an</v>
      </c>
      <c r="CB92" s="173">
        <f t="shared" si="62"/>
        <v>9.1199999999999992</v>
      </c>
      <c r="CC92" s="173">
        <f t="shared" si="62"/>
        <v>9.1199999999999992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9.1199999999999992</v>
      </c>
      <c r="CY92" s="173">
        <f t="shared" si="62"/>
        <v>9.1199999999999992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0</v>
      </c>
      <c r="AW93" s="173">
        <f t="shared" si="60"/>
        <v>0</v>
      </c>
      <c r="AX93" s="173">
        <f t="shared" si="60"/>
        <v>0</v>
      </c>
      <c r="AY93" s="173">
        <f t="shared" si="60"/>
        <v>0</v>
      </c>
      <c r="AZ93" s="173">
        <f t="shared" si="60"/>
        <v>0</v>
      </c>
      <c r="BA93" s="173">
        <f t="shared" si="60"/>
        <v>0</v>
      </c>
      <c r="BB93" s="173">
        <f t="shared" si="60"/>
        <v>0</v>
      </c>
      <c r="BC93" s="173">
        <f t="shared" si="60"/>
        <v>0</v>
      </c>
      <c r="BD93" s="173">
        <f t="shared" si="60"/>
        <v>0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0</v>
      </c>
      <c r="BP93" s="173">
        <f t="shared" si="60"/>
        <v>0</v>
      </c>
      <c r="BQ93" s="173">
        <f t="shared" si="60"/>
        <v>0</v>
      </c>
      <c r="BR93" s="173">
        <f t="shared" si="60"/>
        <v>0</v>
      </c>
      <c r="BS93" s="173">
        <f t="shared" si="60"/>
        <v>0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2579.1554782608696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784</v>
      </c>
      <c r="C95" s="5"/>
      <c r="D95" s="202">
        <f>B95/Troupeau!$B$17</f>
        <v>2.5789473684210527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2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784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1391.35</v>
      </c>
      <c r="C99" s="5"/>
      <c r="D99" s="202">
        <f>B99/Troupeau!$B$17</f>
        <v>4.5768092105263154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358.19130434782608</v>
      </c>
      <c r="AW99" s="62">
        <f t="shared" ref="AW99:BS99" si="68">SUM(AW90:AW98)</f>
        <v>355.54782608695655</v>
      </c>
      <c r="AX99" s="62">
        <f t="shared" si="68"/>
        <v>352.90434782608696</v>
      </c>
      <c r="AY99" s="62">
        <f t="shared" si="68"/>
        <v>351.5826086956522</v>
      </c>
      <c r="AZ99" s="62">
        <f t="shared" si="68"/>
        <v>350.26086956521738</v>
      </c>
      <c r="BA99" s="62">
        <f t="shared" si="68"/>
        <v>348.93913043478261</v>
      </c>
      <c r="BB99" s="62">
        <f t="shared" si="68"/>
        <v>347.61739130434785</v>
      </c>
      <c r="BC99" s="62">
        <f t="shared" si="68"/>
        <v>346.29565217391308</v>
      </c>
      <c r="BD99" s="62">
        <f t="shared" si="68"/>
        <v>343.6521739130435</v>
      </c>
      <c r="BE99" s="62">
        <f t="shared" si="68"/>
        <v>323.82608695652175</v>
      </c>
      <c r="BF99" s="62">
        <f t="shared" si="68"/>
        <v>323.82608695652175</v>
      </c>
      <c r="BG99" s="62">
        <f t="shared" si="68"/>
        <v>68.730434782608697</v>
      </c>
      <c r="BH99" s="62">
        <f t="shared" si="68"/>
        <v>68.730434782608697</v>
      </c>
      <c r="BI99" s="62">
        <f t="shared" si="68"/>
        <v>68.730434782608697</v>
      </c>
      <c r="BJ99" s="62">
        <f t="shared" si="68"/>
        <v>68.730434782608697</v>
      </c>
      <c r="BK99" s="62">
        <f t="shared" si="68"/>
        <v>68.730434782608697</v>
      </c>
      <c r="BL99" s="62">
        <f t="shared" si="68"/>
        <v>68.730434782608697</v>
      </c>
      <c r="BM99" s="62">
        <f t="shared" si="68"/>
        <v>68.730434782608697</v>
      </c>
      <c r="BN99" s="62">
        <f t="shared" si="68"/>
        <v>323.82608695652175</v>
      </c>
      <c r="BO99" s="62">
        <f t="shared" si="68"/>
        <v>304</v>
      </c>
      <c r="BP99" s="62">
        <f t="shared" si="68"/>
        <v>304</v>
      </c>
      <c r="BQ99" s="62">
        <f t="shared" si="68"/>
        <v>358.19130434782608</v>
      </c>
      <c r="BR99" s="62">
        <f t="shared" si="68"/>
        <v>358.19130434782608</v>
      </c>
      <c r="BS99" s="62">
        <f t="shared" si="68"/>
        <v>358.19130434782608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90</v>
      </c>
      <c r="C100" s="5"/>
      <c r="D100" s="202">
        <f>IF(B100=0,0,B100/Troupeau!$C$17)</f>
        <v>4.7368421052631575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7.1638260869565213</v>
      </c>
      <c r="AW100" s="173">
        <f t="shared" ref="AW100:BS100" si="71">IF($AT$2="OL",AW99/50,AW99/10)</f>
        <v>7.1109565217391308</v>
      </c>
      <c r="AX100" s="173">
        <f t="shared" si="71"/>
        <v>7.0580869565217395</v>
      </c>
      <c r="AY100" s="173">
        <f t="shared" si="71"/>
        <v>7.0316521739130442</v>
      </c>
      <c r="AZ100" s="173">
        <f t="shared" si="71"/>
        <v>7.0052173913043472</v>
      </c>
      <c r="BA100" s="173">
        <f t="shared" si="71"/>
        <v>6.9787826086956519</v>
      </c>
      <c r="BB100" s="173">
        <f t="shared" si="71"/>
        <v>6.9523478260869567</v>
      </c>
      <c r="BC100" s="173">
        <f t="shared" si="71"/>
        <v>6.9259130434782614</v>
      </c>
      <c r="BD100" s="173">
        <f t="shared" si="71"/>
        <v>6.87304347826087</v>
      </c>
      <c r="BE100" s="173">
        <f t="shared" si="71"/>
        <v>6.4765217391304351</v>
      </c>
      <c r="BF100" s="173">
        <f t="shared" si="71"/>
        <v>6.4765217391304351</v>
      </c>
      <c r="BG100" s="173">
        <f t="shared" si="71"/>
        <v>1.3746086956521739</v>
      </c>
      <c r="BH100" s="173">
        <f t="shared" si="71"/>
        <v>1.3746086956521739</v>
      </c>
      <c r="BI100" s="173">
        <f t="shared" si="71"/>
        <v>1.3746086956521739</v>
      </c>
      <c r="BJ100" s="173">
        <f t="shared" si="71"/>
        <v>1.3746086956521739</v>
      </c>
      <c r="BK100" s="173">
        <f t="shared" si="71"/>
        <v>1.3746086956521739</v>
      </c>
      <c r="BL100" s="173">
        <f t="shared" si="71"/>
        <v>1.3746086956521739</v>
      </c>
      <c r="BM100" s="173">
        <f t="shared" si="71"/>
        <v>1.3746086956521739</v>
      </c>
      <c r="BN100" s="173">
        <f t="shared" si="71"/>
        <v>6.4765217391304351</v>
      </c>
      <c r="BO100" s="173">
        <f t="shared" si="71"/>
        <v>6.08</v>
      </c>
      <c r="BP100" s="173">
        <f t="shared" si="71"/>
        <v>6.08</v>
      </c>
      <c r="BQ100" s="173">
        <f t="shared" si="71"/>
        <v>7.1638260869565213</v>
      </c>
      <c r="BR100" s="173">
        <f t="shared" si="71"/>
        <v>7.1638260869565213</v>
      </c>
      <c r="BS100" s="173">
        <f t="shared" si="71"/>
        <v>7.1638260869565213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6.1638260869565213</v>
      </c>
      <c r="AW101" s="173">
        <f t="shared" ref="AW101:BS101" si="74">IF(AW100&gt;1,AW100-1,0)</f>
        <v>6.1109565217391308</v>
      </c>
      <c r="AX101" s="173">
        <f t="shared" si="74"/>
        <v>6.0580869565217395</v>
      </c>
      <c r="AY101" s="173">
        <f t="shared" si="74"/>
        <v>6.0316521739130442</v>
      </c>
      <c r="AZ101" s="173">
        <f t="shared" si="74"/>
        <v>6.0052173913043472</v>
      </c>
      <c r="BA101" s="173">
        <f t="shared" si="74"/>
        <v>5.9787826086956519</v>
      </c>
      <c r="BB101" s="173">
        <f t="shared" si="74"/>
        <v>5.9523478260869567</v>
      </c>
      <c r="BC101" s="173">
        <f t="shared" si="74"/>
        <v>5.9259130434782614</v>
      </c>
      <c r="BD101" s="173">
        <f t="shared" si="74"/>
        <v>5.87304347826087</v>
      </c>
      <c r="BE101" s="173">
        <f t="shared" si="74"/>
        <v>5.4765217391304351</v>
      </c>
      <c r="BF101" s="173">
        <f t="shared" si="74"/>
        <v>5.4765217391304351</v>
      </c>
      <c r="BG101" s="173">
        <f t="shared" si="74"/>
        <v>0.37460869565217392</v>
      </c>
      <c r="BH101" s="173">
        <f t="shared" si="74"/>
        <v>0.37460869565217392</v>
      </c>
      <c r="BI101" s="173">
        <f t="shared" si="74"/>
        <v>0.37460869565217392</v>
      </c>
      <c r="BJ101" s="173">
        <f t="shared" si="74"/>
        <v>0.37460869565217392</v>
      </c>
      <c r="BK101" s="173">
        <f t="shared" si="74"/>
        <v>0.37460869565217392</v>
      </c>
      <c r="BL101" s="173">
        <f t="shared" si="74"/>
        <v>0.37460869565217392</v>
      </c>
      <c r="BM101" s="173">
        <f t="shared" si="74"/>
        <v>0.37460869565217392</v>
      </c>
      <c r="BN101" s="173">
        <f t="shared" si="74"/>
        <v>5.4765217391304351</v>
      </c>
      <c r="BO101" s="173">
        <f t="shared" si="74"/>
        <v>5.08</v>
      </c>
      <c r="BP101" s="173">
        <f t="shared" si="74"/>
        <v>5.08</v>
      </c>
      <c r="BQ101" s="173">
        <f t="shared" si="74"/>
        <v>6.1638260869565213</v>
      </c>
      <c r="BR101" s="173">
        <f t="shared" si="74"/>
        <v>6.1638260869565213</v>
      </c>
      <c r="BS101" s="173">
        <f t="shared" si="74"/>
        <v>6.1638260869565213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1481.35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52.786695652173911</v>
      </c>
      <c r="AW102" s="62">
        <f t="shared" ref="AW102:BS102" si="77">AW86+AW87*AW101</f>
        <v>52.694173913043478</v>
      </c>
      <c r="AX102" s="62">
        <f t="shared" si="77"/>
        <v>52.601652173913045</v>
      </c>
      <c r="AY102" s="62">
        <f t="shared" si="77"/>
        <v>52.555391304347829</v>
      </c>
      <c r="AZ102" s="62">
        <f t="shared" si="77"/>
        <v>52.509130434782605</v>
      </c>
      <c r="BA102" s="62">
        <f t="shared" si="77"/>
        <v>31.462869565217389</v>
      </c>
      <c r="BB102" s="62">
        <f t="shared" si="77"/>
        <v>31.416608695652172</v>
      </c>
      <c r="BC102" s="62">
        <f t="shared" si="77"/>
        <v>31.370347826086956</v>
      </c>
      <c r="BD102" s="62">
        <f t="shared" si="77"/>
        <v>31.277826086956523</v>
      </c>
      <c r="BE102" s="62">
        <f t="shared" si="77"/>
        <v>30.583913043478262</v>
      </c>
      <c r="BF102" s="62">
        <f t="shared" si="77"/>
        <v>30.583913043478262</v>
      </c>
      <c r="BG102" s="62">
        <f t="shared" si="77"/>
        <v>21.655565217391306</v>
      </c>
      <c r="BH102" s="62">
        <f t="shared" si="77"/>
        <v>21.655565217391306</v>
      </c>
      <c r="BI102" s="62">
        <f t="shared" si="77"/>
        <v>21.655565217391306</v>
      </c>
      <c r="BJ102" s="62">
        <f t="shared" si="77"/>
        <v>21.655565217391306</v>
      </c>
      <c r="BK102" s="62">
        <f t="shared" si="77"/>
        <v>21.655565217391306</v>
      </c>
      <c r="BL102" s="62">
        <f t="shared" si="77"/>
        <v>21.655565217391306</v>
      </c>
      <c r="BM102" s="62">
        <f t="shared" si="77"/>
        <v>21.655565217391306</v>
      </c>
      <c r="BN102" s="62">
        <f t="shared" si="77"/>
        <v>30.583913043478262</v>
      </c>
      <c r="BO102" s="62">
        <f t="shared" si="77"/>
        <v>29.89</v>
      </c>
      <c r="BP102" s="62">
        <f t="shared" si="77"/>
        <v>50.89</v>
      </c>
      <c r="BQ102" s="62">
        <f t="shared" si="77"/>
        <v>52.786695652173911</v>
      </c>
      <c r="BR102" s="62">
        <f t="shared" si="77"/>
        <v>52.786695652173911</v>
      </c>
      <c r="BS102" s="62">
        <f t="shared" si="77"/>
        <v>52.786695652173911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2">
        <f>B103/Troupeau!$B$17</f>
        <v>0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2</v>
      </c>
      <c r="BZ105" s="147" t="s">
        <v>853</v>
      </c>
      <c r="CA105" s="17">
        <f>VLOOKUP(CA59,[1]Trav!$B$12:$C$31,2)</f>
        <v>3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 t="e">
        <f>VLOOKUP(DD59,[1]Trav!$B$12:$C$31,2)</f>
        <v>#N/A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0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10.5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5.25</v>
      </c>
      <c r="CM106" s="190">
        <f>IF(CM60&gt;0,HLOOKUP(CM60,[1]Trav!$C$11:$O$31,$CA$105),0)</f>
        <v>5.25</v>
      </c>
      <c r="CN106" s="190">
        <f>IF(CN60&gt;0,HLOOKUP(CN60,[1]Trav!$C$11:$O$31,$CA$105),0)</f>
        <v>5.25</v>
      </c>
      <c r="CO106" s="190">
        <f>IF(CO60&gt;0,HLOOKUP(CO60,[1]Trav!$C$11:$O$31,$CA$105),0)</f>
        <v>3.5</v>
      </c>
      <c r="CP106" s="190">
        <f>IF(CP60&gt;0,HLOOKUP(CP60,[1]Trav!$C$11:$O$31,$CA$105),0)</f>
        <v>3.5</v>
      </c>
      <c r="CQ106" s="190">
        <f>IF(CQ60&gt;0,HLOOKUP(CQ60,[1]Trav!$C$11:$O$31,$CA$105),0)</f>
        <v>3.5</v>
      </c>
      <c r="CR106" s="190">
        <f>IF(CR60&gt;0,HLOOKUP(CR60,[1]Trav!$C$11:$O$31,$CA$105),0)</f>
        <v>5.25</v>
      </c>
      <c r="CS106" s="190">
        <f>IF(CS60&gt;0,HLOOKUP(CS60,[1]Trav!$C$11:$O$31,$CA$105),0)</f>
        <v>5.25</v>
      </c>
      <c r="CT106" s="190">
        <f>IF(CT60&gt;0,HLOOKUP(CT60,[1]Trav!$C$11:$O$31,$CA$105),0)</f>
        <v>14</v>
      </c>
      <c r="CU106" s="190">
        <f>IF(CU60&gt;0,HLOOKUP(CU60,[1]Trav!$C$11:$O$31,$CA$105),0)</f>
        <v>14</v>
      </c>
      <c r="CV106" s="190">
        <f>IF(CV60&gt;0,HLOOKUP(CV60,[1]Trav!$C$11:$O$31,$CA$105),0)</f>
        <v>14</v>
      </c>
      <c r="CW106" s="190">
        <f>IF(CW60&gt;0,HLOOKUP(CW60,[1]Trav!$C$11:$O$31,$CA$105),0)</f>
        <v>14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21</v>
      </c>
      <c r="AW107" s="190">
        <f>IF(AW61&gt;0,HLOOKUP(AW61,[1]Trav!$C$11:$O$31,$AU$105),0)</f>
        <v>21</v>
      </c>
      <c r="AX107" s="190">
        <f>IF(AX61&gt;0,HLOOKUP(AX61,[1]Trav!$C$11:$O$31,$AU$105),0)</f>
        <v>21</v>
      </c>
      <c r="AY107" s="190">
        <f>IF(AY61&gt;0,HLOOKUP(AY61,[1]Trav!$C$11:$O$31,$AU$105),0)</f>
        <v>21</v>
      </c>
      <c r="AZ107" s="190">
        <f>IF(AZ61&gt;0,HLOOKUP(AZ61,[1]Trav!$C$11:$O$31,$AU$105),0)</f>
        <v>21</v>
      </c>
      <c r="BA107" s="190">
        <f>IF(BA61&gt;0,HLOOKUP(BA61,[1]Trav!$C$11:$O$31,$AU$105),0)</f>
        <v>21</v>
      </c>
      <c r="BB107" s="190">
        <f>IF(BB61&gt;0,HLOOKUP(BB61,[1]Trav!$C$11:$O$31,$AU$105),0)</f>
        <v>21</v>
      </c>
      <c r="BC107" s="190">
        <f>IF(BC61&gt;0,HLOOKUP(BC61,[1]Trav!$C$11:$O$31,$AU$105),0)</f>
        <v>21</v>
      </c>
      <c r="BD107" s="190">
        <f>IF(BD61&gt;0,HLOOKUP(BD61,[1]Trav!$C$11:$O$31,$AU$105),0)</f>
        <v>21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21</v>
      </c>
      <c r="BP107" s="190">
        <f>IF(BP61&gt;0,HLOOKUP(BP61,[1]Trav!$C$11:$O$31,$AU$105),0)</f>
        <v>21</v>
      </c>
      <c r="BQ107" s="190">
        <f>IF(BQ61&gt;0,HLOOKUP(BQ61,[1]Trav!$C$11:$O$31,$AU$105),0)</f>
        <v>21</v>
      </c>
      <c r="BR107" s="190">
        <f>IF(BR61&gt;0,HLOOKUP(BR61,[1]Trav!$C$11:$O$31,$AU$105),0)</f>
        <v>21</v>
      </c>
      <c r="BS107" s="190">
        <f>IF(BS61&gt;0,HLOOKUP(BS61,[1]Trav!$C$11:$O$31,$AU$105),0)</f>
        <v>21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3.5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304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14</v>
      </c>
      <c r="BB108" s="190">
        <f>IF(BB62&gt;0,HLOOKUP(BB62,[1]Trav!$C$11:$O$31,$AU$105),0)</f>
        <v>14</v>
      </c>
      <c r="BC108" s="190">
        <f>IF(BC62&gt;0,HLOOKUP(BC62,[1]Trav!$C$11:$O$31,$AU$105),0)</f>
        <v>14</v>
      </c>
      <c r="BD108" s="190">
        <f>IF(BD62&gt;0,HLOOKUP(BD62,[1]Trav!$C$11:$O$31,$AU$105),0)</f>
        <v>14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275</v>
      </c>
      <c r="D109" s="197"/>
      <c r="AT109" s="189" t="str">
        <f t="shared" si="80"/>
        <v>beliers</v>
      </c>
      <c r="AV109" s="190">
        <f>IF(AV63&gt;0,HLOOKUP(AV63,[1]Trav!$C$11:$O$31,$AU$105),0)</f>
        <v>28</v>
      </c>
      <c r="AW109" s="190">
        <f>IF(AW63&gt;0,HLOOKUP(AW63,[1]Trav!$C$11:$O$31,$AU$105),0)</f>
        <v>28</v>
      </c>
      <c r="AX109" s="190">
        <f>IF(AX63&gt;0,HLOOKUP(AX63,[1]Trav!$C$11:$O$31,$AU$105),0)</f>
        <v>28</v>
      </c>
      <c r="AY109" s="190">
        <f>IF(AY63&gt;0,HLOOKUP(AY63,[1]Trav!$C$11:$O$31,$AU$105),0)</f>
        <v>28</v>
      </c>
      <c r="AZ109" s="190">
        <f>IF(AZ63&gt;0,HLOOKUP(AZ63,[1]Trav!$C$11:$O$31,$AU$105),0)</f>
        <v>28</v>
      </c>
      <c r="BA109" s="190">
        <f>IF(BA63&gt;0,HLOOKUP(BA63,[1]Trav!$C$11:$O$31,$AU$105),0)</f>
        <v>28</v>
      </c>
      <c r="BB109" s="190">
        <f>IF(BB63&gt;0,HLOOKUP(BB63,[1]Trav!$C$11:$O$31,$AU$105),0)</f>
        <v>28</v>
      </c>
      <c r="BC109" s="190">
        <f>IF(BC63&gt;0,HLOOKUP(BC63,[1]Trav!$C$11:$O$31,$AU$105),0)</f>
        <v>28</v>
      </c>
      <c r="BD109" s="190">
        <f>IF(BD63&gt;0,HLOOKUP(BD63,[1]Trav!$C$11:$O$31,$AU$105),0)</f>
        <v>21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28</v>
      </c>
      <c r="BP109" s="190">
        <f>IF(BP63&gt;0,HLOOKUP(BP63,[1]Trav!$C$11:$O$31,$AU$105),0)</f>
        <v>28</v>
      </c>
      <c r="BQ109" s="190">
        <f>IF(BQ63&gt;0,HLOOKUP(BQ63,[1]Trav!$C$11:$O$31,$AU$105),0)</f>
        <v>28</v>
      </c>
      <c r="BR109" s="190">
        <f>IF(BR63&gt;0,HLOOKUP(BR63,[1]Trav!$C$11:$O$31,$AU$105),0)</f>
        <v>28</v>
      </c>
      <c r="BS109" s="190">
        <f>IF(BS63&gt;0,HLOOKUP(BS63,[1]Trav!$C$11:$O$31,$AU$105),0)</f>
        <v>28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275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24.5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41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9.3000000000000007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840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49</v>
      </c>
      <c r="AW117" s="173">
        <f t="shared" ref="AW117:BS117" si="83">SUM(AW106:AW115)</f>
        <v>49</v>
      </c>
      <c r="AX117" s="173">
        <f t="shared" si="83"/>
        <v>49</v>
      </c>
      <c r="AY117" s="173">
        <f t="shared" si="83"/>
        <v>63</v>
      </c>
      <c r="AZ117" s="173">
        <f t="shared" si="83"/>
        <v>63</v>
      </c>
      <c r="BA117" s="173">
        <f t="shared" si="83"/>
        <v>77</v>
      </c>
      <c r="BB117" s="173">
        <f t="shared" si="83"/>
        <v>77</v>
      </c>
      <c r="BC117" s="173">
        <f t="shared" si="83"/>
        <v>77</v>
      </c>
      <c r="BD117" s="173">
        <f t="shared" si="83"/>
        <v>70</v>
      </c>
      <c r="BE117" s="173">
        <f t="shared" si="83"/>
        <v>28</v>
      </c>
      <c r="BF117" s="173">
        <f t="shared" si="83"/>
        <v>28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14</v>
      </c>
      <c r="BK117" s="173">
        <f t="shared" si="83"/>
        <v>14</v>
      </c>
      <c r="BL117" s="173">
        <f t="shared" si="83"/>
        <v>14</v>
      </c>
      <c r="BM117" s="173">
        <f t="shared" si="83"/>
        <v>14</v>
      </c>
      <c r="BN117" s="173">
        <f t="shared" si="83"/>
        <v>28</v>
      </c>
      <c r="BO117" s="173">
        <f t="shared" si="83"/>
        <v>63</v>
      </c>
      <c r="BP117" s="173">
        <f t="shared" si="83"/>
        <v>49</v>
      </c>
      <c r="BQ117" s="173">
        <f t="shared" si="83"/>
        <v>49</v>
      </c>
      <c r="BR117" s="173">
        <f t="shared" si="83"/>
        <v>49</v>
      </c>
      <c r="BS117" s="173">
        <f t="shared" si="83"/>
        <v>49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8.75</v>
      </c>
      <c r="CH117" s="173">
        <f t="shared" si="84"/>
        <v>19.25</v>
      </c>
      <c r="CI117" s="173">
        <f t="shared" si="84"/>
        <v>19.25</v>
      </c>
      <c r="CJ117" s="173">
        <f t="shared" si="84"/>
        <v>22.75</v>
      </c>
      <c r="CK117" s="173">
        <f t="shared" si="84"/>
        <v>22.75</v>
      </c>
      <c r="CL117" s="173">
        <f t="shared" si="84"/>
        <v>14</v>
      </c>
      <c r="CM117" s="173">
        <f t="shared" si="84"/>
        <v>14</v>
      </c>
      <c r="CN117" s="173">
        <f t="shared" si="84"/>
        <v>14</v>
      </c>
      <c r="CO117" s="173">
        <f t="shared" si="84"/>
        <v>12.25</v>
      </c>
      <c r="CP117" s="173">
        <f t="shared" si="84"/>
        <v>12.25</v>
      </c>
      <c r="CQ117" s="173">
        <f t="shared" si="84"/>
        <v>12.25</v>
      </c>
      <c r="CR117" s="173">
        <f t="shared" si="84"/>
        <v>14</v>
      </c>
      <c r="CS117" s="173">
        <f t="shared" si="84"/>
        <v>14</v>
      </c>
      <c r="CT117" s="173">
        <f t="shared" si="84"/>
        <v>22.75</v>
      </c>
      <c r="CU117" s="173">
        <f t="shared" si="84"/>
        <v>21</v>
      </c>
      <c r="CV117" s="173">
        <f t="shared" si="84"/>
        <v>28</v>
      </c>
      <c r="CW117" s="173">
        <f t="shared" si="84"/>
        <v>28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4061.5054782608695</v>
      </c>
      <c r="D118" s="202">
        <f>B118/Troupeau!$B$17</f>
        <v>13.360215389016018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783</v>
      </c>
      <c r="D119" s="202">
        <f>IF(B119=0,0,B119/Troupeau!$C$17)</f>
        <v>41.210526315789473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4844.5054782608695</v>
      </c>
    </row>
    <row r="123" spans="1:132" x14ac:dyDescent="0.25">
      <c r="A123" s="2" t="s">
        <v>856</v>
      </c>
      <c r="B123" s="30">
        <f>B108</f>
        <v>304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299.5</v>
      </c>
    </row>
    <row r="126" spans="1:132" x14ac:dyDescent="0.25">
      <c r="A126" s="2" t="s">
        <v>872</v>
      </c>
      <c r="B126" s="30">
        <f>B114+B115+B116</f>
        <v>890.3</v>
      </c>
    </row>
    <row r="128" spans="1:132" x14ac:dyDescent="0.25">
      <c r="A128" s="2" t="s">
        <v>873</v>
      </c>
      <c r="B128" s="201">
        <f>SUM(B122:B126)</f>
        <v>6938.3054782608697</v>
      </c>
    </row>
    <row r="129" spans="1:2" x14ac:dyDescent="0.25">
      <c r="A129" s="2" t="s">
        <v>874</v>
      </c>
      <c r="B129" s="30">
        <f>IF(Scénario!K129=1,Travail!F77+Travail!F86,F86)</f>
        <v>1272.5</v>
      </c>
    </row>
    <row r="130" spans="1:2" x14ac:dyDescent="0.25">
      <c r="A130" s="2" t="s">
        <v>875</v>
      </c>
      <c r="B130" s="201">
        <f>ROUND((B128-B129)/(Scénario!K4+Scénario!K6),0)</f>
        <v>3777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L198" zoomScale="90" zoomScaleNormal="90" workbookViewId="0">
      <selection activeCell="T41" sqref="T4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40280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42858</v>
      </c>
      <c r="K5" s="173">
        <f>ROUND(B5*F5/1000,0)</f>
        <v>42858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0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0</v>
      </c>
      <c r="K6" s="173">
        <f>ROUND(B6*F6/1000,0)</f>
        <v>0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40280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6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0</v>
      </c>
      <c r="AC7" s="30" t="str">
        <f>LEFT(Alim_Surf!B35,10)</f>
        <v>0</v>
      </c>
      <c r="AD7" s="30">
        <f>+Alim_Surf!K35</f>
        <v>0</v>
      </c>
      <c r="AE7" s="30"/>
      <c r="AF7" s="173">
        <f t="shared" ref="AF7:AF15" si="4">IF($AC7=AF$5,$AD7,0)</f>
        <v>0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0</v>
      </c>
      <c r="AC8" s="30" t="str">
        <f>LEFT(Alim_Surf!B36,10)</f>
        <v>0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139</v>
      </c>
      <c r="C9" s="173">
        <f>Troupeau!C43</f>
        <v>6.5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874.80000000000007</v>
      </c>
      <c r="H9" s="190">
        <f>HLOOKUP(Troupeau!$L$17,[1]Anx!$A$122:$CO$164,'Calcul éco'!$O9)</f>
        <v>8</v>
      </c>
      <c r="I9" s="172"/>
      <c r="J9" s="173">
        <f>ROUND((B9*F9+C9*G9+D9*H9+E9*I9),0)</f>
        <v>11100</v>
      </c>
      <c r="K9" s="173">
        <f>ROUND(B9*F9,0)</f>
        <v>5414</v>
      </c>
      <c r="L9" s="173">
        <f t="shared" ref="L9:M16" si="5">ROUND(C9*G9,0)</f>
        <v>5686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70</v>
      </c>
      <c r="C10" s="173">
        <f>Troupeau!C39</f>
        <v>2.5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697.5</v>
      </c>
      <c r="H10" s="190">
        <f>HLOOKUP(Troupeau!$L$17,[1]Anx!$A$122:$CO$164,'Calcul éco'!$O10)</f>
        <v>13</v>
      </c>
      <c r="I10" s="172"/>
      <c r="J10" s="173">
        <f t="shared" ref="J10:J16" si="6">ROUND((B10*F10+C10*G10+D10*H10+E10*I10),0)</f>
        <v>4470</v>
      </c>
      <c r="K10" s="173">
        <f t="shared" ref="K10:K16" si="7">ROUND(B10*F10,0)</f>
        <v>2727</v>
      </c>
      <c r="L10" s="173">
        <f t="shared" si="5"/>
        <v>1744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39</v>
      </c>
      <c r="U11" s="173">
        <f>Troupeau!C37</f>
        <v>4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39</v>
      </c>
      <c r="C13" s="173">
        <f>U11-C14</f>
        <v>4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1028</v>
      </c>
      <c r="H13" s="190">
        <f>HLOOKUP(Troupeau!$L$17,[1]Anx!$A$122:$CO$164,'Calcul éco'!$O13)</f>
        <v>28</v>
      </c>
      <c r="I13" s="172"/>
      <c r="J13" s="173">
        <f t="shared" si="6"/>
        <v>5146</v>
      </c>
      <c r="K13" s="173">
        <f t="shared" si="7"/>
        <v>1034</v>
      </c>
      <c r="L13" s="173">
        <f t="shared" si="5"/>
        <v>4112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3.5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93</v>
      </c>
      <c r="K15" s="173">
        <f t="shared" si="7"/>
        <v>93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3.5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-500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 t="shared" si="6"/>
        <v>-1750</v>
      </c>
      <c r="K16" s="173">
        <f t="shared" si="7"/>
        <v>-1750</v>
      </c>
      <c r="L16" s="173">
        <f t="shared" si="5"/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-9.8000000000000007</v>
      </c>
      <c r="S16" s="5">
        <f>IF(R16&gt;0,R16,0)</f>
        <v>0</v>
      </c>
      <c r="T16" s="5">
        <f>IF(R16&lt;0,-R16,0)</f>
        <v>9.8000000000000007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0</v>
      </c>
      <c r="AD18" s="173">
        <f>Alim_Surf!K13</f>
        <v>-9.8000000000000007</v>
      </c>
      <c r="AE18" s="173">
        <f>IF(AD18&gt;=0,AD18,0)</f>
        <v>0</v>
      </c>
      <c r="AF18" s="173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0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19</v>
      </c>
      <c r="AC27" s="173">
        <f>AA27*AB27</f>
        <v>3154</v>
      </c>
      <c r="AD27" s="5" t="s">
        <v>945</v>
      </c>
      <c r="AE27" s="190">
        <f>[1]Eco!$F$9</f>
        <v>24.3</v>
      </c>
      <c r="AF27" s="214">
        <f>IF(X30&gt;500,500,X30)</f>
        <v>304</v>
      </c>
      <c r="AG27" s="214">
        <f>AE27*AF27</f>
        <v>7387.2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19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19</v>
      </c>
      <c r="W28" s="14" t="s">
        <v>473</v>
      </c>
      <c r="X28" s="173">
        <f>V28/$T$25</f>
        <v>19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7387.2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304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304</v>
      </c>
      <c r="W30" s="14" t="s">
        <v>954</v>
      </c>
      <c r="X30" s="173">
        <f>(V30+V31)/$T$25</f>
        <v>304</v>
      </c>
      <c r="AB30" s="40" t="s">
        <v>949</v>
      </c>
      <c r="AC30" s="62">
        <f>SUM(AC27:AC29)*T25</f>
        <v>3154</v>
      </c>
    </row>
    <row r="31" spans="1:143" s="5" customFormat="1" x14ac:dyDescent="0.25">
      <c r="B31" s="18"/>
      <c r="D31" s="18"/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1430</v>
      </c>
      <c r="AH31" s="284"/>
      <c r="AI31" s="284"/>
      <c r="AJ31" s="284" t="s">
        <v>1431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1432</v>
      </c>
      <c r="AH32" s="280" t="s">
        <v>1433</v>
      </c>
      <c r="AI32" s="280" t="s">
        <v>169</v>
      </c>
      <c r="AJ32" s="280" t="s">
        <v>1434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19</v>
      </c>
      <c r="AH33" s="280">
        <f>ROUND(AG33*0.24,0)</f>
        <v>5</v>
      </c>
      <c r="AI33" s="280">
        <f>AG33+AH33*1.5*0.6</f>
        <v>23.5</v>
      </c>
      <c r="AJ33" s="280"/>
    </row>
    <row r="34" spans="1:143" x14ac:dyDescent="0.25">
      <c r="A34" t="s">
        <v>959</v>
      </c>
      <c r="J34" s="173">
        <f>AC30</f>
        <v>3154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M1</v>
      </c>
      <c r="AE35" s="280"/>
      <c r="AF35" s="280" t="s">
        <v>472</v>
      </c>
      <c r="AG35" s="280">
        <f t="shared" si="18"/>
        <v>304</v>
      </c>
      <c r="AH35" s="280"/>
      <c r="AI35" s="280">
        <f>AG35*0.15</f>
        <v>45.6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M1O</v>
      </c>
      <c r="AA36" s="5"/>
      <c r="AB36" s="14" t="s">
        <v>966</v>
      </c>
      <c r="AC36" s="190">
        <f>VLOOKUP(Z36,[1]Eco!$A$36:$B$45,2)</f>
        <v>258</v>
      </c>
      <c r="AD36" s="5"/>
      <c r="AE36" s="280"/>
      <c r="AF36" s="282" t="s">
        <v>670</v>
      </c>
      <c r="AG36" s="280"/>
      <c r="AH36" s="280"/>
      <c r="AI36" s="280">
        <f>SUM(AI33:AI35)</f>
        <v>69.099999999999994</v>
      </c>
      <c r="AJ36" s="282">
        <f>ROUND(AI36/V46,2)</f>
        <v>0.73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7387.2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1435</v>
      </c>
      <c r="AF37" s="280"/>
      <c r="AG37" s="280"/>
      <c r="AH37" s="280"/>
      <c r="AI37" s="280"/>
      <c r="AJ37" s="284" t="s">
        <v>1436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</f>
        <v>1</v>
      </c>
      <c r="U38" s="173">
        <v>1</v>
      </c>
      <c r="V38" s="173">
        <f>T38*U38</f>
        <v>1</v>
      </c>
      <c r="Y38" s="14" t="s">
        <v>975</v>
      </c>
      <c r="Z38" s="30">
        <f>V46</f>
        <v>94.88</v>
      </c>
      <c r="AA38" s="14" t="s">
        <v>976</v>
      </c>
      <c r="AB38" s="173">
        <f>IF(Z39&gt;25, 25,Z39)</f>
        <v>25</v>
      </c>
      <c r="AC38" s="173">
        <f>AC40+AC36</f>
        <v>328</v>
      </c>
      <c r="AD38" s="173">
        <f>AB38*AC38</f>
        <v>8200</v>
      </c>
      <c r="AE38" s="282">
        <f>IF($AJ$40=0,AB38*$AC$40,AD38*$AJ$40/100)</f>
        <v>8200</v>
      </c>
      <c r="AF38" s="280"/>
      <c r="AG38" s="280"/>
      <c r="AH38" s="280"/>
      <c r="AI38" s="285" t="s">
        <v>1437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18.7</v>
      </c>
      <c r="U39" s="173">
        <f>[1]Eco!$B$20/100</f>
        <v>1</v>
      </c>
      <c r="V39" s="173">
        <f t="shared" ref="V39:V41" si="20">T39*U39</f>
        <v>18.7</v>
      </c>
      <c r="Y39" s="14" t="s">
        <v>978</v>
      </c>
      <c r="Z39" s="30">
        <f>Z38/T25</f>
        <v>94.88</v>
      </c>
      <c r="AA39" s="14" t="s">
        <v>979</v>
      </c>
      <c r="AB39" s="173">
        <f>IF(Z39&gt;50,25,IF(Z39&gt;25,Z39-25,0))</f>
        <v>25</v>
      </c>
      <c r="AC39" s="173">
        <f>AC40+0.66*AC36</f>
        <v>240.28</v>
      </c>
      <c r="AD39" s="173">
        <f t="shared" ref="AD39:AD40" si="21">AB39*AC39</f>
        <v>6007</v>
      </c>
      <c r="AE39" s="282">
        <f>IF($AJ$40=0,AB39*$AC$40,AD39*$AJ$40/100)</f>
        <v>6007</v>
      </c>
      <c r="AF39" s="280"/>
      <c r="AG39" s="280"/>
      <c r="AH39" s="280"/>
      <c r="AI39" s="285" t="s">
        <v>1438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9.3000000000000007</v>
      </c>
      <c r="U40" s="173">
        <f>[1]Eco!$B$21/100</f>
        <v>1</v>
      </c>
      <c r="V40" s="173">
        <f t="shared" si="20"/>
        <v>9.3000000000000007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1439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11.1</v>
      </c>
      <c r="U41" s="173">
        <f>[1]Eco!$B$22/100</f>
        <v>0.6</v>
      </c>
      <c r="V41" s="173">
        <f t="shared" si="20"/>
        <v>6.6599999999999993</v>
      </c>
      <c r="AC41" s="40" t="s">
        <v>949</v>
      </c>
      <c r="AD41" s="62">
        <f>SUM(AD38:AD40)*T25</f>
        <v>15957</v>
      </c>
      <c r="AE41" s="283">
        <f>ROUND(SUM(AE38:AE40)*T25,0)</f>
        <v>15957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94.88</v>
      </c>
      <c r="C42" s="215">
        <f>[1]Eco!$B$24</f>
        <v>97</v>
      </c>
      <c r="J42" s="173">
        <f>B42*C42</f>
        <v>9203.3599999999988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94.88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6356.96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35.659999999999997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15957</v>
      </c>
      <c r="K45" s="173"/>
      <c r="L45" s="173"/>
      <c r="M45" s="173"/>
      <c r="N45" s="173"/>
      <c r="O45" s="210"/>
      <c r="U45" s="14" t="s">
        <v>990</v>
      </c>
      <c r="V45" s="173">
        <f>S55</f>
        <v>59.22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12500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94.88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23.149999999999995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23.149999999999995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37.008695652173913</v>
      </c>
      <c r="AI47" s="221">
        <f>CdTrp1!C39</f>
        <v>36.638608695652181</v>
      </c>
      <c r="AJ47" s="221">
        <f>CdTrp1!D39</f>
        <v>36.268521739130435</v>
      </c>
      <c r="AK47" s="221">
        <f>CdTrp1!E39</f>
        <v>36.083478260869569</v>
      </c>
      <c r="AL47" s="221">
        <f>CdTrp1!F39</f>
        <v>35.898434782608696</v>
      </c>
      <c r="AM47" s="221">
        <f>CdTrp1!G39</f>
        <v>35.71339130434783</v>
      </c>
      <c r="AN47" s="221">
        <f>CdTrp1!H39</f>
        <v>35.528347826086964</v>
      </c>
      <c r="AO47" s="221">
        <f>CdTrp1!I39</f>
        <v>35.343304347826091</v>
      </c>
      <c r="AP47" s="221">
        <f>CdTrp1!J39</f>
        <v>34.973217391304352</v>
      </c>
      <c r="AQ47" s="221">
        <f>CdTrp1!K39</f>
        <v>35.71339130434783</v>
      </c>
      <c r="AR47" s="221">
        <f>CdTrp1!L39</f>
        <v>35.71339130434783</v>
      </c>
      <c r="AS47" s="221">
        <f>CdTrp1!M39</f>
        <v>35.71339130434783</v>
      </c>
      <c r="AT47" s="221">
        <f>CdTrp1!N39</f>
        <v>35.71339130434783</v>
      </c>
      <c r="AU47" s="221">
        <f>CdTrp1!O39</f>
        <v>35.71339130434783</v>
      </c>
      <c r="AV47" s="221">
        <f>CdTrp1!P39</f>
        <v>35.71339130434783</v>
      </c>
      <c r="AW47" s="221">
        <f>CdTrp1!Q39</f>
        <v>35.71339130434783</v>
      </c>
      <c r="AX47" s="221">
        <f>CdTrp1!R39</f>
        <v>35.71339130434783</v>
      </c>
      <c r="AY47" s="221">
        <f>CdTrp1!S39</f>
        <v>35.71339130434783</v>
      </c>
      <c r="AZ47" s="221">
        <f>CdTrp1!T39</f>
        <v>35.71339130434783</v>
      </c>
      <c r="BA47" s="221">
        <f>CdTrp1!U39</f>
        <v>39.04417391304348</v>
      </c>
      <c r="BB47" s="221">
        <f>CdTrp1!V39</f>
        <v>39.04417391304348</v>
      </c>
      <c r="BC47" s="221">
        <f>CdTrp1!W39</f>
        <v>37.008695652173913</v>
      </c>
      <c r="BD47" s="221">
        <f>CdTrp1!X39</f>
        <v>37.008695652173913</v>
      </c>
      <c r="BE47" s="221">
        <f>CdTrp1!Y39</f>
        <v>37.008695652173913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13.920159999999999</v>
      </c>
      <c r="BJ47" s="217">
        <f>CdTrp2!C39</f>
        <v>13.862399999999999</v>
      </c>
      <c r="BK47" s="217">
        <f>CdTrp2!D39</f>
        <v>13.862399999999999</v>
      </c>
      <c r="BL47" s="217">
        <f>CdTrp2!E39</f>
        <v>13.862399999999999</v>
      </c>
      <c r="BM47" s="217">
        <f>CdTrp2!F39</f>
        <v>13.862399999999999</v>
      </c>
      <c r="BN47" s="217">
        <f>CdTrp2!G39</f>
        <v>13.05376</v>
      </c>
      <c r="BO47" s="217">
        <f>CdTrp2!H39</f>
        <v>12.793839999999999</v>
      </c>
      <c r="BP47" s="217">
        <f>CdTrp2!I39</f>
        <v>12.53392</v>
      </c>
      <c r="BQ47" s="217">
        <f>CdTrp2!J39</f>
        <v>12.273999999999999</v>
      </c>
      <c r="BR47" s="217">
        <f>CdTrp2!K39</f>
        <v>12.273999999999999</v>
      </c>
      <c r="BS47" s="217">
        <f>CdTrp2!L39</f>
        <v>12.273999999999999</v>
      </c>
      <c r="BT47" s="217">
        <f>CdTrp2!M39</f>
        <v>12.273999999999999</v>
      </c>
      <c r="BU47" s="217">
        <f>CdTrp2!N39</f>
        <v>12.273999999999999</v>
      </c>
      <c r="BV47" s="217">
        <f>CdTrp2!O39</f>
        <v>12.273999999999999</v>
      </c>
      <c r="BW47" s="217">
        <f>CdTrp2!P39</f>
        <v>12.273999999999999</v>
      </c>
      <c r="BX47" s="217">
        <f>CdTrp2!Q39</f>
        <v>12.273999999999999</v>
      </c>
      <c r="BY47" s="217">
        <f>CdTrp2!R39</f>
        <v>11.628</v>
      </c>
      <c r="BZ47" s="217">
        <f>CdTrp2!S39</f>
        <v>11.628</v>
      </c>
      <c r="CA47" s="217">
        <f>CdTrp2!T39</f>
        <v>11.95632</v>
      </c>
      <c r="CB47" s="217">
        <f>CdTrp2!U39</f>
        <v>12.284640000000001</v>
      </c>
      <c r="CC47" s="217">
        <f>CdTrp2!V39</f>
        <v>13.313679999999998</v>
      </c>
      <c r="CD47" s="217">
        <f>CdTrp2!W39</f>
        <v>13.573599999999999</v>
      </c>
      <c r="CE47" s="217">
        <f>CdTrp2!X39</f>
        <v>13.833519999999998</v>
      </c>
      <c r="CF47" s="217">
        <f>CdTrp2!Y39</f>
        <v>14.093439999999999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119023.52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3.5158260869565221</v>
      </c>
      <c r="AI48" s="221">
        <f>CdTrp1!C40</f>
        <v>3.5158260869565221</v>
      </c>
      <c r="AJ48" s="221">
        <f>CdTrp1!D40</f>
        <v>3.5158260869565221</v>
      </c>
      <c r="AK48" s="221">
        <f>CdTrp1!E40</f>
        <v>3.5158260869565221</v>
      </c>
      <c r="AL48" s="221">
        <f>CdTrp1!F40</f>
        <v>3.5158260869565221</v>
      </c>
      <c r="AM48" s="221">
        <f>CdTrp1!G40</f>
        <v>3.5158260869565221</v>
      </c>
      <c r="AN48" s="221">
        <f>CdTrp1!H40</f>
        <v>3.5158260869565221</v>
      </c>
      <c r="AO48" s="221">
        <f>CdTrp1!I40</f>
        <v>3.5158260869565221</v>
      </c>
      <c r="AP48" s="221">
        <f>CdTrp1!J40</f>
        <v>3.5158260869565221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3.5158260869565221</v>
      </c>
      <c r="BB48" s="221">
        <f>CdTrp1!V40</f>
        <v>3.5158260869565221</v>
      </c>
      <c r="BC48" s="221">
        <f>CdTrp1!W40</f>
        <v>3.5158260869565221</v>
      </c>
      <c r="BD48" s="221">
        <f>CdTrp1!X40</f>
        <v>3.5158260869565221</v>
      </c>
      <c r="BE48" s="221">
        <f>CdTrp1!Y40</f>
        <v>3.5158260869565221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0.53199999999999992</v>
      </c>
      <c r="BO48" s="217">
        <f>CdTrp2!H40</f>
        <v>1.0639999999999998</v>
      </c>
      <c r="BP48" s="217">
        <f>CdTrp2!I40</f>
        <v>1.5959999999999999</v>
      </c>
      <c r="BQ48" s="217">
        <f>CdTrp2!J40</f>
        <v>1.5959999999999999</v>
      </c>
      <c r="BR48" s="217">
        <f>CdTrp2!K40</f>
        <v>1.5959999999999999</v>
      </c>
      <c r="BS48" s="217">
        <f>CdTrp2!L40</f>
        <v>1.5959999999999999</v>
      </c>
      <c r="BT48" s="217">
        <f>CdTrp2!M40</f>
        <v>1.5959999999999999</v>
      </c>
      <c r="BU48" s="217">
        <f>CdTrp2!N40</f>
        <v>1.5959999999999999</v>
      </c>
      <c r="BV48" s="217">
        <f>CdTrp2!O40</f>
        <v>1.5959999999999999</v>
      </c>
      <c r="BW48" s="217">
        <f>CdTrp2!P40</f>
        <v>1.5959999999999999</v>
      </c>
      <c r="BX48" s="217">
        <f>CdTrp2!Q40</f>
        <v>1.5959999999999999</v>
      </c>
      <c r="BY48" s="217">
        <f>CdTrp2!R40</f>
        <v>1.5959999999999999</v>
      </c>
      <c r="BZ48" s="217">
        <f>CdTrp2!S40</f>
        <v>1.5959999999999999</v>
      </c>
      <c r="CA48" s="217">
        <f>CdTrp2!T40</f>
        <v>1.3299999999999998</v>
      </c>
      <c r="CB48" s="217">
        <f>CdTrp2!U40</f>
        <v>1.3299999999999998</v>
      </c>
      <c r="CC48" s="217">
        <f>CdTrp2!V40</f>
        <v>0.53199999999999992</v>
      </c>
      <c r="CD48" s="217">
        <f>CdTrp2!W40</f>
        <v>0.26599999999999996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55.131999999999998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55.131999999999998</v>
      </c>
      <c r="AD49" s="217"/>
      <c r="AE49" s="217"/>
      <c r="AF49" s="217"/>
      <c r="AG49" s="272" t="str">
        <f>CdTrp1!A41</f>
        <v>agnelles</v>
      </c>
      <c r="AH49" s="221">
        <f>CdTrp1!B41</f>
        <v>1.9244521739130436</v>
      </c>
      <c r="AI49" s="221">
        <f>CdTrp1!C41</f>
        <v>1.9244521739130436</v>
      </c>
      <c r="AJ49" s="221">
        <f>CdTrp1!D41</f>
        <v>1.9244521739130436</v>
      </c>
      <c r="AK49" s="221">
        <f>CdTrp1!E41</f>
        <v>1.9244521739130436</v>
      </c>
      <c r="AL49" s="221">
        <f>CdTrp1!F41</f>
        <v>1.9244521739130436</v>
      </c>
      <c r="AM49" s="221">
        <f>CdTrp1!G41</f>
        <v>1.9244521739130436</v>
      </c>
      <c r="AN49" s="221">
        <f>CdTrp1!H41</f>
        <v>1.9244521739130436</v>
      </c>
      <c r="AO49" s="221">
        <f>CdTrp1!I41</f>
        <v>1.9244521739130436</v>
      </c>
      <c r="AP49" s="221">
        <f>CdTrp1!J41</f>
        <v>4.8111304347826094</v>
      </c>
      <c r="AQ49" s="221">
        <f>CdTrp1!K41</f>
        <v>4.8111304347826094</v>
      </c>
      <c r="AR49" s="221">
        <f>CdTrp1!L41</f>
        <v>4.8111304347826094</v>
      </c>
      <c r="AS49" s="221">
        <f>CdTrp1!M41</f>
        <v>4.8111304347826094</v>
      </c>
      <c r="AT49" s="221">
        <f>CdTrp1!N41</f>
        <v>4.8111304347826094</v>
      </c>
      <c r="AU49" s="221">
        <f>CdTrp1!O41</f>
        <v>4.8111304347826094</v>
      </c>
      <c r="AV49" s="221">
        <f>CdTrp1!P41</f>
        <v>4.8111304347826094</v>
      </c>
      <c r="AW49" s="221">
        <f>CdTrp1!Q41</f>
        <v>4.8111304347826094</v>
      </c>
      <c r="AX49" s="221">
        <f>CdTrp1!R41</f>
        <v>4.8111304347826094</v>
      </c>
      <c r="AY49" s="221">
        <f>CdTrp1!S41</f>
        <v>4.8111304347826094</v>
      </c>
      <c r="AZ49" s="221">
        <f>CdTrp1!T41</f>
        <v>4.8111304347826094</v>
      </c>
      <c r="BA49" s="221">
        <f>CdTrp1!U41</f>
        <v>0</v>
      </c>
      <c r="BB49" s="221">
        <f>CdTrp1!V41</f>
        <v>0</v>
      </c>
      <c r="BC49" s="221">
        <f>CdTrp1!W41</f>
        <v>1.9244521739130436</v>
      </c>
      <c r="BD49" s="221">
        <f>CdTrp1!X41</f>
        <v>1.9244521739130436</v>
      </c>
      <c r="BE49" s="221">
        <f>CdTrp1!Y41</f>
        <v>1.9244521739130436</v>
      </c>
      <c r="BF49" s="217"/>
      <c r="BG49" s="218"/>
      <c r="BH49" s="272" t="str">
        <f>CdTrp2!A41</f>
        <v>genisses +1an</v>
      </c>
      <c r="BI49" s="217">
        <f>CdTrp2!B41</f>
        <v>6.3839999999999995</v>
      </c>
      <c r="BJ49" s="217">
        <f>CdTrp2!C41</f>
        <v>6.3839999999999995</v>
      </c>
      <c r="BK49" s="217">
        <f>CdTrp2!D41</f>
        <v>6.3839999999999995</v>
      </c>
      <c r="BL49" s="217">
        <f>CdTrp2!E41</f>
        <v>6.3839999999999995</v>
      </c>
      <c r="BM49" s="217">
        <f>CdTrp2!F41</f>
        <v>6.3839999999999995</v>
      </c>
      <c r="BN49" s="217">
        <f>CdTrp2!G41</f>
        <v>6.3839999999999995</v>
      </c>
      <c r="BO49" s="217">
        <f>CdTrp2!H41</f>
        <v>6.3839999999999995</v>
      </c>
      <c r="BP49" s="217">
        <f>CdTrp2!I41</f>
        <v>6.3839999999999995</v>
      </c>
      <c r="BQ49" s="217">
        <f>CdTrp2!J41</f>
        <v>6.3839999999999995</v>
      </c>
      <c r="BR49" s="217">
        <f>CdTrp2!K41</f>
        <v>6.3839999999999995</v>
      </c>
      <c r="BS49" s="217">
        <f>CdTrp2!L41</f>
        <v>6.3839999999999995</v>
      </c>
      <c r="BT49" s="217">
        <f>CdTrp2!M41</f>
        <v>6.3839999999999995</v>
      </c>
      <c r="BU49" s="217">
        <f>CdTrp2!N41</f>
        <v>6.3839999999999995</v>
      </c>
      <c r="BV49" s="217">
        <f>CdTrp2!O41</f>
        <v>6.3839999999999995</v>
      </c>
      <c r="BW49" s="217">
        <f>CdTrp2!P41</f>
        <v>6.3839999999999995</v>
      </c>
      <c r="BX49" s="217">
        <f>CdTrp2!Q41</f>
        <v>6.3839999999999995</v>
      </c>
      <c r="BY49" s="217">
        <f>CdTrp2!R41</f>
        <v>6.3839999999999995</v>
      </c>
      <c r="BZ49" s="217">
        <f>CdTrp2!S41</f>
        <v>6.3839999999999995</v>
      </c>
      <c r="CA49" s="217">
        <f>CdTrp2!T41</f>
        <v>6.3839999999999995</v>
      </c>
      <c r="CB49" s="217">
        <f>CdTrp2!U41</f>
        <v>6.3839999999999995</v>
      </c>
      <c r="CC49" s="217">
        <f>CdTrp2!V41</f>
        <v>6.3839999999999995</v>
      </c>
      <c r="CD49" s="217">
        <f>CdTrp2!W41</f>
        <v>6.3839999999999995</v>
      </c>
      <c r="CE49" s="217">
        <f>CdTrp2!X41</f>
        <v>6.3839999999999995</v>
      </c>
      <c r="CF49" s="217">
        <f>CdTrp2!Y41</f>
        <v>6.3839999999999995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126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1.1102608695652176</v>
      </c>
      <c r="AI50" s="221">
        <f>CdTrp1!C42</f>
        <v>1.1102608695652176</v>
      </c>
      <c r="AJ50" s="221">
        <f>CdTrp1!D42</f>
        <v>1.1102608695652176</v>
      </c>
      <c r="AK50" s="221">
        <f>CdTrp1!E42</f>
        <v>1.1102608695652176</v>
      </c>
      <c r="AL50" s="221">
        <f>CdTrp1!F42</f>
        <v>1.1102608695652176</v>
      </c>
      <c r="AM50" s="221">
        <f>CdTrp1!G42</f>
        <v>1.1102608695652176</v>
      </c>
      <c r="AN50" s="221">
        <f>CdTrp1!H42</f>
        <v>1.1102608695652176</v>
      </c>
      <c r="AO50" s="221">
        <f>CdTrp1!I42</f>
        <v>1.1102608695652176</v>
      </c>
      <c r="AP50" s="221">
        <f>CdTrp1!J42</f>
        <v>1.1102608695652176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1.1102608695652176</v>
      </c>
      <c r="BB50" s="221">
        <f>CdTrp1!V42</f>
        <v>1.1102608695652176</v>
      </c>
      <c r="BC50" s="221">
        <f>CdTrp1!W42</f>
        <v>1.1102608695652176</v>
      </c>
      <c r="BD50" s="221">
        <f>CdTrp1!X42</f>
        <v>1.1102608695652176</v>
      </c>
      <c r="BE50" s="221">
        <f>CdTrp1!Y42</f>
        <v>1.1102608695652176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0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70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126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59.22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9.8000000000000007</v>
      </c>
      <c r="E82" s="173">
        <f t="shared" ref="E82:F97" si="33">BZ89+CD89</f>
        <v>0</v>
      </c>
      <c r="F82" s="173">
        <f t="shared" si="33"/>
        <v>0</v>
      </c>
      <c r="J82" s="173">
        <f>SUM(K82:M82)</f>
        <v>1960.0000000000002</v>
      </c>
      <c r="K82" s="173">
        <f>$C82*D82</f>
        <v>1960.0000000000002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9.8000000000000007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15.9</v>
      </c>
      <c r="E92" s="173">
        <f t="shared" si="33"/>
        <v>0</v>
      </c>
      <c r="F92" s="173">
        <f t="shared" si="33"/>
        <v>0</v>
      </c>
      <c r="J92" s="173">
        <f t="shared" si="36"/>
        <v>6614.4000000000005</v>
      </c>
      <c r="K92" s="173">
        <f t="shared" si="37"/>
        <v>6614.4000000000005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2.9</v>
      </c>
      <c r="E94" s="173">
        <f t="shared" si="33"/>
        <v>0</v>
      </c>
      <c r="F94" s="173">
        <f t="shared" si="33"/>
        <v>0</v>
      </c>
      <c r="J94" s="173">
        <f t="shared" si="36"/>
        <v>893.19999999999993</v>
      </c>
      <c r="K94" s="173">
        <f t="shared" si="37"/>
        <v>893.19999999999993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7.3</v>
      </c>
      <c r="E95" s="173">
        <f t="shared" si="33"/>
        <v>0</v>
      </c>
      <c r="F95" s="173">
        <f t="shared" si="33"/>
        <v>0</v>
      </c>
      <c r="J95" s="173">
        <f t="shared" si="36"/>
        <v>1971</v>
      </c>
      <c r="K95" s="173">
        <f t="shared" si="37"/>
        <v>1971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5.5</v>
      </c>
      <c r="F96" s="173">
        <f t="shared" si="33"/>
        <v>0</v>
      </c>
      <c r="J96" s="173">
        <f t="shared" si="36"/>
        <v>1567.5</v>
      </c>
      <c r="K96" s="173">
        <f t="shared" si="37"/>
        <v>0</v>
      </c>
      <c r="L96" s="173">
        <f t="shared" si="34"/>
        <v>1567.5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2.2999999999999998</v>
      </c>
      <c r="F97" s="173">
        <f t="shared" si="33"/>
        <v>0</v>
      </c>
      <c r="J97" s="173">
        <f t="shared" si="36"/>
        <v>972.9</v>
      </c>
      <c r="K97" s="173">
        <f t="shared" si="37"/>
        <v>0</v>
      </c>
      <c r="L97" s="173">
        <f t="shared" si="34"/>
        <v>972.9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15.9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2.9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7.3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5.5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2.2999999999999998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4541</v>
      </c>
      <c r="K110" s="177">
        <f t="shared" ref="K110:K115" si="55">ROUND(T132*U132,0)</f>
        <v>2432</v>
      </c>
      <c r="L110" s="177">
        <f>ROUND(V132*W132,0)</f>
        <v>2109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11438.600000000002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8625</v>
      </c>
      <c r="K111" s="177">
        <f t="shared" si="55"/>
        <v>5718</v>
      </c>
      <c r="L111" s="177">
        <f>ROUND(V133*W133,0)</f>
        <v>2907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2540.4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0</v>
      </c>
      <c r="K112" s="177">
        <f t="shared" si="55"/>
        <v>0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1292</v>
      </c>
      <c r="K113" s="177">
        <f t="shared" si="55"/>
        <v>912</v>
      </c>
      <c r="L113" s="177">
        <f>ROUND(V135*W135,0)</f>
        <v>380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646</v>
      </c>
      <c r="K114" s="177">
        <f t="shared" si="55"/>
        <v>608</v>
      </c>
      <c r="L114" s="177">
        <f>ROUND(U136*V136,0)</f>
        <v>38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21108.600000000002</v>
      </c>
      <c r="L116" s="62">
        <f t="shared" ref="L116:M116" si="57">SUM(L110:L115)+SUM(L82:L106)</f>
        <v>7974.4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44.158999999999992</v>
      </c>
      <c r="C118" s="190">
        <f>IF(Scénario!$K$12="BV",[1]Eco!$B$78,IF(Scénario!$K$12="BL",[1]Eco!$B$77,[1]Eco!$B$76))</f>
        <v>223</v>
      </c>
      <c r="J118" s="173">
        <f>B118*C118</f>
        <v>9847.4569999999985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48.957999999999998</v>
      </c>
      <c r="C119" s="190">
        <f>[1]Eco!$B$79</f>
        <v>80</v>
      </c>
      <c r="J119" s="173">
        <f>B119*C119</f>
        <v>3916.64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6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0</v>
      </c>
      <c r="B123" s="173">
        <f>Alim_Surf!D35</f>
        <v>0</v>
      </c>
      <c r="C123" s="173">
        <f>Alim_Surf!E35</f>
        <v>0</v>
      </c>
      <c r="D123" s="190">
        <f>IF(B123=0,0,VLOOKUP(A123,[1]Anx!$A$212:$CO$218,3+Troupeau!$J$17))</f>
        <v>0</v>
      </c>
      <c r="J123" s="173">
        <f t="shared" ref="J123:J131" si="58">C123*D123</f>
        <v>0</v>
      </c>
      <c r="K123" s="172"/>
      <c r="L123" s="172"/>
      <c r="M123" s="172"/>
      <c r="N123" s="172"/>
      <c r="S123" s="14" t="s">
        <v>1031</v>
      </c>
      <c r="T123" s="171">
        <f>Troupeau!J17</f>
        <v>4</v>
      </c>
      <c r="U123" s="171">
        <f>Troupeau!K17</f>
        <v>5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0</v>
      </c>
      <c r="B124" s="173">
        <f>Alim_Surf!D36</f>
        <v>0</v>
      </c>
      <c r="C124" s="173">
        <f>Alim_Surf!E36</f>
        <v>0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40.28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4</v>
      </c>
      <c r="AG125" s="30">
        <f>Troupeau!K17</f>
        <v>5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45.96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139</v>
      </c>
      <c r="AG126" s="30">
        <f>C9</f>
        <v>6.5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304</v>
      </c>
      <c r="U127">
        <f>Troupeau!C17</f>
        <v>19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207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1345.5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70</v>
      </c>
      <c r="AG129" s="30">
        <f>C10</f>
        <v>2.5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180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450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8.6999999999999993</v>
      </c>
      <c r="D132" s="190">
        <f>HLOOKUP(Troupeau!$J$17,[1]Anx!$D$170:$CN$186,'Calcul éco'!O132)</f>
        <v>27</v>
      </c>
      <c r="E132" s="236"/>
      <c r="F132" s="236"/>
      <c r="G132" s="18"/>
      <c r="J132" s="173">
        <f>D132*C132</f>
        <v>234.89999999999998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304</v>
      </c>
      <c r="U132" s="190">
        <f>HLOOKUP($T$123,[1]Anx!$D$170:$CN$1177,$AB132)</f>
        <v>8</v>
      </c>
      <c r="V132" s="171">
        <f>$U$127</f>
        <v>19</v>
      </c>
      <c r="W132" s="190">
        <f>IF(V132=0,0,HLOOKUP(U$123,[1]Anx!$D$170:$CN$1177,$AB132))</f>
        <v>111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3.3</v>
      </c>
      <c r="D133" s="190">
        <f>HLOOKUP(Troupeau!$J$17,[1]Anx!$D$170:$CN$186,'Calcul éco'!O133)</f>
        <v>46.62</v>
      </c>
      <c r="E133" s="236"/>
      <c r="F133" s="236"/>
      <c r="G133" s="18"/>
      <c r="J133" s="173">
        <f t="shared" ref="J133:J138" si="61">D133*C133</f>
        <v>153.84599999999998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304</v>
      </c>
      <c r="U133" s="190">
        <f>HLOOKUP($T$123,[1]Anx!$D$170:$CN$1177,$AB133)</f>
        <v>18.809999999999999</v>
      </c>
      <c r="V133" s="171">
        <f>$U$127</f>
        <v>19</v>
      </c>
      <c r="W133" s="190">
        <f>IF(V133=0,0,HLOOKUP(U$123,[1]Anx!$D$170:$CN$1177,$AB133))</f>
        <v>153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11</v>
      </c>
      <c r="D134" s="190">
        <f>HLOOKUP(Troupeau!$J$17,[1]Anx!$D$170:$CN$186,'Calcul éco'!O134)</f>
        <v>50.13</v>
      </c>
      <c r="E134" s="236"/>
      <c r="F134" s="236"/>
      <c r="G134" s="18"/>
      <c r="J134" s="173">
        <f t="shared" si="61"/>
        <v>551.43000000000006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0</v>
      </c>
      <c r="U134" s="190">
        <f>HLOOKUP($T$123,[1]Anx!$D$170:$CN$1177,$AB134)</f>
        <v>0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304</v>
      </c>
      <c r="U135" s="190">
        <f>HLOOKUP($T$123,[1]Anx!$D$170:$CN$1177,$AB135)</f>
        <v>3</v>
      </c>
      <c r="V135" s="171">
        <f>$U$127</f>
        <v>19</v>
      </c>
      <c r="W135" s="190">
        <f>IF(V135=0,0,HLOOKUP(U$123,[1]Anx!$D$170:$CN$1177,$AB135))</f>
        <v>20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88.92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304</v>
      </c>
      <c r="U136" s="190">
        <f>HLOOKUP($T$123,[1]Anx!$D$170:$CN$1177,$AB136)</f>
        <v>2</v>
      </c>
      <c r="V136" s="171">
        <f>$U$127</f>
        <v>19</v>
      </c>
      <c r="W136" s="190">
        <f>IF(V136=0,0,HLOOKUP(U$123,[1]Anx!$D$170:$CN$1177,$AB136))</f>
        <v>14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5</v>
      </c>
      <c r="D137" s="190">
        <f>HLOOKUP(Troupeau!$J$17,[1]Anx!$D$170:$CN$186,'Calcul éco'!O137)</f>
        <v>112.68</v>
      </c>
      <c r="E137" s="5"/>
      <c r="F137" s="5"/>
      <c r="G137" s="18"/>
      <c r="J137" s="173">
        <f t="shared" si="61"/>
        <v>563.40000000000009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69</v>
      </c>
      <c r="U137" s="190">
        <f>HLOOKUP($T$123,[1]Anx!$D$170:$CN$1177,$AB137)</f>
        <v>0</v>
      </c>
      <c r="V137" s="171">
        <f>Troupeau!C22</f>
        <v>4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175.5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39</v>
      </c>
      <c r="AG138" s="30">
        <f>C13</f>
        <v>4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2800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8139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940.16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53893.832999999999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4595.5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29</v>
      </c>
      <c r="C149" s="190">
        <f>HLOOKUP(Troupeau!J$17,[1]Anx!$A$170:$CN$220,'Calcul éco'!O149)</f>
        <v>86.5</v>
      </c>
      <c r="D149" s="5"/>
      <c r="G149" s="171"/>
      <c r="J149" s="173">
        <f t="shared" ref="J149:J154" si="67">B149*C149</f>
        <v>2508.5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HLOOKUP(Troupeau!J$17,[1]Anx!$A$170:$CN$220,'Calcul éco'!O150)</f>
        <v>750</v>
      </c>
      <c r="D150" s="5"/>
      <c r="G150" s="171"/>
      <c r="J150" s="173">
        <f t="shared" si="67"/>
        <v>750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HLOOKUP(Troupeau!J$17,[1]Anx!$A$170:$CN$220,'Calcul éco'!O151)</f>
        <v>5400</v>
      </c>
      <c r="D151" s="5"/>
      <c r="G151" s="171"/>
      <c r="J151" s="173">
        <f t="shared" si="67"/>
        <v>5400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HLOOKUP(Troupeau!J$17,[1]Anx!$A$170:$CN$220,'Calcul éco'!O152)</f>
        <v>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HLOOKUP(Troupeau!J$17,[1]Anx!$A$170:$CN$220,'Calcul éco'!O153)</f>
        <v>12964</v>
      </c>
      <c r="D153" s="5"/>
      <c r="E153" s="5"/>
      <c r="G153" s="171"/>
      <c r="J153" s="173">
        <f t="shared" si="67"/>
        <v>12964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19.3</v>
      </c>
      <c r="X153" t="s">
        <v>52</v>
      </c>
      <c r="Y153" s="173">
        <f>W153-Scénario!K28</f>
        <v>-4.1999999999999993</v>
      </c>
      <c r="Z153" s="173">
        <f>Y153-Y156</f>
        <v>-3.7799999999999994</v>
      </c>
    </row>
    <row r="154" spans="1:39" x14ac:dyDescent="0.25">
      <c r="A154" t="s">
        <v>1076</v>
      </c>
      <c r="B154" s="173">
        <f>Scénario!K48</f>
        <v>29</v>
      </c>
      <c r="C154" s="190">
        <f>HLOOKUP(Troupeau!J$17,[1]Anx!$A$170:$CN$220,'Calcul éco'!O154)</f>
        <v>290.7</v>
      </c>
      <c r="D154" s="5"/>
      <c r="G154" s="171"/>
      <c r="J154" s="173">
        <f t="shared" si="67"/>
        <v>8430.2999999999993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16</v>
      </c>
      <c r="X154" t="s">
        <v>52</v>
      </c>
      <c r="Y154" s="173">
        <f>W154-Scénario!K29</f>
        <v>0</v>
      </c>
      <c r="Z154" s="173">
        <f>Y154</f>
        <v>0</v>
      </c>
    </row>
    <row r="155" spans="1:39" x14ac:dyDescent="0.25">
      <c r="A155" s="17" t="s">
        <v>1078</v>
      </c>
      <c r="B155" s="239">
        <f>B154</f>
        <v>29</v>
      </c>
      <c r="C155" s="190">
        <f>HLOOKUP(Troupeau!J$17,[1]Anx!$A$170:$CN$220,'Calcul éco'!O155)</f>
        <v>60</v>
      </c>
      <c r="D155" s="86"/>
      <c r="E155" s="17"/>
      <c r="G155" s="171"/>
      <c r="H155" s="17"/>
      <c r="I155" s="239">
        <f>B155*C155</f>
        <v>1740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-0.41999999999999993</v>
      </c>
      <c r="Z156" s="173">
        <f t="shared" si="68"/>
        <v>-0.41999999999999993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-3.7799999999999994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-136.83599999999998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0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0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-0.41999999999999993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-65.267999999999986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266</v>
      </c>
      <c r="S164" s="173">
        <f>Alim_Surf!R7</f>
        <v>2.7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2.7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2.7</v>
      </c>
      <c r="AI164" s="173">
        <f>IF(T164=1,AD164,0)</f>
        <v>0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241</v>
      </c>
      <c r="S165" s="173">
        <f>Alim_Surf!R8</f>
        <v>11</v>
      </c>
      <c r="T165" s="173">
        <f>VLOOKUP(R165,[1]MEP!$A$4:$M$300,13)</f>
        <v>2</v>
      </c>
      <c r="U165" s="173">
        <f t="shared" ref="U165:U207" si="72">IF($T165&gt;0,$S165,0)</f>
        <v>11</v>
      </c>
      <c r="V165" s="173">
        <f t="shared" ref="V165:V207" si="73">IF($T165&gt;1,$S165,0)</f>
        <v>11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11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11</v>
      </c>
      <c r="AN165" s="32" t="s">
        <v>659</v>
      </c>
      <c r="AO165" s="173">
        <f>SUM(AD164:AD183)</f>
        <v>18.7</v>
      </c>
    </row>
    <row r="166" spans="1:41" x14ac:dyDescent="0.25">
      <c r="A166" s="5" t="s">
        <v>1423</v>
      </c>
      <c r="B166" s="30">
        <f>T246*[1]Eco!$B$108*[1]Eco!$B$109</f>
        <v>840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8929.2000000000007</v>
      </c>
      <c r="K166" s="173"/>
      <c r="L166" s="173"/>
      <c r="M166" s="173"/>
      <c r="N166" s="173"/>
      <c r="Q166">
        <v>3</v>
      </c>
      <c r="R166" s="173">
        <f>Alim_Surf!Q9</f>
        <v>290</v>
      </c>
      <c r="S166" s="173">
        <f>Alim_Surf!R9</f>
        <v>0</v>
      </c>
      <c r="T166" s="173">
        <f>VLOOKUP(R166,[1]MEP!$A$4:$M$300,13)</f>
        <v>1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0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0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0</v>
      </c>
    </row>
    <row r="167" spans="1:41" x14ac:dyDescent="0.25">
      <c r="A167" s="5" t="s">
        <v>1424</v>
      </c>
      <c r="B167" s="30">
        <f>IF(Scénario!K129=1,SUM(Travail!F69:F75)+Travail!F81+Travail!F83+Travail!F84,0)</f>
        <v>458.3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4871.7290000000003</v>
      </c>
      <c r="K167" s="173"/>
      <c r="L167" s="173"/>
      <c r="M167" s="173"/>
      <c r="N167" s="173"/>
      <c r="Q167">
        <v>4</v>
      </c>
      <c r="R167" s="173">
        <f>Alim_Surf!Q10</f>
        <v>242</v>
      </c>
      <c r="S167" s="173">
        <f>Alim_Surf!R10</f>
        <v>3.3</v>
      </c>
      <c r="T167" s="173">
        <f>VLOOKUP(R167,[1]MEP!$A$4:$M$300,13)</f>
        <v>1</v>
      </c>
      <c r="U167" s="173">
        <f t="shared" si="72"/>
        <v>3.3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3.3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3.3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239</v>
      </c>
      <c r="S168" s="173">
        <f>Alim_Surf!R11</f>
        <v>1.7</v>
      </c>
      <c r="T168" s="173">
        <f>VLOOKUP(R168,[1]MEP!$A$4:$M$300,13)</f>
        <v>0</v>
      </c>
      <c r="U168" s="173">
        <f t="shared" si="72"/>
        <v>0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1.7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1.7</v>
      </c>
      <c r="AI168" s="173">
        <f t="shared" si="81"/>
        <v>0</v>
      </c>
      <c r="AJ168" s="173">
        <f t="shared" si="82"/>
        <v>0</v>
      </c>
      <c r="AN168" s="32" t="s">
        <v>662</v>
      </c>
      <c r="AO168" s="173">
        <f>SUM(AD186:AD205)</f>
        <v>4.3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72"/>
        <v>0</v>
      </c>
      <c r="V169" s="173">
        <f t="shared" si="73"/>
        <v>0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70"/>
        <v>0</v>
      </c>
      <c r="AB169" s="173">
        <f t="shared" si="71"/>
        <v>0</v>
      </c>
      <c r="AC169" s="173">
        <f t="shared" si="75"/>
        <v>0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0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43651.625</v>
      </c>
      <c r="K170" s="62"/>
      <c r="L170" s="62"/>
      <c r="M170" s="62"/>
      <c r="N170" s="62"/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72"/>
        <v>0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0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11.1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21478.062000000005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14319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11400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4419.2406085694138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5658.8213914305916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3773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239</v>
      </c>
      <c r="S186" s="173">
        <f>Alim_Surf!R29</f>
        <v>4.3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4.3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4.3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242</v>
      </c>
      <c r="S187" s="173">
        <f>Alim_Surf!R30</f>
        <v>0</v>
      </c>
      <c r="T187" s="173">
        <f>VLOOKUP(R187,[1]MEP!$A$4:$M$300,13)</f>
        <v>1</v>
      </c>
      <c r="U187" s="173">
        <f t="shared" si="72"/>
        <v>0</v>
      </c>
      <c r="V187" s="173">
        <f t="shared" si="73"/>
        <v>0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70"/>
        <v>0</v>
      </c>
      <c r="AB187" s="173">
        <f t="shared" si="71"/>
        <v>0</v>
      </c>
      <c r="AC187" s="173">
        <f t="shared" si="75"/>
        <v>0</v>
      </c>
      <c r="AD187" s="173">
        <f t="shared" si="76"/>
        <v>0</v>
      </c>
      <c r="AE187" s="173">
        <f t="shared" si="77"/>
        <v>0</v>
      </c>
      <c r="AF187" s="173">
        <f t="shared" si="78"/>
        <v>0</v>
      </c>
      <c r="AG187" s="173">
        <f t="shared" si="79"/>
        <v>0</v>
      </c>
      <c r="AH187" s="173">
        <f t="shared" si="80"/>
        <v>0</v>
      </c>
      <c r="AI187" s="173">
        <f t="shared" si="81"/>
        <v>0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72"/>
        <v>5</v>
      </c>
      <c r="V188" s="173">
        <f t="shared" si="73"/>
        <v>5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70"/>
        <v>0</v>
      </c>
      <c r="AB188" s="173">
        <f t="shared" si="71"/>
        <v>0</v>
      </c>
      <c r="AC188" s="173">
        <f t="shared" si="75"/>
        <v>5</v>
      </c>
      <c r="AD188" s="173">
        <f t="shared" si="76"/>
        <v>0</v>
      </c>
      <c r="AE188" s="173">
        <f t="shared" si="77"/>
        <v>0</v>
      </c>
      <c r="AF188" s="173">
        <f t="shared" si="78"/>
        <v>0</v>
      </c>
      <c r="AG188" s="173">
        <f t="shared" si="79"/>
        <v>5</v>
      </c>
      <c r="AH188" s="173">
        <f t="shared" si="80"/>
        <v>0</v>
      </c>
      <c r="AI188" s="173">
        <f t="shared" si="81"/>
        <v>0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72"/>
        <v>0</v>
      </c>
      <c r="V189" s="173">
        <f t="shared" si="73"/>
        <v>0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0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28</v>
      </c>
      <c r="U228" s="62">
        <f>SUM(U164:U227)</f>
        <v>19.3</v>
      </c>
      <c r="V228" s="62">
        <f t="shared" ref="V228:W228" si="84">SUM(V164:V227)</f>
        <v>16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5</v>
      </c>
      <c r="AD228" s="62">
        <f>SUM(AD164:AD227)</f>
        <v>23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5</v>
      </c>
      <c r="AH228" s="62">
        <f t="shared" si="86"/>
        <v>8.6999999999999993</v>
      </c>
      <c r="AI228" s="62">
        <f t="shared" si="86"/>
        <v>3.3</v>
      </c>
      <c r="AJ228" s="62">
        <f t="shared" si="86"/>
        <v>11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8224</v>
      </c>
      <c r="U234" t="s">
        <v>1101</v>
      </c>
      <c r="V234" s="173"/>
      <c r="W234" s="173">
        <f>[1]Protect!$B$4</f>
        <v>6</v>
      </c>
      <c r="X234" s="173">
        <f>T234*W234</f>
        <v>49344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1</v>
      </c>
      <c r="W235" s="173">
        <f>[1]Protect!$B$83</f>
        <v>2000</v>
      </c>
      <c r="X235" s="173">
        <f t="shared" ref="X235:X236" si="87">T235*W235</f>
        <v>2000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51344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35844</v>
      </c>
      <c r="AB237" s="30">
        <f>(Scénario!K127/100)*AA237</f>
        <v>0</v>
      </c>
      <c r="AC237" s="30">
        <f>AA237-AB237</f>
        <v>35844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4419.2406085694138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9</v>
      </c>
      <c r="X245" s="173">
        <f>ROUND((([1]Protect!$B$5/[1]Protect!$B$11)+[1]Protect!$B$8)*T245,0)</f>
        <v>8139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3.5</v>
      </c>
      <c r="W246" s="173">
        <f>[1]Eco!$B$106*[1]Eco!$B$108*[1]Eco!$B$109</f>
        <v>2551.2000000000003</v>
      </c>
      <c r="X246" s="173">
        <f>T246*W246</f>
        <v>8929.2000000000007</v>
      </c>
    </row>
    <row r="247" spans="17:31" x14ac:dyDescent="0.25">
      <c r="S247" s="14" t="s">
        <v>1116</v>
      </c>
      <c r="T247" s="30">
        <f>Travail!F16/8</f>
        <v>98</v>
      </c>
      <c r="W247" s="173">
        <f>[1]Eco!$B$111</f>
        <v>28.3</v>
      </c>
      <c r="X247" s="173">
        <f>T247*W247</f>
        <v>2773.4</v>
      </c>
    </row>
    <row r="248" spans="17:31" x14ac:dyDescent="0.25">
      <c r="W248" s="14" t="s">
        <v>1117</v>
      </c>
      <c r="X248" s="173">
        <f>SUM(X245:X247)</f>
        <v>19841.600000000002</v>
      </c>
    </row>
    <row r="249" spans="17:31" x14ac:dyDescent="0.25">
      <c r="W249" s="14" t="s">
        <v>1425</v>
      </c>
      <c r="X249" s="173">
        <f>ROUND(X246+X247+Protection!AJ5*(([1]Protect!$B$5/[1]Protect!$B$11)+[1]Protect!$B$8),0)</f>
        <v>19841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240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3">
        <f>IF(T256=0,0,[1]Protect!$B76)</f>
        <v>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1</v>
      </c>
      <c r="U257" s="173">
        <f>IF(T257=0,0,[1]Protect!$B77)</f>
        <v>12500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0</v>
      </c>
      <c r="U258" s="173">
        <f>IF(T258=0,0,[1]Protect!$B78)</f>
        <v>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12500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12500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10000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123.36</v>
      </c>
      <c r="U272" s="173"/>
      <c r="V272" s="173"/>
      <c r="W272" s="173">
        <f>W234</f>
        <v>6</v>
      </c>
      <c r="X272" s="173">
        <f>T272*W272</f>
        <v>740.16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2</v>
      </c>
      <c r="U274" s="173"/>
      <c r="V274" s="173"/>
      <c r="W274" s="173">
        <f>W271</f>
        <v>100</v>
      </c>
      <c r="X274" s="173">
        <f>T274*W274</f>
        <v>200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D300" sqref="D300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Z1_OLBV_T3PT_Ms1</v>
      </c>
      <c r="D1" s="275" t="str">
        <f>CONCATENATE(C1,"_corr")</f>
        <v>Z1_OLBV_T3PT_Ms1_corr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1.5</v>
      </c>
      <c r="D4" s="177">
        <f t="shared" si="0"/>
        <v>1.5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1</v>
      </c>
      <c r="D7" s="177">
        <f t="shared" si="0"/>
        <v>1</v>
      </c>
    </row>
    <row r="8" spans="2:4" x14ac:dyDescent="0.25">
      <c r="B8" s="14" t="s">
        <v>509</v>
      </c>
      <c r="C8" s="177" t="str">
        <f>Scénario!K9</f>
        <v>M1</v>
      </c>
      <c r="D8" s="177" t="str">
        <f t="shared" si="0"/>
        <v>M1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0</v>
      </c>
      <c r="D13" s="177">
        <f t="shared" si="0"/>
        <v>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23.5</v>
      </c>
      <c r="D18" s="177">
        <f t="shared" si="0"/>
        <v>23.5</v>
      </c>
    </row>
    <row r="19" spans="2:5" x14ac:dyDescent="0.25">
      <c r="B19" s="14" t="s">
        <v>552</v>
      </c>
      <c r="C19" s="177">
        <f>Scénario!K29</f>
        <v>16</v>
      </c>
      <c r="D19" s="177">
        <f t="shared" si="0"/>
        <v>16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10</v>
      </c>
      <c r="D21" s="177">
        <f t="shared" si="0"/>
        <v>10</v>
      </c>
    </row>
    <row r="22" spans="2:5" x14ac:dyDescent="0.25">
      <c r="B22" s="14" t="s">
        <v>1390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3.5</v>
      </c>
      <c r="D23" s="177">
        <f t="shared" si="0"/>
        <v>3.5</v>
      </c>
    </row>
    <row r="24" spans="2:5" x14ac:dyDescent="0.25">
      <c r="B24" s="14" t="s">
        <v>570</v>
      </c>
      <c r="C24" s="177">
        <f>Scénario!K55</f>
        <v>36</v>
      </c>
      <c r="D24" s="177">
        <f t="shared" si="0"/>
        <v>36</v>
      </c>
    </row>
    <row r="25" spans="2:5" x14ac:dyDescent="0.25">
      <c r="B25" s="14" t="s">
        <v>571</v>
      </c>
      <c r="C25" s="177">
        <f>Scénario!K56</f>
        <v>1</v>
      </c>
      <c r="D25" s="177">
        <f t="shared" si="0"/>
        <v>1</v>
      </c>
    </row>
    <row r="26" spans="2:5" x14ac:dyDescent="0.25">
      <c r="B26" s="14" t="s">
        <v>574</v>
      </c>
      <c r="C26" s="177" t="str">
        <f>Scénario!K57</f>
        <v>4. présence 1 éleveur</v>
      </c>
      <c r="D26" s="177" t="str">
        <f t="shared" si="0"/>
        <v>4. présence 1 éleveur</v>
      </c>
    </row>
    <row r="27" spans="2:5" x14ac:dyDescent="0.25">
      <c r="B27" s="14" t="s">
        <v>577</v>
      </c>
      <c r="C27" s="177">
        <f>Scénario!K58</f>
        <v>1</v>
      </c>
      <c r="D27" s="177">
        <f t="shared" si="0"/>
        <v>1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0</v>
      </c>
      <c r="D31" s="177">
        <f t="shared" si="0"/>
        <v>0</v>
      </c>
    </row>
    <row r="32" spans="2:5" x14ac:dyDescent="0.25">
      <c r="B32" s="14" t="s">
        <v>584</v>
      </c>
      <c r="C32" s="177">
        <f>Scénario!K62</f>
        <v>0</v>
      </c>
      <c r="D32" s="177">
        <f t="shared" si="0"/>
        <v>0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1391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0</v>
      </c>
      <c r="D39" s="177">
        <f t="shared" si="0"/>
        <v>0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0</v>
      </c>
      <c r="D41" s="177">
        <f t="shared" si="0"/>
        <v>0</v>
      </c>
      <c r="E41" s="14"/>
    </row>
    <row r="42" spans="2:5" x14ac:dyDescent="0.25">
      <c r="B42" s="14" t="s">
        <v>1392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1393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1394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1</v>
      </c>
      <c r="D51" s="177">
        <f t="shared" si="0"/>
        <v>1</v>
      </c>
      <c r="E51" s="14"/>
    </row>
    <row r="52" spans="1:132" x14ac:dyDescent="0.25">
      <c r="B52" s="19" t="s">
        <v>596</v>
      </c>
      <c r="C52" s="177">
        <f>Scénario!K84</f>
        <v>2</v>
      </c>
      <c r="D52" s="177">
        <f t="shared" si="0"/>
        <v>2</v>
      </c>
      <c r="E52" s="14"/>
    </row>
    <row r="53" spans="1:132" x14ac:dyDescent="0.25">
      <c r="B53" s="14" t="s">
        <v>606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623</v>
      </c>
      <c r="C54" s="177">
        <f>Scénario!K89</f>
        <v>1</v>
      </c>
      <c r="D54" s="177">
        <f t="shared" si="0"/>
        <v>1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1</v>
      </c>
      <c r="D59" s="177">
        <f t="shared" si="0"/>
        <v>1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304</v>
      </c>
      <c r="D63" s="258">
        <f>ROUND(C63*$D$82/$C$82,3)</f>
        <v>291.87</v>
      </c>
      <c r="F63" s="259" t="s">
        <v>1145</v>
      </c>
      <c r="G63">
        <f>D82/C82</f>
        <v>0.96009975062344133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253.80028190393577</v>
      </c>
      <c r="AW64" s="173">
        <f>CdTrp1!C15*$G$63</f>
        <v>251.26227908489645</v>
      </c>
      <c r="AX64" s="173">
        <f>CdTrp1!D15*$G$63</f>
        <v>248.72427626585707</v>
      </c>
      <c r="AY64" s="173">
        <f>CdTrp1!E15*$G$63</f>
        <v>247.45527485633741</v>
      </c>
      <c r="AZ64" s="173">
        <f>CdTrp1!F15*$G$63</f>
        <v>246.18627344681769</v>
      </c>
      <c r="BA64" s="173">
        <f>CdTrp1!G15*$G$63</f>
        <v>244.91727203729803</v>
      </c>
      <c r="BB64" s="173">
        <f>CdTrp1!H15*$G$63</f>
        <v>243.64827062777837</v>
      </c>
      <c r="BC64" s="173">
        <f>CdTrp1!I15*$G$63</f>
        <v>242.37926921825868</v>
      </c>
      <c r="BD64" s="173">
        <f>CdTrp1!J15*$G$63</f>
        <v>239.84126639921934</v>
      </c>
      <c r="BE64" s="173">
        <f>CdTrp1!K15*$G$63</f>
        <v>244.91727203729803</v>
      </c>
      <c r="BF64" s="173">
        <f>CdTrp1!L15*$G$63</f>
        <v>244.91727203729803</v>
      </c>
      <c r="BG64" s="173">
        <f>CdTrp1!M15*$G$63</f>
        <v>244.91727203729803</v>
      </c>
      <c r="BH64" s="173">
        <f>CdTrp1!N15*$G$63</f>
        <v>244.91727203729803</v>
      </c>
      <c r="BI64" s="173">
        <f>CdTrp1!O15*$G$63</f>
        <v>244.91727203729803</v>
      </c>
      <c r="BJ64" s="173">
        <f>CdTrp1!P15*$G$63</f>
        <v>244.91727203729803</v>
      </c>
      <c r="BK64" s="173">
        <f>CdTrp1!Q15*$G$63</f>
        <v>244.91727203729803</v>
      </c>
      <c r="BL64" s="173">
        <f>CdTrp1!R15*$G$63</f>
        <v>244.91727203729803</v>
      </c>
      <c r="BM64" s="173">
        <f>CdTrp1!S15*$G$63</f>
        <v>244.91727203729803</v>
      </c>
      <c r="BN64" s="173">
        <f>CdTrp1!T15*$G$63</f>
        <v>244.91727203729803</v>
      </c>
      <c r="BO64" s="173">
        <f>CdTrp1!U15*$G$63</f>
        <v>267.75929740865229</v>
      </c>
      <c r="BP64" s="173">
        <f>CdTrp1!V15*$G$63</f>
        <v>267.75929740865229</v>
      </c>
      <c r="BQ64" s="173">
        <f>CdTrp1!W15*$G$63</f>
        <v>253.80028190393577</v>
      </c>
      <c r="BR64" s="173">
        <f>CdTrp1!X15*$G$63</f>
        <v>253.80028190393577</v>
      </c>
      <c r="BS64" s="173">
        <f>CdTrp1!Y15*$G$63</f>
        <v>253.80028190393577</v>
      </c>
      <c r="BZ64" s="189" t="str">
        <f>+CdTrp2!A15</f>
        <v xml:space="preserve">vaches </v>
      </c>
      <c r="CA64" s="274"/>
      <c r="CB64" s="173">
        <f>CdTrp2!B15*$G$63</f>
        <v>13.863840399002493</v>
      </c>
      <c r="CC64" s="173">
        <f>CdTrp2!C15*$G$63</f>
        <v>13.863840399002493</v>
      </c>
      <c r="CD64" s="173">
        <f>CdTrp2!D15*$G$63</f>
        <v>13.863840399002493</v>
      </c>
      <c r="CE64" s="173">
        <f>CdTrp2!E15*$G$63</f>
        <v>13.863840399002493</v>
      </c>
      <c r="CF64" s="173">
        <f>CdTrp2!F15*$G$63</f>
        <v>13.863840399002493</v>
      </c>
      <c r="CG64" s="173">
        <f>CdTrp2!G15*$G$63</f>
        <v>13.863840399002493</v>
      </c>
      <c r="CH64" s="173">
        <f>CdTrp2!H15*$G$63</f>
        <v>13.863840399002493</v>
      </c>
      <c r="CI64" s="173">
        <f>CdTrp2!I15*$G$63</f>
        <v>13.863840399002493</v>
      </c>
      <c r="CJ64" s="173">
        <f>CdTrp2!J15*$G$63</f>
        <v>13.863840399002493</v>
      </c>
      <c r="CK64" s="173">
        <f>CdTrp2!K15*$G$63</f>
        <v>13.863840399002493</v>
      </c>
      <c r="CL64" s="173">
        <f>CdTrp2!L15*$G$63</f>
        <v>13.863840399002493</v>
      </c>
      <c r="CM64" s="173">
        <f>CdTrp2!M15*$G$63</f>
        <v>13.863840399002493</v>
      </c>
      <c r="CN64" s="173">
        <f>CdTrp2!N15*$G$63</f>
        <v>13.863840399002493</v>
      </c>
      <c r="CO64" s="173">
        <f>CdTrp2!O15*$G$63</f>
        <v>13.863840399002493</v>
      </c>
      <c r="CP64" s="173">
        <f>CdTrp2!P15*$G$63</f>
        <v>13.863840399002493</v>
      </c>
      <c r="CQ64" s="173">
        <f>CdTrp2!Q15*$G$63</f>
        <v>13.863840399002493</v>
      </c>
      <c r="CR64" s="173">
        <f>CdTrp2!R15*$G$63</f>
        <v>13.134164588528677</v>
      </c>
      <c r="CS64" s="173">
        <f>CdTrp2!S15*$G$63</f>
        <v>13.134164588528677</v>
      </c>
      <c r="CT64" s="173">
        <f>CdTrp2!T15*$G$63</f>
        <v>13.134164588528677</v>
      </c>
      <c r="CU64" s="173">
        <f>CdTrp2!U15*$G$63</f>
        <v>13.134164588528677</v>
      </c>
      <c r="CV64" s="173">
        <f>CdTrp2!V15*$G$63</f>
        <v>13.863840399002493</v>
      </c>
      <c r="CW64" s="173">
        <f>CdTrp2!W15*$G$63</f>
        <v>13.863840399002493</v>
      </c>
      <c r="CX64" s="173">
        <f>CdTrp2!X15*$G$63</f>
        <v>13.863840399002493</v>
      </c>
      <c r="CY64" s="173">
        <f>CdTrp2!Y15*$G$63</f>
        <v>13.863840399002493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19</v>
      </c>
      <c r="D65" s="258">
        <f t="shared" si="1"/>
        <v>18.242000000000001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24.1110267808739</v>
      </c>
      <c r="AW65" s="173">
        <f>CdTrp1!C16*$G$63</f>
        <v>24.1110267808739</v>
      </c>
      <c r="AX65" s="173">
        <f>CdTrp1!D16*$G$63</f>
        <v>24.1110267808739</v>
      </c>
      <c r="AY65" s="173">
        <f>CdTrp1!E16*$G$63</f>
        <v>24.1110267808739</v>
      </c>
      <c r="AZ65" s="173">
        <f>CdTrp1!F16*$G$63</f>
        <v>24.1110267808739</v>
      </c>
      <c r="BA65" s="173">
        <f>CdTrp1!G16*$G$63</f>
        <v>24.1110267808739</v>
      </c>
      <c r="BB65" s="173">
        <f>CdTrp1!H16*$G$63</f>
        <v>24.1110267808739</v>
      </c>
      <c r="BC65" s="173">
        <f>CdTrp1!I16*$G$63</f>
        <v>24.1110267808739</v>
      </c>
      <c r="BD65" s="173">
        <f>CdTrp1!J16*$G$63</f>
        <v>24.1110267808739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24.1110267808739</v>
      </c>
      <c r="BP65" s="173">
        <f>CdTrp1!V16*$G$63</f>
        <v>24.1110267808739</v>
      </c>
      <c r="BQ65" s="173">
        <f>CdTrp1!W16*$G$63</f>
        <v>24.1110267808739</v>
      </c>
      <c r="BR65" s="173">
        <f>CdTrp1!X16*$G$63</f>
        <v>24.1110267808739</v>
      </c>
      <c r="BS65" s="173">
        <f>CdTrp1!Y16*$G$63</f>
        <v>24.1110267808739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1.4593516209476309</v>
      </c>
      <c r="CH65" s="173">
        <f>CdTrp2!H16*$G$63</f>
        <v>2.9187032418952619</v>
      </c>
      <c r="CI65" s="173">
        <f>CdTrp2!I16*$G$63</f>
        <v>4.3780548628428919</v>
      </c>
      <c r="CJ65" s="173">
        <f>CdTrp2!J16*$G$63</f>
        <v>4.3780548628428919</v>
      </c>
      <c r="CK65" s="173">
        <f>CdTrp2!K16*$G$63</f>
        <v>4.3780548628428919</v>
      </c>
      <c r="CL65" s="173">
        <f>CdTrp2!L16*$G$63</f>
        <v>4.3780548628428919</v>
      </c>
      <c r="CM65" s="173">
        <f>CdTrp2!M16*$G$63</f>
        <v>4.3780548628428919</v>
      </c>
      <c r="CN65" s="173">
        <f>CdTrp2!N16*$G$63</f>
        <v>4.3780548628428919</v>
      </c>
      <c r="CO65" s="173">
        <f>CdTrp2!O16*$G$63</f>
        <v>4.3780548628428919</v>
      </c>
      <c r="CP65" s="173">
        <f>CdTrp2!P16*$G$63</f>
        <v>4.3780548628428919</v>
      </c>
      <c r="CQ65" s="173">
        <f>CdTrp2!Q16*$G$63</f>
        <v>4.3780548628428919</v>
      </c>
      <c r="CR65" s="173">
        <f>CdTrp2!R16*$G$63</f>
        <v>4.3780548628428919</v>
      </c>
      <c r="CS65" s="173">
        <f>CdTrp2!S16*$G$63</f>
        <v>4.3780548628428919</v>
      </c>
      <c r="CT65" s="173">
        <f>CdTrp2!T16*$G$63</f>
        <v>3.6483790523690769</v>
      </c>
      <c r="CU65" s="173">
        <f>CdTrp2!U16*$G$63</f>
        <v>3.6483790523690769</v>
      </c>
      <c r="CV65" s="173">
        <f>CdTrp2!V16*$G$63</f>
        <v>1.4593516209476309</v>
      </c>
      <c r="CW65" s="173">
        <f>CdTrp2!W16*$G$63</f>
        <v>0.72967581047381547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65.988073295023312</v>
      </c>
      <c r="AW66" s="173">
        <f>CdTrp1!C17*$G$63</f>
        <v>65.988073295023312</v>
      </c>
      <c r="AX66" s="173">
        <f>CdTrp1!D17*$G$63</f>
        <v>65.988073295023312</v>
      </c>
      <c r="AY66" s="173">
        <f>CdTrp1!E17*$G$63</f>
        <v>65.988073295023312</v>
      </c>
      <c r="AZ66" s="173">
        <f>CdTrp1!F17*$G$63</f>
        <v>65.988073295023312</v>
      </c>
      <c r="BA66" s="173">
        <f>CdTrp1!G17*$G$63</f>
        <v>65.988073295023312</v>
      </c>
      <c r="BB66" s="173">
        <f>CdTrp1!H17*$G$63</f>
        <v>65.988073295023312</v>
      </c>
      <c r="BC66" s="173">
        <f>CdTrp1!I17*$G$63</f>
        <v>65.988073295023312</v>
      </c>
      <c r="BD66" s="173">
        <f>CdTrp1!J17*$G$63</f>
        <v>65.988073295023312</v>
      </c>
      <c r="BE66" s="173">
        <f>CdTrp1!K17*$G$63</f>
        <v>65.988073295023312</v>
      </c>
      <c r="BF66" s="173">
        <f>CdTrp1!L17*$G$63</f>
        <v>65.988073295023312</v>
      </c>
      <c r="BG66" s="173">
        <f>CdTrp1!M17*$G$63</f>
        <v>65.988073295023312</v>
      </c>
      <c r="BH66" s="173">
        <f>CdTrp1!N17*$G$63</f>
        <v>65.988073295023312</v>
      </c>
      <c r="BI66" s="173">
        <f>CdTrp1!O17*$G$63</f>
        <v>65.988073295023312</v>
      </c>
      <c r="BJ66" s="173">
        <f>CdTrp1!P17*$G$63</f>
        <v>65.988073295023312</v>
      </c>
      <c r="BK66" s="173">
        <f>CdTrp1!Q17*$G$63</f>
        <v>65.988073295023312</v>
      </c>
      <c r="BL66" s="173">
        <f>CdTrp1!R17*$G$63</f>
        <v>65.988073295023312</v>
      </c>
      <c r="BM66" s="173">
        <f>CdTrp1!S17*$G$63</f>
        <v>65.988073295023312</v>
      </c>
      <c r="BN66" s="173">
        <f>CdTrp1!T17*$G$63</f>
        <v>65.988073295023312</v>
      </c>
      <c r="BO66" s="173">
        <f>CdTrp1!U17*$G$63</f>
        <v>0</v>
      </c>
      <c r="BP66" s="173">
        <f>CdTrp1!V17*$G$63</f>
        <v>0</v>
      </c>
      <c r="BQ66" s="173">
        <f>CdTrp1!W17*$G$63</f>
        <v>65.988073295023312</v>
      </c>
      <c r="BR66" s="173">
        <f>CdTrp1!X17*$G$63</f>
        <v>65.988073295023312</v>
      </c>
      <c r="BS66" s="173">
        <f>CdTrp1!Y17*$G$63</f>
        <v>65.988073295023312</v>
      </c>
      <c r="BZ66" s="189" t="str">
        <f>+CdTrp2!A17</f>
        <v>genisses +1an</v>
      </c>
      <c r="CA66" s="274"/>
      <c r="CB66" s="173">
        <f>CdTrp2!B17*$G$63</f>
        <v>8.7561097256857838</v>
      </c>
      <c r="CC66" s="173">
        <f>CdTrp2!C17*$G$63</f>
        <v>8.7561097256857838</v>
      </c>
      <c r="CD66" s="173">
        <f>CdTrp2!D17*$G$63</f>
        <v>8.7561097256857838</v>
      </c>
      <c r="CE66" s="173">
        <f>CdTrp2!E17*$G$63</f>
        <v>8.7561097256857838</v>
      </c>
      <c r="CF66" s="173">
        <f>CdTrp2!F17*$G$63</f>
        <v>8.7561097256857838</v>
      </c>
      <c r="CG66" s="173">
        <f>CdTrp2!G17*$G$63</f>
        <v>8.7561097256857838</v>
      </c>
      <c r="CH66" s="173">
        <f>CdTrp2!H17*$G$63</f>
        <v>8.7561097256857838</v>
      </c>
      <c r="CI66" s="173">
        <f>CdTrp2!I17*$G$63</f>
        <v>8.7561097256857838</v>
      </c>
      <c r="CJ66" s="173">
        <f>CdTrp2!J17*$G$63</f>
        <v>8.7561097256857838</v>
      </c>
      <c r="CK66" s="173">
        <f>CdTrp2!K17*$G$63</f>
        <v>8.7561097256857838</v>
      </c>
      <c r="CL66" s="173">
        <f>CdTrp2!L17*$G$63</f>
        <v>8.7561097256857838</v>
      </c>
      <c r="CM66" s="173">
        <f>CdTrp2!M17*$G$63</f>
        <v>8.7561097256857838</v>
      </c>
      <c r="CN66" s="173">
        <f>CdTrp2!N17*$G$63</f>
        <v>8.7561097256857838</v>
      </c>
      <c r="CO66" s="173">
        <f>CdTrp2!O17*$G$63</f>
        <v>8.7561097256857838</v>
      </c>
      <c r="CP66" s="173">
        <f>CdTrp2!P17*$G$63</f>
        <v>8.7561097256857838</v>
      </c>
      <c r="CQ66" s="173">
        <f>CdTrp2!Q17*$G$63</f>
        <v>8.7561097256857838</v>
      </c>
      <c r="CR66" s="173">
        <f>CdTrp2!R17*$G$63</f>
        <v>8.7561097256857838</v>
      </c>
      <c r="CS66" s="173">
        <f>CdTrp2!S17*$G$63</f>
        <v>8.7561097256857838</v>
      </c>
      <c r="CT66" s="173">
        <f>CdTrp2!T17*$G$63</f>
        <v>8.7561097256857838</v>
      </c>
      <c r="CU66" s="173">
        <f>CdTrp2!U17*$G$63</f>
        <v>8.7561097256857838</v>
      </c>
      <c r="CV66" s="173">
        <f>CdTrp2!V17*$G$63</f>
        <v>8.7561097256857838</v>
      </c>
      <c r="CW66" s="173">
        <f>CdTrp2!W17*$G$63</f>
        <v>8.7561097256857838</v>
      </c>
      <c r="CX66" s="173">
        <f>CdTrp2!X17*$G$63</f>
        <v>8.7561097256857838</v>
      </c>
      <c r="CY66" s="173">
        <f>CdTrp2!Y17*$G$63</f>
        <v>8.7561097256857838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42.023373913043486</v>
      </c>
      <c r="D67" s="258">
        <f>ROUND(C67*$D$82/$C$82,3)</f>
        <v>40.347000000000001</v>
      </c>
      <c r="AT67" s="189" t="str">
        <f t="shared" si="2"/>
        <v>beliers</v>
      </c>
      <c r="AU67" s="274"/>
      <c r="AV67" s="173">
        <f>CdTrp1!B18*$G$63</f>
        <v>7.6140084571180742</v>
      </c>
      <c r="AW67" s="173">
        <f>CdTrp1!C18*$G$63</f>
        <v>7.6140084571180742</v>
      </c>
      <c r="AX67" s="173">
        <f>CdTrp1!D18*$G$63</f>
        <v>7.6140084571180742</v>
      </c>
      <c r="AY67" s="173">
        <f>CdTrp1!E18*$G$63</f>
        <v>7.6140084571180742</v>
      </c>
      <c r="AZ67" s="173">
        <f>CdTrp1!F18*$G$63</f>
        <v>7.6140084571180742</v>
      </c>
      <c r="BA67" s="173">
        <f>CdTrp1!G18*$G$63</f>
        <v>7.6140084571180742</v>
      </c>
      <c r="BB67" s="173">
        <f>CdTrp1!H18*$G$63</f>
        <v>7.6140084571180742</v>
      </c>
      <c r="BC67" s="173">
        <f>CdTrp1!I18*$G$63</f>
        <v>7.6140084571180742</v>
      </c>
      <c r="BD67" s="173">
        <f>CdTrp1!J18*$G$63</f>
        <v>7.6140084571180742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7.6140084571180742</v>
      </c>
      <c r="BP67" s="173">
        <f>CdTrp1!V18*$G$63</f>
        <v>7.6140084571180742</v>
      </c>
      <c r="BQ67" s="173">
        <f>CdTrp1!W18*$G$63</f>
        <v>7.6140084571180742</v>
      </c>
      <c r="BR67" s="173">
        <f>CdTrp1!X18*$G$63</f>
        <v>7.6140084571180742</v>
      </c>
      <c r="BS67" s="173">
        <f>CdTrp1!Y18*$G$63</f>
        <v>7.6140084571180742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20.170019999999997</v>
      </c>
      <c r="D68" s="258">
        <f>ROUND(C68*$D$82/$C$82,3)</f>
        <v>19.364999999999998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62.193393913043479</v>
      </c>
      <c r="D70" s="258">
        <f>ROUND(C70*$D$82/$C$82,3)</f>
        <v>59.712000000000003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1</v>
      </c>
      <c r="D71" s="258">
        <f t="shared" ref="D71:D80" si="3">ROUND(C71*$D$82/$C$82,3)</f>
        <v>0.96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5</v>
      </c>
      <c r="D73" s="258">
        <f t="shared" si="3"/>
        <v>4.8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6</v>
      </c>
      <c r="D74" s="258">
        <f t="shared" si="3"/>
        <v>5.7610000000000001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23</v>
      </c>
      <c r="D75" s="258">
        <f t="shared" si="3"/>
        <v>22.082000000000001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0</v>
      </c>
      <c r="D76" s="258">
        <f t="shared" si="3"/>
        <v>0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4.8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18.7</v>
      </c>
      <c r="D78" s="258">
        <f t="shared" si="3"/>
        <v>17.954000000000001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4.3</v>
      </c>
      <c r="D79" s="258">
        <f t="shared" si="3"/>
        <v>4.1280000000000001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11.1</v>
      </c>
      <c r="D80" s="258">
        <f t="shared" si="3"/>
        <v>10.657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29</v>
      </c>
      <c r="D81" s="258">
        <f>ROUND(C81*$D$82/$C$82,3)</f>
        <v>27.843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40.1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1395</v>
      </c>
      <c r="C83" s="173">
        <f>Scénario!K4+Scénario!K6</f>
        <v>1.5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1.5509999999999999</v>
      </c>
      <c r="D84" s="173">
        <f>ROUND(D70/D82,3)</f>
        <v>1.5509999999999999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19.3</v>
      </c>
      <c r="D85" s="261">
        <f>ROUND(C85*$D$82/$C$82,3)</f>
        <v>18.53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16</v>
      </c>
      <c r="D86" s="261">
        <f t="shared" ref="D86:D97" si="14">ROUND(C86*$D$82/$C$82,3)</f>
        <v>15.362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1.93</v>
      </c>
      <c r="D88" s="261">
        <f t="shared" si="14"/>
        <v>1.853</v>
      </c>
      <c r="AT88" s="189" t="str">
        <f>CdTrp1!A16</f>
        <v>vides</v>
      </c>
      <c r="AU88" s="192" t="str">
        <f>Scénario!K97</f>
        <v>fort</v>
      </c>
      <c r="AV88" s="173">
        <f t="shared" si="15"/>
        <v>2</v>
      </c>
      <c r="AW88" s="173">
        <f t="shared" si="15"/>
        <v>2</v>
      </c>
      <c r="AX88" s="173">
        <f t="shared" si="15"/>
        <v>2</v>
      </c>
      <c r="AY88" s="173">
        <f t="shared" si="15"/>
        <v>2</v>
      </c>
      <c r="AZ88" s="173">
        <f t="shared" si="15"/>
        <v>2</v>
      </c>
      <c r="BA88" s="173">
        <f t="shared" si="15"/>
        <v>2</v>
      </c>
      <c r="BB88" s="173">
        <f t="shared" si="15"/>
        <v>2</v>
      </c>
      <c r="BC88" s="173">
        <f t="shared" si="15"/>
        <v>2</v>
      </c>
      <c r="BD88" s="173">
        <f t="shared" si="15"/>
        <v>2</v>
      </c>
      <c r="BE88" s="173">
        <f t="shared" si="15"/>
        <v>2</v>
      </c>
      <c r="BF88" s="173">
        <f t="shared" si="15"/>
        <v>2</v>
      </c>
      <c r="BG88" s="173">
        <f t="shared" si="15"/>
        <v>2</v>
      </c>
      <c r="BH88" s="173">
        <f t="shared" si="15"/>
        <v>2</v>
      </c>
      <c r="BI88" s="173">
        <f t="shared" si="15"/>
        <v>2</v>
      </c>
      <c r="BJ88" s="173">
        <f t="shared" si="15"/>
        <v>2</v>
      </c>
      <c r="BK88" s="173">
        <f t="shared" si="15"/>
        <v>2</v>
      </c>
      <c r="BL88" s="173">
        <f t="shared" si="16"/>
        <v>2</v>
      </c>
      <c r="BM88" s="173">
        <f t="shared" si="16"/>
        <v>2</v>
      </c>
      <c r="BN88" s="173">
        <f t="shared" si="16"/>
        <v>2</v>
      </c>
      <c r="BO88" s="173">
        <f t="shared" si="16"/>
        <v>2</v>
      </c>
      <c r="BP88" s="173">
        <f t="shared" si="16"/>
        <v>2</v>
      </c>
      <c r="BQ88" s="173">
        <f t="shared" si="16"/>
        <v>2</v>
      </c>
      <c r="BR88" s="173">
        <f t="shared" si="16"/>
        <v>2</v>
      </c>
      <c r="BS88" s="173">
        <f t="shared" si="16"/>
        <v>2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0</v>
      </c>
      <c r="D89" s="261">
        <f t="shared" si="14"/>
        <v>0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0.96</v>
      </c>
      <c r="G90" s="85" t="s">
        <v>1174</v>
      </c>
      <c r="AT90" s="189" t="str">
        <f>CdTrp1!A18</f>
        <v>beliers</v>
      </c>
      <c r="AU90" s="192" t="str">
        <f>Scénario!K99</f>
        <v>fort</v>
      </c>
      <c r="AV90" s="173">
        <f t="shared" si="15"/>
        <v>2</v>
      </c>
      <c r="AW90" s="173">
        <f t="shared" si="15"/>
        <v>2</v>
      </c>
      <c r="AX90" s="173">
        <f t="shared" si="15"/>
        <v>2</v>
      </c>
      <c r="AY90" s="173">
        <f t="shared" si="15"/>
        <v>2</v>
      </c>
      <c r="AZ90" s="173">
        <f t="shared" si="15"/>
        <v>2</v>
      </c>
      <c r="BA90" s="173">
        <f t="shared" si="15"/>
        <v>2</v>
      </c>
      <c r="BB90" s="173">
        <f t="shared" si="15"/>
        <v>2</v>
      </c>
      <c r="BC90" s="173">
        <f t="shared" si="15"/>
        <v>2</v>
      </c>
      <c r="BD90" s="173">
        <f t="shared" si="15"/>
        <v>2</v>
      </c>
      <c r="BE90" s="173">
        <f t="shared" si="15"/>
        <v>2</v>
      </c>
      <c r="BF90" s="173">
        <f t="shared" si="15"/>
        <v>2</v>
      </c>
      <c r="BG90" s="173">
        <f t="shared" si="15"/>
        <v>2</v>
      </c>
      <c r="BH90" s="173">
        <f t="shared" si="15"/>
        <v>2</v>
      </c>
      <c r="BI90" s="173">
        <f t="shared" si="15"/>
        <v>2</v>
      </c>
      <c r="BJ90" s="173">
        <f t="shared" si="15"/>
        <v>2</v>
      </c>
      <c r="BK90" s="173">
        <f t="shared" si="15"/>
        <v>2</v>
      </c>
      <c r="BL90" s="173">
        <f t="shared" si="16"/>
        <v>2</v>
      </c>
      <c r="BM90" s="173">
        <f t="shared" si="16"/>
        <v>2</v>
      </c>
      <c r="BN90" s="173">
        <f t="shared" si="16"/>
        <v>2</v>
      </c>
      <c r="BO90" s="173">
        <f t="shared" si="16"/>
        <v>2</v>
      </c>
      <c r="BP90" s="173">
        <f t="shared" si="16"/>
        <v>2</v>
      </c>
      <c r="BQ90" s="173">
        <f t="shared" si="16"/>
        <v>2</v>
      </c>
      <c r="BR90" s="173">
        <f t="shared" si="16"/>
        <v>2</v>
      </c>
      <c r="BS90" s="173">
        <f t="shared" si="16"/>
        <v>2</v>
      </c>
      <c r="BZ90" s="189" t="str">
        <f t="shared" si="17"/>
        <v>lot4</v>
      </c>
      <c r="CA90" s="192">
        <f>Scénario!K109</f>
        <v>0</v>
      </c>
      <c r="CB90" s="173">
        <f t="shared" si="21"/>
        <v>0</v>
      </c>
      <c r="CC90" s="173">
        <f t="shared" si="18"/>
        <v>0</v>
      </c>
      <c r="CD90" s="173">
        <f t="shared" si="18"/>
        <v>0</v>
      </c>
      <c r="CE90" s="173">
        <f t="shared" si="18"/>
        <v>0</v>
      </c>
      <c r="CF90" s="173">
        <f t="shared" si="18"/>
        <v>0</v>
      </c>
      <c r="CG90" s="173">
        <f t="shared" si="18"/>
        <v>0</v>
      </c>
      <c r="CH90" s="173">
        <f t="shared" si="18"/>
        <v>0</v>
      </c>
      <c r="CI90" s="173">
        <f t="shared" si="18"/>
        <v>0</v>
      </c>
      <c r="CJ90" s="173">
        <f t="shared" si="18"/>
        <v>0</v>
      </c>
      <c r="CK90" s="173">
        <f t="shared" si="18"/>
        <v>0</v>
      </c>
      <c r="CL90" s="173">
        <f t="shared" si="18"/>
        <v>0</v>
      </c>
      <c r="CM90" s="173">
        <f t="shared" si="18"/>
        <v>0</v>
      </c>
      <c r="CN90" s="173">
        <f t="shared" si="18"/>
        <v>0</v>
      </c>
      <c r="CO90" s="173">
        <f t="shared" si="18"/>
        <v>0</v>
      </c>
      <c r="CP90" s="173">
        <f t="shared" si="18"/>
        <v>0</v>
      </c>
      <c r="CQ90" s="173">
        <f t="shared" si="18"/>
        <v>0</v>
      </c>
      <c r="CR90" s="173">
        <f t="shared" si="18"/>
        <v>0</v>
      </c>
      <c r="CS90" s="173">
        <f t="shared" si="18"/>
        <v>0</v>
      </c>
      <c r="CT90" s="173">
        <f t="shared" si="18"/>
        <v>0</v>
      </c>
      <c r="CU90" s="173">
        <f t="shared" si="18"/>
        <v>0</v>
      </c>
      <c r="CV90" s="173">
        <f t="shared" si="18"/>
        <v>0</v>
      </c>
      <c r="CW90" s="173">
        <f t="shared" si="18"/>
        <v>0</v>
      </c>
      <c r="CX90" s="173">
        <f t="shared" si="18"/>
        <v>0</v>
      </c>
      <c r="CY90" s="173">
        <f t="shared" si="18"/>
        <v>0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0</v>
      </c>
      <c r="D91" s="261">
        <f t="shared" si="14"/>
        <v>0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3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3</v>
      </c>
      <c r="AE95" s="30">
        <f>CdTrp1!Y77</f>
        <v>2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29</v>
      </c>
      <c r="D97" s="261">
        <f t="shared" si="14"/>
        <v>27.843</v>
      </c>
      <c r="F97" s="14"/>
      <c r="G97" s="30" t="str">
        <f>CdTrp1!A91</f>
        <v>beliers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1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4</v>
      </c>
      <c r="D98" s="173">
        <f>C98</f>
        <v>4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2</v>
      </c>
      <c r="AW99" s="173">
        <f>IF(CdTrp1!C53=1,3,IF(CdTrp1!C53=0.5,2,IF(CdTrp1!C53=0,1,0)))</f>
        <v>2</v>
      </c>
      <c r="AX99" s="173">
        <f>IF(CdTrp1!D53=1,3,IF(CdTrp1!D53=0.5,2,IF(CdTrp1!D53=0,1,0)))</f>
        <v>2</v>
      </c>
      <c r="AY99" s="173">
        <f>IF(CdTrp1!E53=1,3,IF(CdTrp1!E53=0.5,2,IF(CdTrp1!E53=0,1,0)))</f>
        <v>2</v>
      </c>
      <c r="AZ99" s="173">
        <f>IF(CdTrp1!F53=1,3,IF(CdTrp1!F53=0.5,2,IF(CdTrp1!F53=0,1,0)))</f>
        <v>2</v>
      </c>
      <c r="BA99" s="173">
        <f>IF(CdTrp1!G53=1,3,IF(CdTrp1!G53=0.5,2,IF(CdTrp1!G53=0,1,0)))</f>
        <v>2</v>
      </c>
      <c r="BB99" s="173">
        <f>IF(CdTrp1!H53=1,3,IF(CdTrp1!H53=0.5,2,IF(CdTrp1!H53=0,1,0)))</f>
        <v>2</v>
      </c>
      <c r="BC99" s="173">
        <f>IF(CdTrp1!I53=1,3,IF(CdTrp1!I53=0.5,2,IF(CdTrp1!I53=0,1,0)))</f>
        <v>2</v>
      </c>
      <c r="BD99" s="173">
        <f>IF(CdTrp1!J53=1,3,IF(CdTrp1!J53=0.5,2,IF(CdTrp1!J53=0,1,0)))</f>
        <v>2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2</v>
      </c>
      <c r="BP99" s="173">
        <f>IF(CdTrp1!V53=1,3,IF(CdTrp1!V53=0.5,2,IF(CdTrp1!V53=0,1,0)))</f>
        <v>2</v>
      </c>
      <c r="BQ99" s="173">
        <f>IF(CdTrp1!W53=1,3,IF(CdTrp1!W53=0.5,2,IF(CdTrp1!W53=0,1,0)))</f>
        <v>2</v>
      </c>
      <c r="BR99" s="173">
        <f>IF(CdTrp1!X53=1,3,IF(CdTrp1!X53=0.5,2,IF(CdTrp1!X53=0,1,0)))</f>
        <v>2</v>
      </c>
      <c r="BS99" s="173">
        <f>IF(CdTrp1!Y53=1,3,IF(CdTrp1!Y53=0.5,2,IF(CdTrp1!Y53=0,1,0)))</f>
        <v>2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2</v>
      </c>
      <c r="BB100" s="173">
        <f>IF(CdTrp1!H54=1,3,IF(CdTrp1!H54=0.5,2,IF(CdTrp1!H54=0,1,0)))</f>
        <v>2</v>
      </c>
      <c r="BC100" s="173">
        <f>IF(CdTrp1!I54=1,3,IF(CdTrp1!I54=0.5,2,IF(CdTrp1!I54=0,1,0)))</f>
        <v>2</v>
      </c>
      <c r="BD100" s="173">
        <f>IF(CdTrp1!J54=1,3,IF(CdTrp1!J54=0.5,2,IF(CdTrp1!J54=0,1,0)))</f>
        <v>2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7</v>
      </c>
      <c r="D101" s="173">
        <f t="shared" si="25"/>
        <v>7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1</v>
      </c>
      <c r="AW101" s="173">
        <f>IF(CdTrp1!C55=1,3,IF(CdTrp1!C55=0.5,2,IF(CdTrp1!C55=0,1,0)))</f>
        <v>1</v>
      </c>
      <c r="AX101" s="173">
        <f>IF(CdTrp1!D55=1,3,IF(CdTrp1!D55=0.5,2,IF(CdTrp1!D55=0,1,0)))</f>
        <v>1</v>
      </c>
      <c r="AY101" s="173">
        <f>IF(CdTrp1!E55=1,3,IF(CdTrp1!E55=0.5,2,IF(CdTrp1!E55=0,1,0)))</f>
        <v>1</v>
      </c>
      <c r="AZ101" s="173">
        <f>IF(CdTrp1!F55=1,3,IF(CdTrp1!F55=0.5,2,IF(CdTrp1!F55=0,1,0)))</f>
        <v>1</v>
      </c>
      <c r="BA101" s="173">
        <f>IF(CdTrp1!G55=1,3,IF(CdTrp1!G55=0.5,2,IF(CdTrp1!G55=0,1,0)))</f>
        <v>1</v>
      </c>
      <c r="BB101" s="173">
        <f>IF(CdTrp1!H55=1,3,IF(CdTrp1!H55=0.5,2,IF(CdTrp1!H55=0,1,0)))</f>
        <v>1</v>
      </c>
      <c r="BC101" s="173">
        <f>IF(CdTrp1!I55=1,3,IF(CdTrp1!I55=0.5,2,IF(CdTrp1!I55=0,1,0)))</f>
        <v>1</v>
      </c>
      <c r="BD101" s="173">
        <f>IF(CdTrp1!J55=1,3,IF(CdTrp1!J55=0.5,2,IF(CdTrp1!J55=0,1,0)))</f>
        <v>1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1</v>
      </c>
      <c r="BP101" s="173">
        <f>IF(CdTrp1!V55=1,3,IF(CdTrp1!V55=0.5,2,IF(CdTrp1!V55=0,1,0)))</f>
        <v>1</v>
      </c>
      <c r="BQ101" s="173">
        <f>IF(CdTrp1!W55=1,3,IF(CdTrp1!W55=0.5,2,IF(CdTrp1!W55=0,1,0)))</f>
        <v>1</v>
      </c>
      <c r="BR101" s="173">
        <f>IF(CdTrp1!X55=1,3,IF(CdTrp1!X55=0.5,2,IF(CdTrp1!X55=0,1,0)))</f>
        <v>1</v>
      </c>
      <c r="BS101" s="173">
        <f>IF(CdTrp1!Y55=1,3,IF(CdTrp1!Y55=0.5,2,IF(CdTrp1!Y55=0,1,0)))</f>
        <v>1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1</v>
      </c>
      <c r="P105" s="30">
        <f>CdTrp2!J76</f>
        <v>2</v>
      </c>
      <c r="Q105" s="30">
        <f>CdTrp2!K76</f>
        <v>2</v>
      </c>
      <c r="R105" s="30">
        <f>CdTrp2!L76</f>
        <v>2</v>
      </c>
      <c r="S105" s="30">
        <f>CdTrp2!M76</f>
        <v>2</v>
      </c>
      <c r="T105" s="30">
        <f>CdTrp2!N76</f>
        <v>2</v>
      </c>
      <c r="U105" s="30">
        <f>CdTrp2!O76</f>
        <v>1</v>
      </c>
      <c r="V105" s="30">
        <f>CdTrp2!P76</f>
        <v>1</v>
      </c>
      <c r="W105" s="30">
        <f>CdTrp2!Q76</f>
        <v>1</v>
      </c>
      <c r="X105" s="30">
        <f>CdTrp2!R76</f>
        <v>2</v>
      </c>
      <c r="Y105" s="30">
        <f>CdTrp2!S76</f>
        <v>2</v>
      </c>
      <c r="Z105" s="30">
        <f>CdTrp2!T76</f>
        <v>3</v>
      </c>
      <c r="AA105" s="30">
        <f>CdTrp2!U76</f>
        <v>3</v>
      </c>
      <c r="AB105" s="30">
        <f>CdTrp2!V76</f>
        <v>2</v>
      </c>
      <c r="AC105" s="30">
        <f>CdTrp2!W76</f>
        <v>2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31</v>
      </c>
      <c r="D106" s="173">
        <f t="shared" si="25"/>
        <v>31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26.5</v>
      </c>
      <c r="D107" s="173">
        <f t="shared" si="25"/>
        <v>26.5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3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57.5</v>
      </c>
      <c r="D109" s="173">
        <f t="shared" si="25"/>
        <v>57.5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1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2</v>
      </c>
      <c r="CM109" s="173">
        <f>IF(CdTrp2!M76=1,1,IF(CdTrp2!M76=2,2,IF(CdTrp2!M76=3,2,IF(CdTrp2!M76=4,4,0))))</f>
        <v>2</v>
      </c>
      <c r="CN109" s="173">
        <f>IF(CdTrp2!N76=1,1,IF(CdTrp2!N76=2,2,IF(CdTrp2!N76=3,2,IF(CdTrp2!N76=4,4,0))))</f>
        <v>2</v>
      </c>
      <c r="CO109" s="173">
        <f>IF(CdTrp2!O76=1,1,IF(CdTrp2!O76=2,2,IF(CdTrp2!O76=3,2,IF(CdTrp2!O76=4,4,0))))</f>
        <v>1</v>
      </c>
      <c r="CP109" s="173">
        <f>IF(CdTrp2!P76=1,1,IF(CdTrp2!P76=2,2,IF(CdTrp2!P76=3,2,IF(CdTrp2!P76=4,4,0))))</f>
        <v>1</v>
      </c>
      <c r="CQ109" s="173">
        <f>IF(CdTrp2!Q76=1,1,IF(CdTrp2!Q76=2,2,IF(CdTrp2!Q76=3,2,IF(CdTrp2!Q76=4,4,0))))</f>
        <v>1</v>
      </c>
      <c r="CR109" s="173">
        <f>IF(CdTrp2!R76=1,1,IF(CdTrp2!R76=2,2,IF(CdTrp2!R76=3,2,IF(CdTrp2!R76=4,4,0))))</f>
        <v>2</v>
      </c>
      <c r="CS109" s="173">
        <f>IF(CdTrp2!S76=1,1,IF(CdTrp2!S76=2,2,IF(CdTrp2!S76=3,2,IF(CdTrp2!S76=4,4,0))))</f>
        <v>2</v>
      </c>
      <c r="CT109" s="173">
        <f>IF(CdTrp2!T76=1,1,IF(CdTrp2!T76=2,2,IF(CdTrp2!T76=3,2,IF(CdTrp2!T76=4,4,0))))</f>
        <v>2</v>
      </c>
      <c r="CU109" s="173">
        <f>IF(CdTrp2!U76=1,1,IF(CdTrp2!U76=2,2,IF(CdTrp2!U76=3,2,IF(CdTrp2!U76=4,4,0))))</f>
        <v>2</v>
      </c>
      <c r="CV109" s="173">
        <f>IF(CdTrp2!V76=1,1,IF(CdTrp2!V76=2,2,IF(CdTrp2!V76=3,2,IF(CdTrp2!V76=4,4,0))))</f>
        <v>2</v>
      </c>
      <c r="CW109" s="173">
        <f>IF(CdTrp2!W76=1,1,IF(CdTrp2!W76=2,2,IF(CdTrp2!W76=3,2,IF(CdTrp2!W76=4,4,0))))</f>
        <v>2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14</v>
      </c>
      <c r="D110" s="173">
        <f t="shared" si="25"/>
        <v>14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2</v>
      </c>
      <c r="AW110" s="173">
        <f>IF(CdTrp1!C77=1,1,IF(CdTrp1!C77=2,2,IF(CdTrp1!C77=3,2,IF(CdTrp1!C77=4,4,0))))</f>
        <v>2</v>
      </c>
      <c r="AX110" s="173">
        <f>IF(CdTrp1!D77=1,1,IF(CdTrp1!D77=2,2,IF(CdTrp1!D77=3,2,IF(CdTrp1!D77=4,4,0))))</f>
        <v>2</v>
      </c>
      <c r="AY110" s="173">
        <f>IF(CdTrp1!E77=1,1,IF(CdTrp1!E77=2,2,IF(CdTrp1!E77=3,2,IF(CdTrp1!E77=4,4,0))))</f>
        <v>2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2</v>
      </c>
      <c r="BS110" s="173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0</v>
      </c>
      <c r="CE110" s="173">
        <f>IF(CdTrp2!E77=1,1,IF(CdTrp2!E77=2,2,IF(CdTrp2!E77=3,2,IF(CdTrp2!E77=4,4,0))))</f>
        <v>0</v>
      </c>
      <c r="CF110" s="173">
        <f>IF(CdTrp2!F77=1,1,IF(CdTrp2!F77=2,2,IF(CdTrp2!F77=3,2,IF(CdTrp2!F77=4,4,0))))</f>
        <v>0</v>
      </c>
      <c r="CG110" s="173">
        <f>IF(CdTrp2!G77=1,1,IF(CdTrp2!G77=2,2,IF(CdTrp2!G77=3,2,IF(CdTrp2!G77=4,4,0))))</f>
        <v>1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12.5</v>
      </c>
      <c r="D111" s="173">
        <f t="shared" si="25"/>
        <v>12.5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1</v>
      </c>
      <c r="AY111" s="173">
        <f>IF(CdTrp1!E78=1,1,IF(CdTrp1!E78=2,2,IF(CdTrp1!E78=3,2,IF(CdTrp1!E78=4,4,0))))</f>
        <v>1</v>
      </c>
      <c r="AZ111" s="173">
        <f>IF(CdTrp1!F78=1,1,IF(CdTrp1!F78=2,2,IF(CdTrp1!F78=3,2,IF(CdTrp1!F78=4,4,0))))</f>
        <v>1</v>
      </c>
      <c r="BA111" s="173">
        <f>IF(CdTrp1!G78=1,1,IF(CdTrp1!G78=2,2,IF(CdTrp1!G78=3,2,IF(CdTrp1!G78=4,4,0))))</f>
        <v>1</v>
      </c>
      <c r="BB111" s="173">
        <f>IF(CdTrp1!H78=1,1,IF(CdTrp1!H78=2,2,IF(CdTrp1!H78=3,2,IF(CdTrp1!H78=4,4,0))))</f>
        <v>1</v>
      </c>
      <c r="BC111" s="173">
        <f>IF(CdTrp1!I78=1,1,IF(CdTrp1!I78=2,2,IF(CdTrp1!I78=3,2,IF(CdTrp1!I78=4,4,0))))</f>
        <v>1</v>
      </c>
      <c r="BD111" s="173">
        <f>IF(CdTrp1!J78=1,1,IF(CdTrp1!J78=2,2,IF(CdTrp1!J78=3,2,IF(CdTrp1!J78=4,4,0))))</f>
        <v>1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2</v>
      </c>
      <c r="AW112" s="173">
        <f>IF(CdTrp1!C79=1,1,IF(CdTrp1!C79=2,2,IF(CdTrp1!C79=3,2,IF(CdTrp1!C79=4,4,0))))</f>
        <v>2</v>
      </c>
      <c r="AX112" s="173">
        <f>IF(CdTrp1!D79=1,1,IF(CdTrp1!D79=2,2,IF(CdTrp1!D79=3,2,IF(CdTrp1!D79=4,4,0))))</f>
        <v>2</v>
      </c>
      <c r="AY112" s="173">
        <f>IF(CdTrp1!E79=1,1,IF(CdTrp1!E79=2,2,IF(CdTrp1!E79=3,2,IF(CdTrp1!E79=4,4,0))))</f>
        <v>2</v>
      </c>
      <c r="AZ112" s="173">
        <f>IF(CdTrp1!F79=1,1,IF(CdTrp1!F79=2,2,IF(CdTrp1!F79=3,2,IF(CdTrp1!F79=4,4,0))))</f>
        <v>2</v>
      </c>
      <c r="BA112" s="173">
        <f>IF(CdTrp1!G79=1,1,IF(CdTrp1!G79=2,2,IF(CdTrp1!G79=3,2,IF(CdTrp1!G79=4,4,0))))</f>
        <v>2</v>
      </c>
      <c r="BB112" s="173">
        <f>IF(CdTrp1!H79=1,1,IF(CdTrp1!H79=2,2,IF(CdTrp1!H79=3,2,IF(CdTrp1!H79=4,4,0))))</f>
        <v>2</v>
      </c>
      <c r="BC112" s="173">
        <f>IF(CdTrp1!I79=1,1,IF(CdTrp1!I79=2,2,IF(CdTrp1!I79=3,2,IF(CdTrp1!I79=4,4,0))))</f>
        <v>2</v>
      </c>
      <c r="BD112" s="173">
        <f>IF(CdTrp1!J79=1,1,IF(CdTrp1!J79=2,2,IF(CdTrp1!J79=3,2,IF(CdTrp1!J79=4,4,0))))</f>
        <v>1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2</v>
      </c>
      <c r="BP112" s="173">
        <f>IF(CdTrp1!V79=1,1,IF(CdTrp1!V79=2,2,IF(CdTrp1!V79=3,2,IF(CdTrp1!V79=4,4,0))))</f>
        <v>2</v>
      </c>
      <c r="BQ112" s="173">
        <f>IF(CdTrp1!W79=1,1,IF(CdTrp1!W79=2,2,IF(CdTrp1!W79=3,2,IF(CdTrp1!W79=4,4,0))))</f>
        <v>2</v>
      </c>
      <c r="BR112" s="173">
        <f>IF(CdTrp1!X79=1,1,IF(CdTrp1!X79=2,2,IF(CdTrp1!X79=3,2,IF(CdTrp1!X79=4,4,0))))</f>
        <v>2</v>
      </c>
      <c r="BS112" s="173">
        <f>IF(CdTrp1!Y79=1,1,IF(CdTrp1!Y79=2,2,IF(CdTrp1!Y79=3,2,IF(CdTrp1!Y79=4,4,0))))</f>
        <v>2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9</v>
      </c>
      <c r="D113" s="173">
        <f t="shared" si="25"/>
        <v>9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12.5</v>
      </c>
      <c r="D114" s="173">
        <f t="shared" si="25"/>
        <v>12.5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4.5</v>
      </c>
      <c r="D116" s="173">
        <f t="shared" si="25"/>
        <v>4.5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1.5</v>
      </c>
      <c r="D117" s="173">
        <f t="shared" si="25"/>
        <v>1.5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12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10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221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212</v>
      </c>
      <c r="CM121" s="173">
        <f>IF(CM75=0,0,VALUE(CONCATENATE(Travail!CM26,Travail!CM37,Travail!CM48)))</f>
        <v>212</v>
      </c>
      <c r="CN121" s="173">
        <f>IF(CN75=0,0,VALUE(CONCATENATE(Travail!CN26,Travail!CN37,Travail!CN48)))</f>
        <v>212</v>
      </c>
      <c r="CO121" s="173">
        <f>IF(CO75=0,0,VALUE(CONCATENATE(Travail!CO26,Travail!CO37,Travail!CO48)))</f>
        <v>211</v>
      </c>
      <c r="CP121" s="173">
        <f>IF(CP75=0,0,VALUE(CONCATENATE(Travail!CP26,Travail!CP37,Travail!CP48)))</f>
        <v>211</v>
      </c>
      <c r="CQ121" s="173">
        <f>IF(CQ75=0,0,VALUE(CONCATENATE(Travail!CQ26,Travail!CQ37,Travail!CQ48)))</f>
        <v>211</v>
      </c>
      <c r="CR121" s="173">
        <f>IF(CR75=0,0,VALUE(CONCATENATE(Travail!CR26,Travail!CR37,Travail!CR48)))</f>
        <v>212</v>
      </c>
      <c r="CS121" s="173">
        <f>IF(CS75=0,0,VALUE(CONCATENATE(Travail!CS26,Travail!CS37,Travail!CS48)))</f>
        <v>212</v>
      </c>
      <c r="CT121" s="173">
        <f>IF(CT75=0,0,VALUE(CONCATENATE(Travail!CT26,Travail!CT37,Travail!CT48)))</f>
        <v>222</v>
      </c>
      <c r="CU121" s="173">
        <f>IF(CU75=0,0,VALUE(CONCATENATE(Travail!CU26,Travail!CU37,Travail!CU48)))</f>
        <v>222</v>
      </c>
      <c r="CV121" s="173">
        <f>IF(CV75=0,0,VALUE(CONCATENATE(Travail!CV26,Travail!CV37,Travail!CV48)))</f>
        <v>222</v>
      </c>
      <c r="CW121" s="173">
        <f>IF(CW75=0,0,VALUE(CONCATENATE(Travail!CW26,Travail!CW37,Travail!CW48)))</f>
        <v>222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3.5</v>
      </c>
      <c r="D122" s="173">
        <f t="shared" si="25"/>
        <v>3.5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222</v>
      </c>
      <c r="AW122" s="173">
        <f>IF(AW76=0,0,IF(AW99=3,0,VALUE(CONCATENATE(Travail!AW27,Travail!AW38,Travail!AW49))))</f>
        <v>222</v>
      </c>
      <c r="AX122" s="173">
        <f>IF(AX76=0,0,IF(AX99=3,0,VALUE(CONCATENATE(Travail!AX27,Travail!AX38,Travail!AX49))))</f>
        <v>222</v>
      </c>
      <c r="AY122" s="173">
        <f>IF(AY76=0,0,IF(AY99=3,0,VALUE(CONCATENATE(Travail!AY27,Travail!AY38,Travail!AY49))))</f>
        <v>222</v>
      </c>
      <c r="AZ122" s="173">
        <f>IF(AZ76=0,0,IF(AZ99=3,0,VALUE(CONCATENATE(Travail!AZ27,Travail!AZ38,Travail!AZ49))))</f>
        <v>222</v>
      </c>
      <c r="BA122" s="173">
        <f>IF(BA76=0,0,IF(BA99=3,0,VALUE(CONCATENATE(Travail!BA27,Travail!BA38,Travail!BA49))))</f>
        <v>222</v>
      </c>
      <c r="BB122" s="173">
        <f>IF(BB76=0,0,IF(BB99=3,0,VALUE(CONCATENATE(Travail!BB27,Travail!BB38,Travail!BB49))))</f>
        <v>222</v>
      </c>
      <c r="BC122" s="173">
        <f>IF(BC76=0,0,IF(BC99=3,0,VALUE(CONCATENATE(Travail!BC27,Travail!BC38,Travail!BC49))))</f>
        <v>222</v>
      </c>
      <c r="BD122" s="173">
        <f>IF(BD76=0,0,IF(BD99=3,0,VALUE(CONCATENATE(Travail!BD27,Travail!BD38,Travail!BD49))))</f>
        <v>222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222</v>
      </c>
      <c r="BP122" s="173">
        <f>IF(BP76=0,0,IF(BP99=3,0,VALUE(CONCATENATE(Travail!BP27,Travail!BP38,Travail!BP49))))</f>
        <v>222</v>
      </c>
      <c r="BQ122" s="173">
        <f>IF(BQ76=0,0,IF(BQ99=3,0,VALUE(CONCATENATE(Travail!BQ27,Travail!BQ38,Travail!BQ49))))</f>
        <v>222</v>
      </c>
      <c r="BR122" s="173">
        <f>IF(BR76=0,0,IF(BR99=3,0,VALUE(CONCATENATE(Travail!BR27,Travail!BR38,Travail!BR49))))</f>
        <v>222</v>
      </c>
      <c r="BS122" s="173">
        <f>IF(BS76=0,0,IF(BS99=3,0,VALUE(CONCATENATE(Travail!BS27,Travail!BS38,Travail!BS49))))</f>
        <v>222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211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0</v>
      </c>
      <c r="D123" s="173">
        <f t="shared" si="25"/>
        <v>0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221</v>
      </c>
      <c r="BB123" s="173">
        <f>IF(BB77=0,0,IF(BB100=3,0,VALUE(CONCATENATE(Travail!BB28,Travail!BB39,Travail!BB50))))</f>
        <v>221</v>
      </c>
      <c r="BC123" s="173">
        <f>IF(BC77=0,0,IF(BC100=3,0,VALUE(CONCATENATE(Travail!BC28,Travail!BC39,Travail!BC50))))</f>
        <v>221</v>
      </c>
      <c r="BD123" s="173">
        <f>IF(BD77=0,0,IF(BD100=3,0,VALUE(CONCATENATE(Travail!BD28,Travail!BD39,Travail!BD50))))</f>
        <v>221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212</v>
      </c>
      <c r="AW124" s="173">
        <f>IF(AW78=0,0,IF(AW101=3,0,VALUE(CONCATENATE(Travail!AW29,Travail!AW40,Travail!AW51))))</f>
        <v>212</v>
      </c>
      <c r="AX124" s="173">
        <f>IF(AX78=0,0,IF(AX101=3,0,VALUE(CONCATENATE(Travail!AX29,Travail!AX40,Travail!AX51))))</f>
        <v>212</v>
      </c>
      <c r="AY124" s="173">
        <f>IF(AY78=0,0,IF(AY101=3,0,VALUE(CONCATENATE(Travail!AY29,Travail!AY40,Travail!AY51))))</f>
        <v>212</v>
      </c>
      <c r="AZ124" s="173">
        <f>IF(AZ78=0,0,IF(AZ101=3,0,VALUE(CONCATENATE(Travail!AZ29,Travail!AZ40,Travail!AZ51))))</f>
        <v>212</v>
      </c>
      <c r="BA124" s="173">
        <f>IF(BA78=0,0,IF(BA101=3,0,VALUE(CONCATENATE(Travail!BA29,Travail!BA40,Travail!BA51))))</f>
        <v>212</v>
      </c>
      <c r="BB124" s="173">
        <f>IF(BB78=0,0,IF(BB101=3,0,VALUE(CONCATENATE(Travail!BB29,Travail!BB40,Travail!BB51))))</f>
        <v>212</v>
      </c>
      <c r="BC124" s="173">
        <f>IF(BC78=0,0,IF(BC101=3,0,VALUE(CONCATENATE(Travail!BC29,Travail!BC40,Travail!BC51))))</f>
        <v>212</v>
      </c>
      <c r="BD124" s="173">
        <f>IF(BD78=0,0,IF(BD101=3,0,VALUE(CONCATENATE(Travail!BD29,Travail!BD40,Travail!BD51))))</f>
        <v>211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212</v>
      </c>
      <c r="BP124" s="173">
        <f>IF(BP78=0,0,IF(BP101=3,0,VALUE(CONCATENATE(Travail!BP29,Travail!BP40,Travail!BP51))))</f>
        <v>212</v>
      </c>
      <c r="BQ124" s="173">
        <f>IF(BQ78=0,0,IF(BQ101=3,0,VALUE(CONCATENATE(Travail!BQ29,Travail!BQ40,Travail!BQ51))))</f>
        <v>212</v>
      </c>
      <c r="BR124" s="173">
        <f>IF(BR78=0,0,IF(BR101=3,0,VALUE(CONCATENATE(Travail!BR29,Travail!BR40,Travail!BR51))))</f>
        <v>212</v>
      </c>
      <c r="BS124" s="173">
        <f>IF(BS78=0,0,IF(BS101=3,0,VALUE(CONCATENATE(Travail!BS29,Travail!BS40,Travail!BS51))))</f>
        <v>212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3.5</v>
      </c>
      <c r="D125" s="173">
        <f t="shared" si="25"/>
        <v>3.5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0</v>
      </c>
      <c r="D126" s="173">
        <f t="shared" si="25"/>
        <v>0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3.5</v>
      </c>
      <c r="D128" s="173">
        <f t="shared" si="25"/>
        <v>3.5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3</v>
      </c>
      <c r="K129">
        <f t="shared" si="35"/>
        <v>4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3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1</v>
      </c>
      <c r="L130">
        <f t="shared" si="36"/>
        <v>1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2</v>
      </c>
      <c r="I132">
        <f t="shared" si="38"/>
        <v>2</v>
      </c>
      <c r="J132">
        <f t="shared" si="38"/>
        <v>4</v>
      </c>
      <c r="K132">
        <f t="shared" si="38"/>
        <v>5</v>
      </c>
      <c r="L132">
        <f t="shared" si="38"/>
        <v>5</v>
      </c>
      <c r="M132">
        <f t="shared" si="38"/>
        <v>6</v>
      </c>
      <c r="N132">
        <f t="shared" si="38"/>
        <v>7</v>
      </c>
      <c r="O132">
        <f t="shared" si="38"/>
        <v>7</v>
      </c>
      <c r="P132">
        <f t="shared" si="38"/>
        <v>7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6</v>
      </c>
      <c r="AB132">
        <f t="shared" si="38"/>
        <v>5</v>
      </c>
      <c r="AC132">
        <f t="shared" si="38"/>
        <v>5</v>
      </c>
      <c r="AD132">
        <f t="shared" si="38"/>
        <v>2</v>
      </c>
      <c r="AE132">
        <f t="shared" si="38"/>
        <v>2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0.50909090909090904</v>
      </c>
      <c r="D133" s="262">
        <f t="shared" si="25"/>
        <v>0.50909090909090904</v>
      </c>
      <c r="AT133" s="189" t="str">
        <f t="shared" ref="AT133:AT141" si="42">AT122</f>
        <v>vides</v>
      </c>
      <c r="AV133" s="173">
        <f t="shared" si="39"/>
        <v>22</v>
      </c>
      <c r="AW133" s="173">
        <f t="shared" si="39"/>
        <v>22</v>
      </c>
      <c r="AX133" s="173">
        <f t="shared" si="39"/>
        <v>22</v>
      </c>
      <c r="AY133" s="173">
        <f t="shared" si="39"/>
        <v>22</v>
      </c>
      <c r="AZ133" s="173">
        <f t="shared" si="39"/>
        <v>22</v>
      </c>
      <c r="BA133" s="173">
        <f t="shared" si="39"/>
        <v>22</v>
      </c>
      <c r="BB133" s="173">
        <f t="shared" si="39"/>
        <v>22</v>
      </c>
      <c r="BC133" s="173">
        <f t="shared" si="39"/>
        <v>22</v>
      </c>
      <c r="BD133" s="173">
        <f t="shared" si="39"/>
        <v>22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22</v>
      </c>
      <c r="BP133" s="173">
        <f t="shared" si="39"/>
        <v>22</v>
      </c>
      <c r="BQ133" s="173">
        <f t="shared" si="39"/>
        <v>22</v>
      </c>
      <c r="BR133" s="173">
        <f t="shared" si="39"/>
        <v>22</v>
      </c>
      <c r="BS133" s="173">
        <f t="shared" si="39"/>
        <v>22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0.47169811320754718</v>
      </c>
      <c r="D134" s="262">
        <f t="shared" si="25"/>
        <v>0.47169811320754718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22</v>
      </c>
      <c r="BB134" s="173">
        <f t="shared" si="39"/>
        <v>22</v>
      </c>
      <c r="BC134" s="173">
        <f t="shared" si="39"/>
        <v>22</v>
      </c>
      <c r="BD134" s="173">
        <f t="shared" si="39"/>
        <v>22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21</v>
      </c>
      <c r="AW135" s="173">
        <f t="shared" si="39"/>
        <v>21</v>
      </c>
      <c r="AX135" s="173">
        <f t="shared" si="39"/>
        <v>21</v>
      </c>
      <c r="AY135" s="173">
        <f t="shared" si="39"/>
        <v>21</v>
      </c>
      <c r="AZ135" s="173">
        <f t="shared" si="39"/>
        <v>21</v>
      </c>
      <c r="BA135" s="173">
        <f t="shared" si="39"/>
        <v>21</v>
      </c>
      <c r="BB135" s="173">
        <f t="shared" si="39"/>
        <v>21</v>
      </c>
      <c r="BC135" s="173">
        <f t="shared" si="39"/>
        <v>21</v>
      </c>
      <c r="BD135" s="173">
        <f t="shared" si="39"/>
        <v>21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21</v>
      </c>
      <c r="BP135" s="173">
        <f t="shared" si="39"/>
        <v>21</v>
      </c>
      <c r="BQ135" s="173">
        <f t="shared" si="39"/>
        <v>21</v>
      </c>
      <c r="BR135" s="173">
        <f t="shared" si="39"/>
        <v>21</v>
      </c>
      <c r="BS135" s="173">
        <f t="shared" si="39"/>
        <v>21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0.49074074074074076</v>
      </c>
      <c r="D136" s="262">
        <f t="shared" si="25"/>
        <v>0.49074074074074076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209</v>
      </c>
      <c r="D137" s="263">
        <f>C137*$D$82/$C$82</f>
        <v>200.66084788029926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39</v>
      </c>
      <c r="D138" s="263">
        <f t="shared" ref="D138:D174" si="50">C138*$D$82/$C$82</f>
        <v>37.443890274314214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9</v>
      </c>
      <c r="D142" s="263">
        <f t="shared" si="50"/>
        <v>8.6408977556109718</v>
      </c>
      <c r="AT142" s="19" t="s">
        <v>817</v>
      </c>
      <c r="AV142" s="173">
        <f>COUNTIF(AV$132:AV$141,23)</f>
        <v>2</v>
      </c>
      <c r="AW142" s="173">
        <f t="shared" ref="AW142:BS142" si="58">COUNTIF(AW$132:AW$141,23)</f>
        <v>2</v>
      </c>
      <c r="AX142" s="173">
        <f t="shared" si="58"/>
        <v>2</v>
      </c>
      <c r="AY142" s="173">
        <f t="shared" si="58"/>
        <v>1</v>
      </c>
      <c r="AZ142" s="173">
        <f t="shared" si="58"/>
        <v>1</v>
      </c>
      <c r="BA142" s="173">
        <f t="shared" si="58"/>
        <v>0</v>
      </c>
      <c r="BB142" s="173">
        <f t="shared" si="58"/>
        <v>0</v>
      </c>
      <c r="BC142" s="173">
        <f t="shared" si="58"/>
        <v>0</v>
      </c>
      <c r="BD142" s="173">
        <f t="shared" si="58"/>
        <v>0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0</v>
      </c>
      <c r="BP142" s="173">
        <f t="shared" si="58"/>
        <v>1</v>
      </c>
      <c r="BQ142" s="173">
        <f t="shared" si="58"/>
        <v>2</v>
      </c>
      <c r="BR142" s="173">
        <f t="shared" si="58"/>
        <v>2</v>
      </c>
      <c r="BS142" s="173">
        <f t="shared" si="58"/>
        <v>2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4</v>
      </c>
      <c r="D143" s="263">
        <f t="shared" si="50"/>
        <v>3.8403990024937653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1</v>
      </c>
      <c r="AW144" s="173">
        <f t="shared" ref="AW144:BS144" si="64">COUNTIF(AW$132:AW$141,22)</f>
        <v>1</v>
      </c>
      <c r="AX144" s="173">
        <f t="shared" si="64"/>
        <v>1</v>
      </c>
      <c r="AY144" s="173">
        <f t="shared" si="64"/>
        <v>2</v>
      </c>
      <c r="AZ144" s="173">
        <f t="shared" si="64"/>
        <v>2</v>
      </c>
      <c r="BA144" s="173">
        <f t="shared" si="64"/>
        <v>3</v>
      </c>
      <c r="BB144" s="173">
        <f t="shared" si="64"/>
        <v>3</v>
      </c>
      <c r="BC144" s="173">
        <f t="shared" si="64"/>
        <v>3</v>
      </c>
      <c r="BD144" s="173">
        <f t="shared" si="64"/>
        <v>3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2</v>
      </c>
      <c r="BP144" s="173">
        <f t="shared" si="64"/>
        <v>1</v>
      </c>
      <c r="BQ144" s="173">
        <f t="shared" si="64"/>
        <v>1</v>
      </c>
      <c r="BR144" s="173">
        <f t="shared" si="64"/>
        <v>1</v>
      </c>
      <c r="BS144" s="173">
        <f t="shared" si="64"/>
        <v>1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22</v>
      </c>
      <c r="BB146" s="62">
        <f t="shared" si="70"/>
        <v>22</v>
      </c>
      <c r="BC146" s="62">
        <f t="shared" si="70"/>
        <v>22</v>
      </c>
      <c r="BD146" s="62">
        <f t="shared" si="70"/>
        <v>22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22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21</v>
      </c>
      <c r="BB147" s="190">
        <f>IF(BB146=0,0,HLOOKUP(BB146,[1]Trav!$C$39:$G$59,$AU$166))</f>
        <v>21</v>
      </c>
      <c r="BC147" s="190">
        <f>IF(BC146=0,0,HLOOKUP(BC146,[1]Trav!$C$39:$G$59,$AU$166))</f>
        <v>21</v>
      </c>
      <c r="BD147" s="190">
        <f>IF(BD146=0,0,HLOOKUP(BD146,[1]Trav!$C$39:$G$59,$AU$166))</f>
        <v>21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21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40280</v>
      </c>
      <c r="D148" s="263">
        <f t="shared" si="50"/>
        <v>38672.817955112216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0</v>
      </c>
      <c r="D149" s="263">
        <f t="shared" si="50"/>
        <v>0</v>
      </c>
      <c r="F149" s="14" t="s">
        <v>1249</v>
      </c>
      <c r="G149">
        <f>IF(Troupeau!C$3="BV",'Calcul éco'!C9,0)</f>
        <v>6.5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2.5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253.80028190393577</v>
      </c>
      <c r="AW151" s="173">
        <f t="shared" si="74"/>
        <v>251.26227908489645</v>
      </c>
      <c r="AX151" s="173">
        <f t="shared" si="74"/>
        <v>248.72427626585707</v>
      </c>
      <c r="AY151" s="173">
        <f t="shared" si="74"/>
        <v>247.45527485633741</v>
      </c>
      <c r="AZ151" s="173">
        <f t="shared" si="74"/>
        <v>246.18627344681769</v>
      </c>
      <c r="BA151" s="173">
        <f t="shared" si="74"/>
        <v>244.91727203729803</v>
      </c>
      <c r="BB151" s="173">
        <f t="shared" si="74"/>
        <v>243.64827062777837</v>
      </c>
      <c r="BC151" s="173">
        <f t="shared" si="74"/>
        <v>242.37926921825868</v>
      </c>
      <c r="BD151" s="173">
        <f t="shared" si="74"/>
        <v>239.84126639921934</v>
      </c>
      <c r="BE151" s="173">
        <f t="shared" si="74"/>
        <v>244.91727203729803</v>
      </c>
      <c r="BF151" s="173">
        <f t="shared" si="74"/>
        <v>244.91727203729803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244.91727203729803</v>
      </c>
      <c r="BO151" s="173">
        <f t="shared" si="74"/>
        <v>267.75929740865229</v>
      </c>
      <c r="BP151" s="173">
        <f t="shared" si="74"/>
        <v>267.75929740865229</v>
      </c>
      <c r="BQ151" s="173">
        <f t="shared" si="74"/>
        <v>253.80028190393577</v>
      </c>
      <c r="BR151" s="173">
        <f t="shared" si="74"/>
        <v>253.80028190393577</v>
      </c>
      <c r="BS151" s="173">
        <f t="shared" si="74"/>
        <v>253.80028190393577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13.863840399002493</v>
      </c>
      <c r="CC151" s="173">
        <f t="shared" si="76"/>
        <v>13.863840399002493</v>
      </c>
      <c r="CD151" s="173">
        <f t="shared" si="76"/>
        <v>13.863840399002493</v>
      </c>
      <c r="CE151" s="173">
        <f t="shared" si="76"/>
        <v>13.863840399002493</v>
      </c>
      <c r="CF151" s="173">
        <f t="shared" si="76"/>
        <v>13.863840399002493</v>
      </c>
      <c r="CG151" s="173">
        <f t="shared" si="76"/>
        <v>13.863840399002493</v>
      </c>
      <c r="CH151" s="173">
        <f t="shared" si="76"/>
        <v>13.863840399002493</v>
      </c>
      <c r="CI151" s="173">
        <f t="shared" si="76"/>
        <v>13.863840399002493</v>
      </c>
      <c r="CJ151" s="173">
        <f t="shared" si="76"/>
        <v>13.863840399002493</v>
      </c>
      <c r="CK151" s="173">
        <f t="shared" si="76"/>
        <v>13.863840399002493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13.134164588528677</v>
      </c>
      <c r="CU151" s="173">
        <f t="shared" si="76"/>
        <v>13.134164588528677</v>
      </c>
      <c r="CV151" s="173">
        <f t="shared" si="76"/>
        <v>13.863840399002493</v>
      </c>
      <c r="CW151" s="173">
        <f t="shared" si="76"/>
        <v>13.863840399002493</v>
      </c>
      <c r="CX151" s="173">
        <f t="shared" si="76"/>
        <v>13.863840399002493</v>
      </c>
      <c r="CY151" s="173">
        <f t="shared" si="76"/>
        <v>13.863840399002493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24.1110267808739</v>
      </c>
      <c r="AW152" s="173">
        <f t="shared" si="74"/>
        <v>24.1110267808739</v>
      </c>
      <c r="AX152" s="173">
        <f t="shared" si="74"/>
        <v>24.1110267808739</v>
      </c>
      <c r="AY152" s="173">
        <f t="shared" si="74"/>
        <v>24.1110267808739</v>
      </c>
      <c r="AZ152" s="173">
        <f t="shared" si="74"/>
        <v>24.1110267808739</v>
      </c>
      <c r="BA152" s="173">
        <f t="shared" si="74"/>
        <v>24.1110267808739</v>
      </c>
      <c r="BB152" s="173">
        <f t="shared" si="74"/>
        <v>24.1110267808739</v>
      </c>
      <c r="BC152" s="173">
        <f t="shared" si="74"/>
        <v>24.1110267808739</v>
      </c>
      <c r="BD152" s="173">
        <f t="shared" si="74"/>
        <v>24.1110267808739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24.1110267808739</v>
      </c>
      <c r="BP152" s="173">
        <f t="shared" si="74"/>
        <v>24.1110267808739</v>
      </c>
      <c r="BQ152" s="173">
        <f t="shared" si="74"/>
        <v>24.1110267808739</v>
      </c>
      <c r="BR152" s="173">
        <f t="shared" si="74"/>
        <v>24.1110267808739</v>
      </c>
      <c r="BS152" s="173">
        <f t="shared" si="74"/>
        <v>24.1110267808739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1.4593516209476309</v>
      </c>
      <c r="CW152" s="173">
        <f t="shared" si="76"/>
        <v>0.72967581047381547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4</v>
      </c>
      <c r="AT153" s="189" t="str">
        <f t="shared" si="73"/>
        <v>agnelles</v>
      </c>
      <c r="AV153" s="173">
        <f t="shared" si="74"/>
        <v>65.988073295023312</v>
      </c>
      <c r="AW153" s="173">
        <f t="shared" si="74"/>
        <v>65.988073295023312</v>
      </c>
      <c r="AX153" s="173">
        <f t="shared" si="74"/>
        <v>65.988073295023312</v>
      </c>
      <c r="AY153" s="173">
        <f t="shared" si="74"/>
        <v>65.988073295023312</v>
      </c>
      <c r="AZ153" s="173">
        <f t="shared" si="74"/>
        <v>65.988073295023312</v>
      </c>
      <c r="BA153" s="173">
        <f t="shared" si="74"/>
        <v>65.988073295023312</v>
      </c>
      <c r="BB153" s="173">
        <f t="shared" si="74"/>
        <v>65.988073295023312</v>
      </c>
      <c r="BC153" s="173">
        <f t="shared" si="74"/>
        <v>65.988073295023312</v>
      </c>
      <c r="BD153" s="173">
        <f t="shared" si="74"/>
        <v>65.988073295023312</v>
      </c>
      <c r="BE153" s="173">
        <f t="shared" si="74"/>
        <v>65.988073295023312</v>
      </c>
      <c r="BF153" s="173">
        <f t="shared" si="74"/>
        <v>65.988073295023312</v>
      </c>
      <c r="BG153" s="173">
        <f t="shared" si="74"/>
        <v>65.988073295023312</v>
      </c>
      <c r="BH153" s="173">
        <f t="shared" si="74"/>
        <v>65.988073295023312</v>
      </c>
      <c r="BI153" s="173">
        <f t="shared" si="74"/>
        <v>65.988073295023312</v>
      </c>
      <c r="BJ153" s="173">
        <f t="shared" si="74"/>
        <v>65.988073295023312</v>
      </c>
      <c r="BK153" s="173">
        <f t="shared" si="74"/>
        <v>65.988073295023312</v>
      </c>
      <c r="BL153" s="173">
        <f t="shared" si="74"/>
        <v>65.988073295023312</v>
      </c>
      <c r="BM153" s="173">
        <f t="shared" si="74"/>
        <v>65.988073295023312</v>
      </c>
      <c r="BN153" s="173">
        <f t="shared" si="74"/>
        <v>65.988073295023312</v>
      </c>
      <c r="BO153" s="173">
        <f t="shared" si="74"/>
        <v>0</v>
      </c>
      <c r="BP153" s="173">
        <f t="shared" si="74"/>
        <v>0</v>
      </c>
      <c r="BQ153" s="173">
        <f t="shared" si="74"/>
        <v>65.988073295023312</v>
      </c>
      <c r="BR153" s="173">
        <f t="shared" si="74"/>
        <v>65.988073295023312</v>
      </c>
      <c r="BS153" s="173">
        <f t="shared" si="74"/>
        <v>65.988073295023312</v>
      </c>
      <c r="BY153" s="2"/>
      <c r="BZ153" s="189" t="str">
        <f t="shared" si="75"/>
        <v>genisses +1an</v>
      </c>
      <c r="CB153" s="173">
        <f t="shared" si="76"/>
        <v>8.7561097256857838</v>
      </c>
      <c r="CC153" s="173">
        <f t="shared" si="76"/>
        <v>8.7561097256857838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8.7561097256857838</v>
      </c>
      <c r="CY153" s="173">
        <f t="shared" si="76"/>
        <v>8.7561097256857838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0</v>
      </c>
      <c r="D154" s="263">
        <f t="shared" si="50"/>
        <v>0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0</v>
      </c>
      <c r="AW154" s="173">
        <f t="shared" si="74"/>
        <v>0</v>
      </c>
      <c r="AX154" s="173">
        <f t="shared" si="74"/>
        <v>0</v>
      </c>
      <c r="AY154" s="173">
        <f t="shared" si="74"/>
        <v>0</v>
      </c>
      <c r="AZ154" s="173">
        <f t="shared" si="74"/>
        <v>0</v>
      </c>
      <c r="BA154" s="173">
        <f t="shared" si="74"/>
        <v>0</v>
      </c>
      <c r="BB154" s="173">
        <f t="shared" si="74"/>
        <v>0</v>
      </c>
      <c r="BC154" s="173">
        <f t="shared" si="74"/>
        <v>0</v>
      </c>
      <c r="BD154" s="173">
        <f t="shared" si="74"/>
        <v>0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0</v>
      </c>
      <c r="BP154" s="173">
        <f t="shared" si="74"/>
        <v>0</v>
      </c>
      <c r="BQ154" s="173">
        <f t="shared" si="74"/>
        <v>0</v>
      </c>
      <c r="BR154" s="173">
        <f t="shared" si="74"/>
        <v>0</v>
      </c>
      <c r="BS154" s="173">
        <f t="shared" si="74"/>
        <v>0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0</v>
      </c>
      <c r="D157" s="263">
        <f t="shared" si="50"/>
        <v>0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343.89938197983298</v>
      </c>
      <c r="AW160" s="62">
        <f t="shared" ref="AW160:BS160" si="83">SUM(AW151:AW159)</f>
        <v>341.36137916079366</v>
      </c>
      <c r="AX160" s="62">
        <f t="shared" si="83"/>
        <v>338.82337634175428</v>
      </c>
      <c r="AY160" s="62">
        <f t="shared" si="83"/>
        <v>337.55437493223462</v>
      </c>
      <c r="AZ160" s="62">
        <f t="shared" si="83"/>
        <v>336.28537352271491</v>
      </c>
      <c r="BA160" s="62">
        <f t="shared" si="83"/>
        <v>335.01637211319525</v>
      </c>
      <c r="BB160" s="62">
        <f t="shared" si="83"/>
        <v>333.74737070367559</v>
      </c>
      <c r="BC160" s="62">
        <f t="shared" si="83"/>
        <v>332.47836929415587</v>
      </c>
      <c r="BD160" s="62">
        <f t="shared" si="83"/>
        <v>329.94036647511655</v>
      </c>
      <c r="BE160" s="62">
        <f t="shared" si="83"/>
        <v>310.90534533232136</v>
      </c>
      <c r="BF160" s="62">
        <f t="shared" si="83"/>
        <v>310.90534533232136</v>
      </c>
      <c r="BG160" s="62">
        <f t="shared" si="83"/>
        <v>65.988073295023312</v>
      </c>
      <c r="BH160" s="62">
        <f t="shared" si="83"/>
        <v>65.988073295023312</v>
      </c>
      <c r="BI160" s="62">
        <f t="shared" si="83"/>
        <v>65.988073295023312</v>
      </c>
      <c r="BJ160" s="62">
        <f t="shared" si="83"/>
        <v>65.988073295023312</v>
      </c>
      <c r="BK160" s="62">
        <f t="shared" si="83"/>
        <v>65.988073295023312</v>
      </c>
      <c r="BL160" s="62">
        <f t="shared" si="83"/>
        <v>65.988073295023312</v>
      </c>
      <c r="BM160" s="62">
        <f t="shared" si="83"/>
        <v>65.988073295023312</v>
      </c>
      <c r="BN160" s="62">
        <f t="shared" si="83"/>
        <v>310.90534533232136</v>
      </c>
      <c r="BO160" s="62">
        <f t="shared" si="83"/>
        <v>291.87032418952617</v>
      </c>
      <c r="BP160" s="62">
        <f t="shared" si="83"/>
        <v>291.87032418952617</v>
      </c>
      <c r="BQ160" s="62">
        <f t="shared" si="83"/>
        <v>343.89938197983298</v>
      </c>
      <c r="BR160" s="62">
        <f t="shared" si="83"/>
        <v>343.89938197983298</v>
      </c>
      <c r="BS160" s="62">
        <f t="shared" si="83"/>
        <v>343.89938197983298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97.279967475965137</v>
      </c>
      <c r="D161" s="263">
        <f t="shared" si="50"/>
        <v>93.398472514330621</v>
      </c>
      <c r="AT161" s="189" t="s">
        <v>844</v>
      </c>
      <c r="AV161" s="173">
        <f>IF($AT$62="OL",AV160/50,AV160/10)</f>
        <v>6.8779876395966593</v>
      </c>
      <c r="AW161" s="173">
        <f t="shared" ref="AW161:BS161" si="86">IF($AT$62="OL",AW160/50,AW160/10)</f>
        <v>6.8272275832158735</v>
      </c>
      <c r="AX161" s="173">
        <f t="shared" si="86"/>
        <v>6.776467526835086</v>
      </c>
      <c r="AY161" s="173">
        <f t="shared" si="86"/>
        <v>6.7510874986446927</v>
      </c>
      <c r="AZ161" s="173">
        <f t="shared" si="86"/>
        <v>6.7257074704542985</v>
      </c>
      <c r="BA161" s="173">
        <f t="shared" si="86"/>
        <v>6.7003274422639052</v>
      </c>
      <c r="BB161" s="173">
        <f t="shared" si="86"/>
        <v>6.6749474140735119</v>
      </c>
      <c r="BC161" s="173">
        <f t="shared" si="86"/>
        <v>6.6495673858831177</v>
      </c>
      <c r="BD161" s="173">
        <f t="shared" si="86"/>
        <v>6.5988073295023311</v>
      </c>
      <c r="BE161" s="173">
        <f t="shared" si="86"/>
        <v>6.218106906646427</v>
      </c>
      <c r="BF161" s="173">
        <f t="shared" si="86"/>
        <v>6.218106906646427</v>
      </c>
      <c r="BG161" s="173">
        <f t="shared" si="86"/>
        <v>1.3197614659004662</v>
      </c>
      <c r="BH161" s="173">
        <f t="shared" si="86"/>
        <v>1.3197614659004662</v>
      </c>
      <c r="BI161" s="173">
        <f t="shared" si="86"/>
        <v>1.3197614659004662</v>
      </c>
      <c r="BJ161" s="173">
        <f t="shared" si="86"/>
        <v>1.3197614659004662</v>
      </c>
      <c r="BK161" s="173">
        <f t="shared" si="86"/>
        <v>1.3197614659004662</v>
      </c>
      <c r="BL161" s="173">
        <f t="shared" si="86"/>
        <v>1.3197614659004662</v>
      </c>
      <c r="BM161" s="173">
        <f t="shared" si="86"/>
        <v>1.3197614659004662</v>
      </c>
      <c r="BN161" s="173">
        <f t="shared" si="86"/>
        <v>6.218106906646427</v>
      </c>
      <c r="BO161" s="173">
        <f t="shared" si="86"/>
        <v>5.8374064837905237</v>
      </c>
      <c r="BP161" s="173">
        <f t="shared" si="86"/>
        <v>5.8374064837905237</v>
      </c>
      <c r="BQ161" s="173">
        <f t="shared" si="86"/>
        <v>6.8779876395966593</v>
      </c>
      <c r="BR161" s="173">
        <f t="shared" si="86"/>
        <v>6.8779876395966593</v>
      </c>
      <c r="BS161" s="173">
        <f t="shared" si="86"/>
        <v>6.8779876395966593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118.16137958722092</v>
      </c>
      <c r="D162" s="263">
        <f t="shared" si="50"/>
        <v>113.4467110750126</v>
      </c>
      <c r="AT162" s="189" t="s">
        <v>846</v>
      </c>
      <c r="AV162" s="173">
        <f>IF(AV161&gt;1,AV161-1,0)</f>
        <v>5.8779876395966593</v>
      </c>
      <c r="AW162" s="173">
        <f t="shared" ref="AW162:BS162" si="89">IF(AW161&gt;1,AW161-1,0)</f>
        <v>5.8272275832158735</v>
      </c>
      <c r="AX162" s="173">
        <f t="shared" si="89"/>
        <v>5.776467526835086</v>
      </c>
      <c r="AY162" s="173">
        <f t="shared" si="89"/>
        <v>5.7510874986446927</v>
      </c>
      <c r="AZ162" s="173">
        <f t="shared" si="89"/>
        <v>5.7257074704542985</v>
      </c>
      <c r="BA162" s="173">
        <f t="shared" si="89"/>
        <v>5.7003274422639052</v>
      </c>
      <c r="BB162" s="173">
        <f t="shared" si="89"/>
        <v>5.6749474140735119</v>
      </c>
      <c r="BC162" s="173">
        <f t="shared" si="89"/>
        <v>5.6495673858831177</v>
      </c>
      <c r="BD162" s="173">
        <f t="shared" si="89"/>
        <v>5.5988073295023311</v>
      </c>
      <c r="BE162" s="173">
        <f t="shared" si="89"/>
        <v>5.218106906646427</v>
      </c>
      <c r="BF162" s="173">
        <f t="shared" si="89"/>
        <v>5.218106906646427</v>
      </c>
      <c r="BG162" s="173">
        <f t="shared" si="89"/>
        <v>0.31976146590046617</v>
      </c>
      <c r="BH162" s="173">
        <f t="shared" si="89"/>
        <v>0.31976146590046617</v>
      </c>
      <c r="BI162" s="173">
        <f t="shared" si="89"/>
        <v>0.31976146590046617</v>
      </c>
      <c r="BJ162" s="173">
        <f t="shared" si="89"/>
        <v>0.31976146590046617</v>
      </c>
      <c r="BK162" s="173">
        <f t="shared" si="89"/>
        <v>0.31976146590046617</v>
      </c>
      <c r="BL162" s="173">
        <f t="shared" si="89"/>
        <v>0.31976146590046617</v>
      </c>
      <c r="BM162" s="173">
        <f t="shared" si="89"/>
        <v>0.31976146590046617</v>
      </c>
      <c r="BN162" s="173">
        <f t="shared" si="89"/>
        <v>5.218106906646427</v>
      </c>
      <c r="BO162" s="173">
        <f t="shared" si="89"/>
        <v>4.8374064837905237</v>
      </c>
      <c r="BP162" s="173">
        <f t="shared" si="89"/>
        <v>4.8374064837905237</v>
      </c>
      <c r="BQ162" s="173">
        <f t="shared" si="89"/>
        <v>5.8779876395966593</v>
      </c>
      <c r="BR162" s="173">
        <f t="shared" si="89"/>
        <v>5.8779876395966593</v>
      </c>
      <c r="BS162" s="173">
        <f t="shared" si="89"/>
        <v>5.8779876395966593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52.286478369294151</v>
      </c>
      <c r="AW163" s="62">
        <f t="shared" ref="AW163:BS163" si="92">AW147+AW148*AW162</f>
        <v>52.197648270627781</v>
      </c>
      <c r="AX163" s="62">
        <f t="shared" si="92"/>
        <v>52.108818171961403</v>
      </c>
      <c r="AY163" s="62">
        <f t="shared" si="92"/>
        <v>52.064403122628214</v>
      </c>
      <c r="AZ163" s="62">
        <f t="shared" si="92"/>
        <v>52.019988073295025</v>
      </c>
      <c r="BA163" s="62">
        <f t="shared" si="92"/>
        <v>30.975573023961836</v>
      </c>
      <c r="BB163" s="62">
        <f t="shared" si="92"/>
        <v>30.931157974628647</v>
      </c>
      <c r="BC163" s="62">
        <f t="shared" si="92"/>
        <v>30.886742925295458</v>
      </c>
      <c r="BD163" s="62">
        <f t="shared" si="92"/>
        <v>30.79791282662908</v>
      </c>
      <c r="BE163" s="62">
        <f t="shared" si="92"/>
        <v>30.131687086631246</v>
      </c>
      <c r="BF163" s="62">
        <f t="shared" si="92"/>
        <v>30.131687086631246</v>
      </c>
      <c r="BG163" s="62">
        <f t="shared" si="92"/>
        <v>21.559582565325815</v>
      </c>
      <c r="BH163" s="62">
        <f t="shared" si="92"/>
        <v>21.559582565325815</v>
      </c>
      <c r="BI163" s="62">
        <f t="shared" si="92"/>
        <v>21.559582565325815</v>
      </c>
      <c r="BJ163" s="62">
        <f t="shared" si="92"/>
        <v>21.559582565325815</v>
      </c>
      <c r="BK163" s="62">
        <f t="shared" si="92"/>
        <v>21.559582565325815</v>
      </c>
      <c r="BL163" s="62">
        <f t="shared" si="92"/>
        <v>21.559582565325815</v>
      </c>
      <c r="BM163" s="62">
        <f t="shared" si="92"/>
        <v>21.559582565325815</v>
      </c>
      <c r="BN163" s="62">
        <f t="shared" si="92"/>
        <v>30.131687086631246</v>
      </c>
      <c r="BO163" s="62">
        <f t="shared" si="92"/>
        <v>29.465461346633418</v>
      </c>
      <c r="BP163" s="62">
        <f t="shared" si="92"/>
        <v>50.465461346633418</v>
      </c>
      <c r="BQ163" s="62">
        <f t="shared" si="92"/>
        <v>52.286478369294151</v>
      </c>
      <c r="BR163" s="62">
        <f t="shared" si="92"/>
        <v>52.286478369294151</v>
      </c>
      <c r="BS163" s="62">
        <f t="shared" si="92"/>
        <v>52.286478369294151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57.507144960000012</v>
      </c>
      <c r="D165" s="263">
        <f t="shared" si="50"/>
        <v>55.212595535162109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37.419010456239995</v>
      </c>
      <c r="D166" s="263">
        <f t="shared" si="50"/>
        <v>35.925982607611964</v>
      </c>
      <c r="AT166" s="147" t="s">
        <v>853</v>
      </c>
      <c r="AU166" s="17">
        <f>VLOOKUP(AU120,[1]Trav!$B$12:$C$31,2)</f>
        <v>2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3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 t="e">
        <f>VLOOKUP(DD120,[1]Trav!$B$12:$C$31,2)</f>
        <v>#N/A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14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28</v>
      </c>
      <c r="CM167" s="190">
        <f>IF(CM121&gt;0,HLOOKUP(CM121,[1]Trav!$C$11:$O$31,$AU$166),0)</f>
        <v>28</v>
      </c>
      <c r="CN167" s="190">
        <f>IF(CN121&gt;0,HLOOKUP(CN121,[1]Trav!$C$11:$O$31,$AU$166),0)</f>
        <v>28</v>
      </c>
      <c r="CO167" s="190">
        <f>IF(CO121&gt;0,HLOOKUP(CO121,[1]Trav!$C$11:$O$31,$AU$166),0)</f>
        <v>21</v>
      </c>
      <c r="CP167" s="190">
        <f>IF(CP121&gt;0,HLOOKUP(CP121,[1]Trav!$C$11:$O$31,$AU$166),0)</f>
        <v>21</v>
      </c>
      <c r="CQ167" s="190">
        <f>IF(CQ121&gt;0,HLOOKUP(CQ121,[1]Trav!$C$11:$O$31,$AU$166),0)</f>
        <v>21</v>
      </c>
      <c r="CR167" s="190">
        <f>IF(CR121&gt;0,HLOOKUP(CR121,[1]Trav!$C$11:$O$31,$AU$166),0)</f>
        <v>28</v>
      </c>
      <c r="CS167" s="190">
        <f>IF(CS121&gt;0,HLOOKUP(CS121,[1]Trav!$C$11:$O$31,$AU$166),0)</f>
        <v>28</v>
      </c>
      <c r="CT167" s="190">
        <f>IF(CT121&gt;0,HLOOKUP(CT121,[1]Trav!$C$11:$O$31,$AU$166),0)</f>
        <v>21</v>
      </c>
      <c r="CU167" s="190">
        <f>IF(CU121&gt;0,HLOOKUP(CU121,[1]Trav!$C$11:$O$31,$AU$166),0)</f>
        <v>21</v>
      </c>
      <c r="CV167" s="190">
        <f>IF(CV121&gt;0,HLOOKUP(CV121,[1]Trav!$C$11:$O$31,$AU$166),0)</f>
        <v>21</v>
      </c>
      <c r="CW167" s="190">
        <f>IF(CW121&gt;0,HLOOKUP(CW121,[1]Trav!$C$11:$O$31,$AU$166),0)</f>
        <v>21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21</v>
      </c>
      <c r="AW168" s="190">
        <f>IF(AW122&gt;0,HLOOKUP(AW122,[1]Trav!$C$11:$O$31,$AU$166),0)</f>
        <v>21</v>
      </c>
      <c r="AX168" s="190">
        <f>IF(AX122&gt;0,HLOOKUP(AX122,[1]Trav!$C$11:$O$31,$AU$166),0)</f>
        <v>21</v>
      </c>
      <c r="AY168" s="190">
        <f>IF(AY122&gt;0,HLOOKUP(AY122,[1]Trav!$C$11:$O$31,$AU$166),0)</f>
        <v>21</v>
      </c>
      <c r="AZ168" s="190">
        <f>IF(AZ122&gt;0,HLOOKUP(AZ122,[1]Trav!$C$11:$O$31,$AU$166),0)</f>
        <v>21</v>
      </c>
      <c r="BA168" s="190">
        <f>IF(BA122&gt;0,HLOOKUP(BA122,[1]Trav!$C$11:$O$31,$AU$166),0)</f>
        <v>21</v>
      </c>
      <c r="BB168" s="190">
        <f>IF(BB122&gt;0,HLOOKUP(BB122,[1]Trav!$C$11:$O$31,$AU$166),0)</f>
        <v>21</v>
      </c>
      <c r="BC168" s="190">
        <f>IF(BC122&gt;0,HLOOKUP(BC122,[1]Trav!$C$11:$O$31,$AU$166),0)</f>
        <v>21</v>
      </c>
      <c r="BD168" s="190">
        <f>IF(BD122&gt;0,HLOOKUP(BD122,[1]Trav!$C$11:$O$31,$AU$166),0)</f>
        <v>21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21</v>
      </c>
      <c r="BP168" s="190">
        <f>IF(BP122&gt;0,HLOOKUP(BP122,[1]Trav!$C$11:$O$31,$AU$166),0)</f>
        <v>21</v>
      </c>
      <c r="BQ168" s="190">
        <f>IF(BQ122&gt;0,HLOOKUP(BQ122,[1]Trav!$C$11:$O$31,$AU$166),0)</f>
        <v>21</v>
      </c>
      <c r="BR168" s="190">
        <f>IF(BR122&gt;0,HLOOKUP(BR122,[1]Trav!$C$11:$O$31,$AU$166),0)</f>
        <v>21</v>
      </c>
      <c r="BS168" s="190">
        <f>IF(BS122&gt;0,HLOOKUP(BS122,[1]Trav!$C$11:$O$31,$AU$166),0)</f>
        <v>21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21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155.11500000000001</v>
      </c>
      <c r="D169" s="263">
        <f t="shared" si="50"/>
        <v>148.92587281795514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14</v>
      </c>
      <c r="BB169" s="190">
        <f>IF(BB123&gt;0,HLOOKUP(BB123,[1]Trav!$C$11:$O$31,$AU$166),0)</f>
        <v>14</v>
      </c>
      <c r="BC169" s="190">
        <f>IF(BC123&gt;0,HLOOKUP(BC123,[1]Trav!$C$11:$O$31,$AU$166),0)</f>
        <v>14</v>
      </c>
      <c r="BD169" s="190">
        <f>IF(BD123&gt;0,HLOOKUP(BD123,[1]Trav!$C$11:$O$31,$AU$166),0)</f>
        <v>14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116.3062904394435</v>
      </c>
      <c r="D170" s="263">
        <f t="shared" si="50"/>
        <v>111.66564044684725</v>
      </c>
      <c r="AT170" s="189" t="str">
        <f t="shared" si="95"/>
        <v>beliers</v>
      </c>
      <c r="AV170" s="190">
        <f>IF(AV124&gt;0,HLOOKUP(AV124,[1]Trav!$C$11:$O$31,$AU$166),0)</f>
        <v>28</v>
      </c>
      <c r="AW170" s="190">
        <f>IF(AW124&gt;0,HLOOKUP(AW124,[1]Trav!$C$11:$O$31,$AU$166),0)</f>
        <v>28</v>
      </c>
      <c r="AX170" s="190">
        <f>IF(AX124&gt;0,HLOOKUP(AX124,[1]Trav!$C$11:$O$31,$AU$166),0)</f>
        <v>28</v>
      </c>
      <c r="AY170" s="190">
        <f>IF(AY124&gt;0,HLOOKUP(AY124,[1]Trav!$C$11:$O$31,$AU$166),0)</f>
        <v>28</v>
      </c>
      <c r="AZ170" s="190">
        <f>IF(AZ124&gt;0,HLOOKUP(AZ124,[1]Trav!$C$11:$O$31,$AU$166),0)</f>
        <v>28</v>
      </c>
      <c r="BA170" s="190">
        <f>IF(BA124&gt;0,HLOOKUP(BA124,[1]Trav!$C$11:$O$31,$AU$166),0)</f>
        <v>28</v>
      </c>
      <c r="BB170" s="190">
        <f>IF(BB124&gt;0,HLOOKUP(BB124,[1]Trav!$C$11:$O$31,$AU$166),0)</f>
        <v>28</v>
      </c>
      <c r="BC170" s="190">
        <f>IF(BC124&gt;0,HLOOKUP(BC124,[1]Trav!$C$11:$O$31,$AU$166),0)</f>
        <v>28</v>
      </c>
      <c r="BD170" s="190">
        <f>IF(BD124&gt;0,HLOOKUP(BD124,[1]Trav!$C$11:$O$31,$AU$166),0)</f>
        <v>21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28</v>
      </c>
      <c r="BP170" s="190">
        <f>IF(BP124&gt;0,HLOOKUP(BP124,[1]Trav!$C$11:$O$31,$AU$166),0)</f>
        <v>28</v>
      </c>
      <c r="BQ170" s="190">
        <f>IF(BQ124&gt;0,HLOOKUP(BQ124,[1]Trav!$C$11:$O$31,$AU$166),0)</f>
        <v>28</v>
      </c>
      <c r="BR170" s="190">
        <f>IF(BR124&gt;0,HLOOKUP(BR124,[1]Trav!$C$11:$O$31,$AU$166),0)</f>
        <v>28</v>
      </c>
      <c r="BS170" s="190">
        <f>IF(BS124&gt;0,HLOOKUP(BS124,[1]Trav!$C$11:$O$31,$AU$166),0)</f>
        <v>28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99.540999999999997</v>
      </c>
      <c r="D171" s="263">
        <f t="shared" si="50"/>
        <v>95.569289276807979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143.69999999999999</v>
      </c>
      <c r="D172" s="263">
        <f t="shared" si="50"/>
        <v>137.96633416458852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38.808709560556508</v>
      </c>
      <c r="D173" s="263">
        <f t="shared" si="50"/>
        <v>37.260232371107868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75</v>
      </c>
      <c r="D174" s="263">
        <f t="shared" si="50"/>
        <v>72.007481296758101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-44.158999999999992</v>
      </c>
      <c r="D175" s="263">
        <f>C175*$D$82/$C$82</f>
        <v>-42.397044887780538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44.158999999999992</v>
      </c>
      <c r="D176" s="263">
        <f>C176*$D$82/$C$82</f>
        <v>42.397044887780538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83</v>
      </c>
      <c r="D178" s="173">
        <f>ROUND((D170+D171)/(D170+D172),2)*100</f>
        <v>83</v>
      </c>
      <c r="AT178" s="40" t="s">
        <v>865</v>
      </c>
      <c r="AV178" s="173">
        <f>SUM(AV167:AV176)</f>
        <v>49</v>
      </c>
      <c r="AW178" s="173">
        <f t="shared" ref="AW178:BS178" si="98">SUM(AW167:AW176)</f>
        <v>49</v>
      </c>
      <c r="AX178" s="173">
        <f t="shared" si="98"/>
        <v>49</v>
      </c>
      <c r="AY178" s="173">
        <f t="shared" si="98"/>
        <v>63</v>
      </c>
      <c r="AZ178" s="173">
        <f t="shared" si="98"/>
        <v>63</v>
      </c>
      <c r="BA178" s="173">
        <f t="shared" si="98"/>
        <v>77</v>
      </c>
      <c r="BB178" s="173">
        <f t="shared" si="98"/>
        <v>77</v>
      </c>
      <c r="BC178" s="173">
        <f t="shared" si="98"/>
        <v>77</v>
      </c>
      <c r="BD178" s="173">
        <f t="shared" si="98"/>
        <v>70</v>
      </c>
      <c r="BE178" s="173">
        <f t="shared" si="98"/>
        <v>28</v>
      </c>
      <c r="BF178" s="173">
        <f t="shared" si="98"/>
        <v>28</v>
      </c>
      <c r="BG178" s="173">
        <f t="shared" si="98"/>
        <v>14</v>
      </c>
      <c r="BH178" s="173">
        <f t="shared" si="98"/>
        <v>14</v>
      </c>
      <c r="BI178" s="173">
        <f t="shared" si="98"/>
        <v>14</v>
      </c>
      <c r="BJ178" s="173">
        <f t="shared" si="98"/>
        <v>14</v>
      </c>
      <c r="BK178" s="173">
        <f t="shared" si="98"/>
        <v>14</v>
      </c>
      <c r="BL178" s="173">
        <f t="shared" si="98"/>
        <v>14</v>
      </c>
      <c r="BM178" s="173">
        <f t="shared" si="98"/>
        <v>14</v>
      </c>
      <c r="BN178" s="173">
        <f t="shared" si="98"/>
        <v>28</v>
      </c>
      <c r="BO178" s="173">
        <f t="shared" si="98"/>
        <v>63</v>
      </c>
      <c r="BP178" s="173">
        <f t="shared" si="98"/>
        <v>49</v>
      </c>
      <c r="BQ178" s="173">
        <f t="shared" si="98"/>
        <v>49</v>
      </c>
      <c r="BR178" s="173">
        <f t="shared" si="98"/>
        <v>49</v>
      </c>
      <c r="BS178" s="173">
        <f t="shared" si="98"/>
        <v>49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49</v>
      </c>
      <c r="CH178" s="173">
        <f t="shared" si="99"/>
        <v>42</v>
      </c>
      <c r="CI178" s="173">
        <f t="shared" si="99"/>
        <v>42</v>
      </c>
      <c r="CJ178" s="173">
        <f t="shared" si="99"/>
        <v>49</v>
      </c>
      <c r="CK178" s="173">
        <f t="shared" si="99"/>
        <v>49</v>
      </c>
      <c r="CL178" s="173">
        <f t="shared" si="99"/>
        <v>56</v>
      </c>
      <c r="CM178" s="173">
        <f t="shared" si="99"/>
        <v>56</v>
      </c>
      <c r="CN178" s="173">
        <f t="shared" si="99"/>
        <v>56</v>
      </c>
      <c r="CO178" s="173">
        <f t="shared" si="99"/>
        <v>49</v>
      </c>
      <c r="CP178" s="173">
        <f t="shared" si="99"/>
        <v>49</v>
      </c>
      <c r="CQ178" s="173">
        <f t="shared" si="99"/>
        <v>49</v>
      </c>
      <c r="CR178" s="173">
        <f t="shared" si="99"/>
        <v>56</v>
      </c>
      <c r="CS178" s="173">
        <f t="shared" si="99"/>
        <v>56</v>
      </c>
      <c r="CT178" s="173">
        <f t="shared" si="99"/>
        <v>49</v>
      </c>
      <c r="CU178" s="173">
        <f t="shared" si="99"/>
        <v>47.25</v>
      </c>
      <c r="CV178" s="173">
        <f t="shared" si="99"/>
        <v>40.25</v>
      </c>
      <c r="CW178" s="173">
        <f t="shared" si="99"/>
        <v>40.25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43.699999999999996</v>
      </c>
      <c r="D179" s="263">
        <f>C179*$D$82/$C$82</f>
        <v>41.956359102244384</v>
      </c>
    </row>
    <row r="180" spans="1:132" x14ac:dyDescent="0.25">
      <c r="B180" s="14" t="s">
        <v>1290</v>
      </c>
      <c r="C180" s="173">
        <f>SUM('Calcul éco'!D19:D21)</f>
        <v>0</v>
      </c>
      <c r="D180" s="263">
        <f>C180*$D$82/$C$82</f>
        <v>0</v>
      </c>
    </row>
    <row r="181" spans="1:132" x14ac:dyDescent="0.25">
      <c r="B181" s="14" t="s">
        <v>1291</v>
      </c>
      <c r="C181" s="173">
        <f>ROUND(C180/C179,2)*100</f>
        <v>0</v>
      </c>
      <c r="D181" s="173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8224</v>
      </c>
      <c r="D183" s="264">
        <f>ROUND(D184*D185,0)</f>
        <v>7883</v>
      </c>
      <c r="E183" s="17" t="s">
        <v>1295</v>
      </c>
    </row>
    <row r="184" spans="1:132" x14ac:dyDescent="0.25">
      <c r="B184" s="14" t="s">
        <v>1296</v>
      </c>
      <c r="C184" s="173">
        <f>Protection!AK26</f>
        <v>39.099999999999994</v>
      </c>
      <c r="D184" s="265">
        <f>C184*D82/C82</f>
        <v>37.539900249376551</v>
      </c>
    </row>
    <row r="185" spans="1:132" x14ac:dyDescent="0.25">
      <c r="B185" s="14" t="s">
        <v>1297</v>
      </c>
      <c r="C185" s="173">
        <f>IF(C183=0,0,ROUND(C183/C184,0))</f>
        <v>210</v>
      </c>
      <c r="D185" s="173">
        <f>C185</f>
        <v>210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1</v>
      </c>
      <c r="D187" s="173">
        <f>C187</f>
        <v>1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9</v>
      </c>
      <c r="D189" s="173">
        <f t="shared" si="101"/>
        <v>9</v>
      </c>
      <c r="AH189" s="15"/>
      <c r="AJ189" s="14" t="s">
        <v>1114</v>
      </c>
      <c r="AK189" s="30">
        <f>D189</f>
        <v>9</v>
      </c>
      <c r="AO189" s="173">
        <f>ROUND((([1]Protect!$B$5/[1]Protect!$B$11)+[1]Protect!$B$8)*AK189,0)</f>
        <v>8139</v>
      </c>
    </row>
    <row r="190" spans="1:132" x14ac:dyDescent="0.25">
      <c r="B190" s="14" t="s">
        <v>1302</v>
      </c>
      <c r="C190" s="173">
        <f>'Calcul éco'!T246*(30)</f>
        <v>105</v>
      </c>
      <c r="D190" s="173">
        <f>C190</f>
        <v>105</v>
      </c>
      <c r="AH190" s="15"/>
      <c r="AJ190" s="14" t="s">
        <v>1115</v>
      </c>
      <c r="AK190" s="30">
        <f>D190/30</f>
        <v>3.5</v>
      </c>
      <c r="AN190" s="173">
        <f>[1]Eco!$B$106*[1]Eco!$B$108*[1]Eco!$B$109</f>
        <v>2551.2000000000003</v>
      </c>
      <c r="AO190" s="173">
        <f>AK190*AN190</f>
        <v>8929.2000000000007</v>
      </c>
    </row>
    <row r="191" spans="1:132" x14ac:dyDescent="0.25">
      <c r="B191" s="14" t="s">
        <v>1303</v>
      </c>
      <c r="C191" s="198">
        <f>ROUND(SUM(Travail!F69:F74)/8,1)</f>
        <v>34.4</v>
      </c>
      <c r="D191" s="173">
        <f>C191</f>
        <v>34.4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98</v>
      </c>
      <c r="AN191" s="173">
        <f>[1]Eco!$B$111</f>
        <v>28.3</v>
      </c>
      <c r="AO191" s="173">
        <f>AK191*AN191</f>
        <v>2773.4</v>
      </c>
    </row>
    <row r="192" spans="1:132" x14ac:dyDescent="0.25">
      <c r="B192" s="14" t="s">
        <v>1307</v>
      </c>
      <c r="C192" s="173">
        <f>(Travail!F83+Travail!F84)/8</f>
        <v>1.1625000000000001</v>
      </c>
      <c r="D192" s="266">
        <f>ROUND((D183/1000)*([1]Protect!$B$25*8/10+[1]Protect!$B$26),2)/8</f>
        <v>1.11375</v>
      </c>
      <c r="E192" s="17" t="s">
        <v>1308</v>
      </c>
      <c r="I192" s="5"/>
      <c r="AN192" s="14" t="s">
        <v>1117</v>
      </c>
      <c r="AO192" s="173">
        <f>SUM(AO189:AO191)</f>
        <v>19841.600000000002</v>
      </c>
    </row>
    <row r="193" spans="1:43" x14ac:dyDescent="0.25">
      <c r="B193" s="14" t="s">
        <v>1309</v>
      </c>
      <c r="C193" s="173">
        <f>(Travail!F75+Travail!F76+Travail!F81)/8</f>
        <v>24.8125</v>
      </c>
      <c r="D193" s="173">
        <f>C193</f>
        <v>24.8125</v>
      </c>
      <c r="I193" s="32" t="s">
        <v>1310</v>
      </c>
      <c r="J193" s="5">
        <f>D65</f>
        <v>18.242000000000001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291.87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61917</v>
      </c>
      <c r="D194" s="261">
        <f>ROUND(C194*D$82/C$82,0)</f>
        <v>59446</v>
      </c>
      <c r="I194" s="32" t="s">
        <v>1315</v>
      </c>
      <c r="J194" s="5">
        <f>J193/IF(Scénario!K2="Exploit. Ind.",1,Scénario!K3)</f>
        <v>18.242000000000001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291.87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42858</v>
      </c>
      <c r="D195" s="261">
        <f t="shared" ref="D195:D200" si="102">ROUND(C195*D$82/C$82,0)</f>
        <v>41148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éco'!K9:K15)-'Calcul éco'!K16,0)</f>
        <v>11018</v>
      </c>
      <c r="D197" s="261">
        <f t="shared" si="102"/>
        <v>10578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18.242000000000001</v>
      </c>
      <c r="J198" s="173">
        <f>H198*I198</f>
        <v>3028.172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291.87</v>
      </c>
      <c r="W198" s="214">
        <f>U198*V198</f>
        <v>7092.4410000000007</v>
      </c>
      <c r="AI198" s="40" t="s">
        <v>1120</v>
      </c>
      <c r="AJ198" s="4">
        <f>IF(Troupeau!B3="OL",L223,0)*Scénario!K56</f>
        <v>230.42394014962593</v>
      </c>
      <c r="AO198" s="40" t="s">
        <v>1121</v>
      </c>
      <c r="AP198">
        <f>IF(Troupeau!B3="OL",D63,0)</f>
        <v>291.87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11542</v>
      </c>
      <c r="D199" s="261">
        <f t="shared" si="102"/>
        <v>11081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7092.4410000000007</v>
      </c>
      <c r="AI200" s="14" t="s">
        <v>1123</v>
      </c>
      <c r="AJ200" s="30">
        <f>IF(AJ198&lt;151,1,0)</f>
        <v>0</v>
      </c>
      <c r="AK200" s="173">
        <f>IF(AJ200=0,0,[1]Protect!B76)</f>
        <v>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3154</v>
      </c>
      <c r="D201" s="264">
        <f>J201</f>
        <v>3028.172</v>
      </c>
      <c r="E201" s="17" t="s">
        <v>1324</v>
      </c>
      <c r="I201" s="40" t="s">
        <v>949</v>
      </c>
      <c r="J201" s="62">
        <f>SUM(J198:J200)*IF(Scénario!K2="Exploit. Ind.",1,Scénario!K3)</f>
        <v>3028.172</v>
      </c>
      <c r="AI201" s="14" t="s">
        <v>1125</v>
      </c>
      <c r="AJ201" s="30">
        <f>IF(AND(150 &lt;AJ$198,AJ$198&lt;451),1,0)</f>
        <v>1</v>
      </c>
      <c r="AK201" s="173">
        <f>IF(AJ201=0,0,[1]Protect!B77)</f>
        <v>12500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3">
        <f>IF(AJ202=0,0,[1]Protect!B78)</f>
        <v>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7387.2</v>
      </c>
      <c r="D203" s="264">
        <f>ROUND(W200,0)</f>
        <v>7092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27.843</v>
      </c>
      <c r="K205" s="173">
        <v>1</v>
      </c>
      <c r="L205" s="173">
        <f>J205*K205</f>
        <v>27.843</v>
      </c>
      <c r="T205" s="5"/>
      <c r="U205" s="5"/>
      <c r="V205" s="36"/>
      <c r="W205" s="5"/>
      <c r="X205" s="14" t="s">
        <v>966</v>
      </c>
      <c r="Y205" s="190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9203</v>
      </c>
      <c r="D206" s="261">
        <f>ROUND(C206*D$82/C$82,0)</f>
        <v>8836</v>
      </c>
      <c r="I206" s="14" t="s">
        <v>270</v>
      </c>
      <c r="J206" s="173">
        <f>D80</f>
        <v>10.657</v>
      </c>
      <c r="K206" s="173">
        <f>[1]Eco!$B$22/100</f>
        <v>0.6</v>
      </c>
      <c r="L206" s="173">
        <f t="shared" ref="L206" si="104">J206*K206</f>
        <v>6.3941999999999997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328</v>
      </c>
      <c r="Z207" s="173">
        <f>X207*Y207</f>
        <v>8200</v>
      </c>
      <c r="AF207" s="23" t="s">
        <v>1133</v>
      </c>
      <c r="AL207" s="173">
        <f>IF(Scénario!K84=2,AL209,IF(Scénario!K84=1,AL208,0))</f>
        <v>10000</v>
      </c>
      <c r="AQ207" s="5"/>
    </row>
    <row r="208" spans="1:43" x14ac:dyDescent="0.25">
      <c r="B208" s="211" t="s">
        <v>987</v>
      </c>
      <c r="C208" s="173">
        <f>ROUND('Calcul éco'!J44,0)</f>
        <v>6357</v>
      </c>
      <c r="D208" s="261">
        <f>ROUND(C208*D$82/C$82,0)</f>
        <v>6103</v>
      </c>
      <c r="S208" s="14" t="s">
        <v>978</v>
      </c>
      <c r="T208" s="30">
        <f>L212</f>
        <v>91.094307231920197</v>
      </c>
      <c r="W208" s="14" t="s">
        <v>979</v>
      </c>
      <c r="X208" s="173">
        <f>IF(T208&gt;50,25,IF(T208&gt;25,T208-25,0))</f>
        <v>25</v>
      </c>
      <c r="Y208" s="173">
        <f>Y209+0.66*Y205</f>
        <v>240.28</v>
      </c>
      <c r="Z208" s="173">
        <f t="shared" ref="Z208:Z209" si="105">X208*Y208</f>
        <v>6007</v>
      </c>
      <c r="AF208" s="5"/>
      <c r="AK208" s="14" t="s">
        <v>1134</v>
      </c>
      <c r="AL208" s="173">
        <f>IF(AO192&lt;SUM(AK200:AK204),AO192,SUM(AK200:AK204))</f>
        <v>12500</v>
      </c>
      <c r="AQ208" s="245"/>
    </row>
    <row r="209" spans="1:43" x14ac:dyDescent="0.25">
      <c r="B209" s="19" t="s">
        <v>989</v>
      </c>
      <c r="C209" s="173">
        <f>ROUND('Calcul éco'!J45,0)</f>
        <v>15957</v>
      </c>
      <c r="D209" s="264">
        <f>IF(Scénario!K9=0,0,ROUND(Z210,0))</f>
        <v>15957</v>
      </c>
      <c r="E209" s="17" t="s">
        <v>1327</v>
      </c>
      <c r="K209" s="40" t="s">
        <v>988</v>
      </c>
      <c r="L209" s="62">
        <f>SUM(L205:L206)</f>
        <v>34.237200000000001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10000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12500</v>
      </c>
      <c r="D210" s="264">
        <f>ROUND(AL207,0)</f>
        <v>10000</v>
      </c>
      <c r="E210" s="17" t="s">
        <v>1329</v>
      </c>
      <c r="K210" s="14" t="s">
        <v>990</v>
      </c>
      <c r="L210" s="173">
        <f>J221</f>
        <v>56.857107231920189</v>
      </c>
      <c r="Y210" s="40" t="s">
        <v>949</v>
      </c>
      <c r="Z210" s="62">
        <f>SUM(Z207:Z209)*IF(Scénario!K2="Exploit. Ind.",1,Scénario!K3)</f>
        <v>15957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57106.2</v>
      </c>
      <c r="D211" s="264">
        <f>ROUND(SUM(D201:D210),0)</f>
        <v>53564</v>
      </c>
      <c r="E211" s="17" t="s">
        <v>1331</v>
      </c>
      <c r="K211" s="40" t="s">
        <v>995</v>
      </c>
      <c r="L211" s="62">
        <f>L209+L210</f>
        <v>91.094307231920197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21108.600000000002</v>
      </c>
      <c r="D212" s="261">
        <f>ROUND(C212*D$82/C$82,0)</f>
        <v>20266</v>
      </c>
      <c r="K212" s="40" t="s">
        <v>1334</v>
      </c>
      <c r="L212" s="62">
        <f>L211/IF(Scénario!K2="Exploit. Ind.",1,Scénario!K3)</f>
        <v>91.094307231920197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7974.4</v>
      </c>
      <c r="D214" s="261">
        <f t="shared" si="106"/>
        <v>7656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29083</v>
      </c>
      <c r="D216" s="261">
        <f t="shared" si="106"/>
        <v>27923</v>
      </c>
      <c r="G216" s="14" t="s">
        <v>568</v>
      </c>
      <c r="H216" s="14" t="str">
        <f>Troupeau!B3</f>
        <v>OL</v>
      </c>
      <c r="I216" s="30">
        <f>'Calcul éco'!S50</f>
        <v>126</v>
      </c>
      <c r="J216" s="48">
        <f>I216*D$82/C$82</f>
        <v>120.97256857855361</v>
      </c>
      <c r="K216" s="223"/>
      <c r="L216" s="223"/>
      <c r="AF216" s="5"/>
      <c r="AI216" s="14" t="s">
        <v>1140</v>
      </c>
      <c r="AJ216" s="173">
        <f>D183*[1]Protect!$B$17/100</f>
        <v>118.245</v>
      </c>
      <c r="AK216" s="173"/>
      <c r="AL216" s="173"/>
      <c r="AM216" s="173">
        <f>'Calcul éco'!W272</f>
        <v>6</v>
      </c>
      <c r="AN216" s="173">
        <f>AJ216*AM216</f>
        <v>709.47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1967.576</v>
      </c>
      <c r="D217" s="261">
        <f t="shared" si="106"/>
        <v>1889</v>
      </c>
      <c r="G217" s="19" t="s">
        <v>601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13764.096999999998</v>
      </c>
      <c r="D218" s="261">
        <f t="shared" si="106"/>
        <v>13215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2</v>
      </c>
      <c r="AK218" s="173"/>
      <c r="AL218" s="173"/>
      <c r="AM218" s="173">
        <f>'Calcul éco'!W274</f>
        <v>100</v>
      </c>
      <c r="AN218" s="173">
        <f>AJ218*AM218</f>
        <v>200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8139</v>
      </c>
      <c r="D219" s="261">
        <f t="shared" si="106"/>
        <v>7814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940.16</v>
      </c>
      <c r="D220" s="264">
        <f>SUM(AN215:AN219)</f>
        <v>909.47</v>
      </c>
      <c r="E220" s="17" t="s">
        <v>1345</v>
      </c>
      <c r="H220" s="14" t="s">
        <v>1000</v>
      </c>
      <c r="I220" s="30">
        <f>SUM(I216:I219)</f>
        <v>126</v>
      </c>
      <c r="J220" s="30">
        <f>SUM(J216:J219)</f>
        <v>120.97256857855361</v>
      </c>
    </row>
    <row r="221" spans="1:43" x14ac:dyDescent="0.25">
      <c r="B221" s="14" t="s">
        <v>1346</v>
      </c>
      <c r="C221" s="173">
        <f>ROUND(SUM(C216:C220),0)</f>
        <v>53894</v>
      </c>
      <c r="D221" s="264">
        <f>ROUND(SUM(D216:D220),0)</f>
        <v>51750</v>
      </c>
      <c r="E221" s="17" t="s">
        <v>1345</v>
      </c>
      <c r="H221" s="14" t="s">
        <v>1001</v>
      </c>
      <c r="I221" s="30">
        <f>I220*[1]Eco!$B$25</f>
        <v>59.22</v>
      </c>
      <c r="J221" s="30">
        <f>J220*[1]Eco!$B$25</f>
        <v>56.857107231920189</v>
      </c>
    </row>
    <row r="222" spans="1:43" x14ac:dyDescent="0.25">
      <c r="A222" s="2" t="s">
        <v>1067</v>
      </c>
      <c r="B222" s="14" t="s">
        <v>1347</v>
      </c>
      <c r="C222" s="173">
        <f>'Calcul éco'!J149</f>
        <v>2508.5</v>
      </c>
      <c r="D222" s="261">
        <f>ROUND(C222*D$82/C$82,0)</f>
        <v>2408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750</v>
      </c>
      <c r="D223" s="173">
        <f>C223</f>
        <v>750</v>
      </c>
      <c r="J223" s="14" t="s">
        <v>1349</v>
      </c>
      <c r="K223" s="30">
        <f>Scénario!K55/0.15</f>
        <v>240</v>
      </c>
      <c r="L223" s="30">
        <f>K223*'Synthèse résultats'!D$82/'Synthèse résultats'!C$82</f>
        <v>230.42394014962593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5400</v>
      </c>
      <c r="D224" s="173">
        <f>C224</f>
        <v>5400</v>
      </c>
      <c r="G224" s="14"/>
      <c r="H224" s="14"/>
      <c r="J224" s="14" t="s">
        <v>1350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7883</v>
      </c>
      <c r="AL225" t="s">
        <v>1101</v>
      </c>
      <c r="AM225" s="173"/>
      <c r="AN225" s="173">
        <f>[1]Protect!$B$4</f>
        <v>6</v>
      </c>
      <c r="AO225" s="173">
        <f>AK225*AN225</f>
        <v>47298</v>
      </c>
    </row>
    <row r="226" spans="1:49" x14ac:dyDescent="0.25">
      <c r="B226" s="14" t="s">
        <v>1074</v>
      </c>
      <c r="C226" s="173">
        <f>'Calcul éco'!J153</f>
        <v>12964</v>
      </c>
      <c r="D226" s="261">
        <f>ROUND(C226*D$82/C$82,0)</f>
        <v>12447</v>
      </c>
      <c r="G226" s="14"/>
      <c r="H226" s="14"/>
      <c r="AJ226" s="14" t="s">
        <v>1102</v>
      </c>
      <c r="AK226" s="30">
        <f>D187</f>
        <v>1</v>
      </c>
      <c r="AN226" s="173">
        <f>[1]Protect!$B$83</f>
        <v>2000</v>
      </c>
      <c r="AO226" s="173">
        <f t="shared" ref="AO226:AO227" si="108">AK226*AN226</f>
        <v>2000</v>
      </c>
    </row>
    <row r="227" spans="1:49" x14ac:dyDescent="0.25">
      <c r="B227" s="14" t="s">
        <v>1076</v>
      </c>
      <c r="C227" s="173">
        <f>'Calcul éco'!J154</f>
        <v>8430.2999999999993</v>
      </c>
      <c r="D227" s="261">
        <f t="shared" ref="D227:D233" si="109">ROUND(C227*D$82/C$82,0)</f>
        <v>8094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49298</v>
      </c>
      <c r="AQ228" s="30">
        <f>IF(Scénario!K84=1,MIN(0.8*AO228,[1]Protect!$B$68),IF(Scénario!K84=2,MIN(0.8*AO228,[1]Protect!$B$67),0))</f>
        <v>15500</v>
      </c>
      <c r="AR228" s="30">
        <f>AO228-AQ228</f>
        <v>33798</v>
      </c>
      <c r="AS228" s="30">
        <f>(1-Scénario!K127/100)*AR228</f>
        <v>33798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-136.83599999999998</v>
      </c>
      <c r="D230" s="261">
        <f t="shared" si="109"/>
        <v>-131</v>
      </c>
    </row>
    <row r="231" spans="1:49" x14ac:dyDescent="0.25">
      <c r="B231" s="14" t="s">
        <v>1083</v>
      </c>
      <c r="C231" s="173">
        <f>'Calcul éco'!J159</f>
        <v>0</v>
      </c>
      <c r="D231" s="261">
        <f t="shared" si="109"/>
        <v>0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-65.267999999999986</v>
      </c>
      <c r="D233" s="261">
        <f t="shared" si="109"/>
        <v>-63</v>
      </c>
    </row>
    <row r="234" spans="1:49" x14ac:dyDescent="0.25">
      <c r="B234" s="14" t="s">
        <v>1352</v>
      </c>
      <c r="C234" s="173">
        <f>'Calcul éco'!J166</f>
        <v>8929.2000000000007</v>
      </c>
      <c r="D234" s="173">
        <f>C234</f>
        <v>8929.2000000000007</v>
      </c>
    </row>
    <row r="235" spans="1:49" x14ac:dyDescent="0.25">
      <c r="B235" s="14" t="s">
        <v>1353</v>
      </c>
      <c r="C235" s="173">
        <f>'Calcul éco'!J167</f>
        <v>4871.7290000000003</v>
      </c>
      <c r="D235" s="264">
        <f>(D191+D192)*8*[1]Eco!$B$106</f>
        <v>3020.0893000000005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43652</v>
      </c>
      <c r="D236" s="264">
        <f>ROUND(SUM(D222:D235),0)</f>
        <v>40854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21477.199999999997</v>
      </c>
      <c r="D237" s="264">
        <f>D194+D211-D221-D236</f>
        <v>20406</v>
      </c>
    </row>
    <row r="238" spans="1:49" x14ac:dyDescent="0.25">
      <c r="B238" s="211" t="s">
        <v>1090</v>
      </c>
      <c r="C238" s="173">
        <f>ROUND(C237/Scénario!$K$4,0)</f>
        <v>14318</v>
      </c>
      <c r="D238" s="264">
        <f>ROUND(D237/D83,0)</f>
        <v>10203</v>
      </c>
    </row>
    <row r="239" spans="1:49" x14ac:dyDescent="0.25">
      <c r="B239" s="211" t="s">
        <v>1091</v>
      </c>
      <c r="C239" s="173">
        <f>'Calcul éco'!B177</f>
        <v>11400</v>
      </c>
      <c r="D239" s="264">
        <f>C239</f>
        <v>11400</v>
      </c>
    </row>
    <row r="240" spans="1:49" x14ac:dyDescent="0.25">
      <c r="B240" s="211" t="s">
        <v>1092</v>
      </c>
      <c r="C240" s="267">
        <f>'Calcul éco'!B178</f>
        <v>4419.2406085694138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5658</v>
      </c>
      <c r="D241" s="268">
        <f>ROUND(D237-D239-D240,0)</f>
        <v>9006</v>
      </c>
    </row>
    <row r="242" spans="1:15" x14ac:dyDescent="0.25">
      <c r="B242" s="211" t="s">
        <v>1094</v>
      </c>
      <c r="C242" s="173">
        <f>ROUND(C241/Scénario!K4,0)</f>
        <v>3772</v>
      </c>
      <c r="D242" s="264">
        <f>ROUND(D241/D83,0)</f>
        <v>4503</v>
      </c>
    </row>
    <row r="243" spans="1:15" x14ac:dyDescent="0.25">
      <c r="B243" s="211" t="s">
        <v>1357</v>
      </c>
      <c r="C243" s="173">
        <f>'Calcul éco'!X237+'Calcul éco'!X240</f>
        <v>51344</v>
      </c>
      <c r="D243" s="173">
        <f>C243</f>
        <v>51344</v>
      </c>
    </row>
    <row r="244" spans="1:15" x14ac:dyDescent="0.25">
      <c r="B244" s="211" t="s">
        <v>1358</v>
      </c>
      <c r="C244" s="173">
        <f>'Calcul éco'!AA237+'Calcul éco'!AA240</f>
        <v>35844</v>
      </c>
      <c r="D244" s="173">
        <f>C244</f>
        <v>35844</v>
      </c>
    </row>
    <row r="245" spans="1:15" x14ac:dyDescent="0.25">
      <c r="A245" s="2" t="s">
        <v>1359</v>
      </c>
      <c r="B245" s="14" t="s">
        <v>568</v>
      </c>
      <c r="C245" s="270">
        <f>Travail!F5</f>
        <v>1015</v>
      </c>
      <c r="D245" s="173">
        <f>C245</f>
        <v>1015</v>
      </c>
    </row>
    <row r="246" spans="1:15" x14ac:dyDescent="0.25">
      <c r="B246" s="14" t="s">
        <v>601</v>
      </c>
      <c r="C246" s="270">
        <f>Travail!F6</f>
        <v>189</v>
      </c>
      <c r="D246" s="173">
        <f t="shared" ref="D246:D247" si="112">C246</f>
        <v>189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871.15547826086947</v>
      </c>
      <c r="D248" s="264">
        <f>ROUND(SUM(AV163:BS163),1)</f>
        <v>862.4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784</v>
      </c>
      <c r="D251" s="173">
        <f>C251</f>
        <v>784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0</v>
      </c>
      <c r="L253" s="190">
        <f>IF(K253&gt;[1]Trav!$E$116,[1]Trav!C116,[1]Trav!B116)</f>
        <v>11</v>
      </c>
      <c r="M253" s="5"/>
      <c r="N253" s="274"/>
      <c r="O253">
        <f>K253*L253</f>
        <v>0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0.96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15.071999999999999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1.2</v>
      </c>
      <c r="L255" s="190">
        <f>IF(K255&gt;[1]Trav!E118,[1]Trav!C118,[1]Trav!B118)</f>
        <v>3.7</v>
      </c>
      <c r="N255" s="274"/>
      <c r="O255">
        <f t="shared" si="114"/>
        <v>4.4400000000000004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511.5</v>
      </c>
      <c r="D257" s="261">
        <f>ROUND(C257*D$82/C$82,0)</f>
        <v>491</v>
      </c>
      <c r="E257" s="17" t="s">
        <v>1360</v>
      </c>
      <c r="J257" s="32" t="s">
        <v>789</v>
      </c>
      <c r="K257" s="173">
        <f>D72+D73+D75</f>
        <v>26.882000000000001</v>
      </c>
      <c r="L257" s="190">
        <f>IF(K257&gt;[1]Trav!E119,[1]Trav!C119,[1]Trav!B119)</f>
        <v>1.4</v>
      </c>
      <c r="N257" s="274"/>
      <c r="O257">
        <f t="shared" si="114"/>
        <v>37.634799999999998</v>
      </c>
    </row>
    <row r="258" spans="1:15" x14ac:dyDescent="0.25">
      <c r="A258" s="2"/>
      <c r="B258" s="14" t="s">
        <v>601</v>
      </c>
      <c r="C258" s="270">
        <f>Travail!F32</f>
        <v>90</v>
      </c>
      <c r="D258" s="261">
        <f t="shared" ref="D258:D259" si="115">ROUND(C258*D$82/C$82,0)</f>
        <v>86</v>
      </c>
      <c r="E258" s="17"/>
      <c r="J258" s="32" t="s">
        <v>790</v>
      </c>
      <c r="K258" s="173">
        <f>D85*((100-Scénario!K31)/100)</f>
        <v>16.677000000000003</v>
      </c>
      <c r="L258" s="190">
        <f>IF(K258&gt;[1]Trav!E121,[1]Trav!C121,[1]Trav!B121)</f>
        <v>7.2</v>
      </c>
      <c r="N258" s="274"/>
      <c r="O258">
        <f t="shared" si="114"/>
        <v>120.07440000000003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15.362</v>
      </c>
      <c r="L259" s="190">
        <f>IF(K259&gt;[1]Trav!E121,[1]Trav!C121,[1]Trav!B121)</f>
        <v>7.2</v>
      </c>
      <c r="N259" s="274"/>
      <c r="O259">
        <f t="shared" si="114"/>
        <v>110.60640000000001</v>
      </c>
    </row>
    <row r="260" spans="1:15" x14ac:dyDescent="0.25">
      <c r="A260" s="2" t="s">
        <v>767</v>
      </c>
      <c r="B260" s="14" t="s">
        <v>568</v>
      </c>
      <c r="C260" s="270">
        <f>ROUND(Travail!F35,0)</f>
        <v>880</v>
      </c>
      <c r="D260" s="264">
        <f>ROUND(Travail!B35+(Travail!D35*Travail!C35*'Synthèse résultats'!G63),0)</f>
        <v>854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0</v>
      </c>
      <c r="D261" s="261">
        <f>ROUND(C261*G63,0)</f>
        <v>0</v>
      </c>
      <c r="E261" s="17" t="s">
        <v>1362</v>
      </c>
      <c r="J261" s="32" t="s">
        <v>793</v>
      </c>
      <c r="K261" s="173">
        <f>D88</f>
        <v>1.853</v>
      </c>
      <c r="L261" s="190">
        <f>IF(K261&gt;[1]Trav!E122,[1]Trav!C122,[1]Trav!B122)</f>
        <v>4.4000000000000004</v>
      </c>
      <c r="M261" s="5"/>
      <c r="N261" s="274"/>
      <c r="O261">
        <f t="shared" si="114"/>
        <v>8.1532</v>
      </c>
    </row>
    <row r="262" spans="1:15" x14ac:dyDescent="0.25">
      <c r="A262" s="2" t="s">
        <v>1363</v>
      </c>
      <c r="B262" s="14" t="s">
        <v>783</v>
      </c>
      <c r="C262" s="270">
        <f>Travail!F50</f>
        <v>0</v>
      </c>
      <c r="D262" s="264">
        <f t="shared" ref="D262:D271" si="116">ROUND(K253*L253,0)</f>
        <v>0</v>
      </c>
      <c r="E262" s="17" t="s">
        <v>1364</v>
      </c>
      <c r="J262" s="32" t="s">
        <v>795</v>
      </c>
      <c r="K262" s="173">
        <f>D89</f>
        <v>0</v>
      </c>
      <c r="L262" s="190">
        <f>[1]Trav!$B$123</f>
        <v>7.2</v>
      </c>
      <c r="M262" s="5"/>
      <c r="N262" s="274"/>
      <c r="O262">
        <f t="shared" si="114"/>
        <v>0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1</v>
      </c>
      <c r="D264" s="264">
        <f t="shared" si="116"/>
        <v>4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39</v>
      </c>
      <c r="D266" s="264">
        <f t="shared" si="116"/>
        <v>38</v>
      </c>
    </row>
    <row r="267" spans="1:15" x14ac:dyDescent="0.25">
      <c r="B267" s="32" t="s">
        <v>790</v>
      </c>
      <c r="C267" s="270">
        <f>Travail!F55</f>
        <v>125</v>
      </c>
      <c r="D267" s="264">
        <f t="shared" si="116"/>
        <v>120</v>
      </c>
    </row>
    <row r="268" spans="1:15" x14ac:dyDescent="0.25">
      <c r="B268" s="32" t="s">
        <v>791</v>
      </c>
      <c r="C268" s="270">
        <f>Travail!F56</f>
        <v>115</v>
      </c>
      <c r="D268" s="264">
        <f t="shared" si="116"/>
        <v>111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8</v>
      </c>
      <c r="D270" s="264">
        <f t="shared" si="116"/>
        <v>8</v>
      </c>
    </row>
    <row r="271" spans="1:15" x14ac:dyDescent="0.25">
      <c r="B271" s="32" t="s">
        <v>795</v>
      </c>
      <c r="C271" s="270">
        <f>Travail!F59</f>
        <v>0</v>
      </c>
      <c r="D271" s="264">
        <f t="shared" si="116"/>
        <v>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275.2</v>
      </c>
      <c r="D275" s="173">
        <f>C275</f>
        <v>275.2</v>
      </c>
    </row>
    <row r="276" spans="1:4" x14ac:dyDescent="0.25">
      <c r="A276" s="23"/>
      <c r="B276" s="32" t="s">
        <v>1369</v>
      </c>
      <c r="C276" s="270">
        <f>C192*8</f>
        <v>9.3000000000000007</v>
      </c>
      <c r="D276" s="264">
        <f>D192*8</f>
        <v>8.91</v>
      </c>
    </row>
    <row r="277" spans="1:4" x14ac:dyDescent="0.25">
      <c r="B277" s="32" t="s">
        <v>1419</v>
      </c>
      <c r="C277" s="270">
        <f>Travail!F75+Travail!F81</f>
        <v>174</v>
      </c>
      <c r="D277" s="173">
        <f>C277</f>
        <v>174</v>
      </c>
    </row>
    <row r="278" spans="1:4" x14ac:dyDescent="0.25">
      <c r="B278" s="32" t="s">
        <v>1420</v>
      </c>
      <c r="C278" s="270">
        <f>Travail!F76</f>
        <v>24.5</v>
      </c>
      <c r="D278" s="173">
        <f>C278</f>
        <v>24.5</v>
      </c>
    </row>
    <row r="279" spans="1:4" x14ac:dyDescent="0.25">
      <c r="B279" s="32" t="s">
        <v>1386</v>
      </c>
      <c r="C279" s="270">
        <f>Travail!F86</f>
        <v>840</v>
      </c>
      <c r="D279" s="270">
        <f>C279</f>
        <v>840</v>
      </c>
    </row>
    <row r="280" spans="1:4" x14ac:dyDescent="0.25">
      <c r="B280" s="32" t="s">
        <v>1387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4062</v>
      </c>
      <c r="D281" s="264">
        <f>ROUND(D245+D248+D251+D254+D257+D260+D261,0)</f>
        <v>4006</v>
      </c>
    </row>
    <row r="282" spans="1:4" x14ac:dyDescent="0.25">
      <c r="B282" s="14" t="s">
        <v>1372</v>
      </c>
      <c r="C282" s="173">
        <f>ROUND(C246+C249+C252+C255+C258,0)</f>
        <v>783</v>
      </c>
      <c r="D282" s="264">
        <f>ROUND(D246+D249+D252+D255+D258,0)</f>
        <v>779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13.36</v>
      </c>
      <c r="D284" s="173">
        <f>ROUND(D281/(Troupeau!$B$17*G63),2)</f>
        <v>13.73</v>
      </c>
    </row>
    <row r="285" spans="1:4" x14ac:dyDescent="0.25">
      <c r="B285" s="14" t="s">
        <v>1375</v>
      </c>
      <c r="C285" s="173">
        <f>IF(Troupeau!$C$17=0,0,ROUND(C282/Troupeau!$C$17,2))</f>
        <v>41.21</v>
      </c>
      <c r="D285" s="173">
        <f>IF(Troupeau!$C$17=0,0,ROUND(D282/Troupeau!$C$17*G63,2))</f>
        <v>39.36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4845</v>
      </c>
      <c r="D287" s="264">
        <f>SUM(D281:D283)</f>
        <v>4785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304</v>
      </c>
      <c r="D289" s="264">
        <f>SUM(D262:D271)</f>
        <v>296</v>
      </c>
    </row>
    <row r="290" spans="2:4" x14ac:dyDescent="0.25">
      <c r="B290" s="14" t="s">
        <v>1421</v>
      </c>
      <c r="C290" s="270">
        <f>C275+C276+C277</f>
        <v>458.5</v>
      </c>
      <c r="D290" s="277">
        <f>D275+D276+D277</f>
        <v>458.11</v>
      </c>
    </row>
    <row r="291" spans="2:4" x14ac:dyDescent="0.25">
      <c r="B291" s="14" t="s">
        <v>1422</v>
      </c>
      <c r="C291" s="270">
        <f>C278+C279+C280</f>
        <v>864.5</v>
      </c>
      <c r="D291" s="270">
        <f>D278+D279+D280</f>
        <v>864.5</v>
      </c>
    </row>
    <row r="292" spans="2:4" x14ac:dyDescent="0.25">
      <c r="B292" s="14" t="s">
        <v>873</v>
      </c>
      <c r="C292" s="173">
        <f>ROUND(SUM(C287:C291),0)</f>
        <v>7072</v>
      </c>
      <c r="D292" s="264">
        <f>ROUND(SUM(D287:D291),0)</f>
        <v>7004</v>
      </c>
    </row>
    <row r="293" spans="2:4" x14ac:dyDescent="0.25">
      <c r="B293" s="14" t="s">
        <v>874</v>
      </c>
      <c r="C293" s="173">
        <f>ROUND(IF(Scénario!$K$129=1,SUM(C275:C280),SUM(C278:C280)),0)</f>
        <v>1323</v>
      </c>
      <c r="D293" s="173">
        <f>ROUND(IF(Scénario!$K$129=1,SUM(D275:D280),SUM(D278:D280)),0)</f>
        <v>1323</v>
      </c>
    </row>
    <row r="294" spans="2:4" x14ac:dyDescent="0.25">
      <c r="B294" s="14" t="s">
        <v>875</v>
      </c>
      <c r="C294" s="173">
        <f>ROUND((C292-C293)/C83,0)</f>
        <v>3833</v>
      </c>
      <c r="D294" s="173">
        <f>ROUND((D292-D293)/D83,0)</f>
        <v>2841</v>
      </c>
    </row>
    <row r="295" spans="2:4" x14ac:dyDescent="0.25">
      <c r="B295" s="14" t="s">
        <v>1447</v>
      </c>
      <c r="C295" s="173">
        <f>IF(Alim_Surf!Q7=0,Alim_Surf!R7,0)+IF(Alim_Surf!Q8=0,Alim_Surf!R8,0)+IF(Alim_Surf!Q9=0,Alim_Surf!R9,0)+IF(Alim_Surf!Q10=0,Alim_Surf!R10,0)+IF(Alim_Surf!Q11=0,Alim_Surf!R11,0)+IF(Alim_Surf!Q12=0,Alim_Surf!R12,0)+IF(Alim_Surf!Q13=0,Alim_Surf!R13,0)+IF(Alim_Surf!Q14=0,Alim_Surf!R14,0)+IF(Alim_Surf!Q15=0,Alim_Surf!R15,0)+IF(Alim_Surf!Q16=0,Alim_Surf!R16,0)+IF(Alim_Surf!Q17=0,Alim_Surf!R17,0)+IF(Alim_Surf!Q18=0,Alim_Surf!R18,0)</f>
        <v>0</v>
      </c>
    </row>
    <row r="296" spans="2:4" x14ac:dyDescent="0.25">
      <c r="B296" s="14" t="s">
        <v>1448</v>
      </c>
      <c r="C296" s="173">
        <f>IF(Alim_Surf!Q29=0,Alim_Surf!R29,0)+IF(Alim_Surf!Q28=0,Alim_Surf!R28,0)+IF(Alim_Surf!Q29=0,Alim_Surf!R29,0)+IF(Alim_Surf!Q30=0,Alim_Surf!R30,0)+IF(Alim_Surf!Q31=0,Alim_Surf!R31,0)+IF(Alim_Surf!Q32=0,Alim_Surf!R32,0)+IF(Alim_Surf!Q33=0,Alim_Surf!R33,0)+IF(Alim_Surf!Q34=0,Alim_Surf!R34,0)+IF(Alim_Surf!Q35=0,Alim_Surf!R35,0)+IF(Alim_Surf!Q36=0,Alim_Surf!R36,0)+IF(Alim_Surf!Q37=0,Alim_Surf!R37,0)+IF(Alim_Surf!Q38=0,Alim_Surf!R38,0)</f>
        <v>0</v>
      </c>
    </row>
    <row r="297" spans="2:4" x14ac:dyDescent="0.25">
      <c r="B297" s="14" t="s">
        <v>1449</v>
      </c>
      <c r="C297" s="173">
        <f>IF(Alim_Surf!Q51=0,Alim_Surf!R51,0)+IF(Alim_Surf!Q52=0,Alim_Surf!R52,0)+IF(Alim_Surf!Q53=0,Alim_Surf!R53,0)+IF(Alim_Surf!Q54=0,Alim_Surf!R54,0)+IF(Alim_Surf!Q55=0,Alim_Surf!R55,0)</f>
        <v>0</v>
      </c>
    </row>
    <row r="298" spans="2:4" x14ac:dyDescent="0.25">
      <c r="B298" s="14" t="s">
        <v>1450</v>
      </c>
      <c r="C298" s="173">
        <f>IF(Troupeau!$B$3="OL",CdTrp1!AA220,0)</f>
        <v>58.799145479443467</v>
      </c>
    </row>
    <row r="299" spans="2:4" x14ac:dyDescent="0.25">
      <c r="B299" s="14" t="s">
        <v>1451</v>
      </c>
      <c r="C299" s="173">
        <f>IF(Troupeau!$B$3="OL",CdTrp1!AA221,0)</f>
        <v>38.48082199652174</v>
      </c>
    </row>
    <row r="300" spans="2:4" x14ac:dyDescent="0.25">
      <c r="B300" s="14" t="s">
        <v>1452</v>
      </c>
      <c r="C300" s="173">
        <f>IF(Troupeau!$B$3="BV",CdTrp1!AA220,0)+IF(Troupeau!$C$3="BV",CdTrp2!AA220,0)</f>
        <v>57.507144959999984</v>
      </c>
    </row>
    <row r="301" spans="2:4" x14ac:dyDescent="0.25">
      <c r="B301" s="14" t="s">
        <v>1453</v>
      </c>
      <c r="C301" s="173">
        <f>IF(Troupeau!$B$3="BV",CdTrp1!AA221,0)+IF(Troupeau!$C$3="BV",CdTrp2!AA221,0)</f>
        <v>0</v>
      </c>
    </row>
    <row r="302" spans="2:4" x14ac:dyDescent="0.25">
      <c r="B302" s="14" t="s">
        <v>1454</v>
      </c>
      <c r="C302" s="173">
        <f>IF(Troupeau!$B$3="VL",CdTrp1!AA220,0)</f>
        <v>0</v>
      </c>
    </row>
    <row r="303" spans="2:4" x14ac:dyDescent="0.25">
      <c r="B303" s="14" t="s">
        <v>1455</v>
      </c>
      <c r="C303" s="173">
        <v>0</v>
      </c>
    </row>
    <row r="304" spans="2:4" x14ac:dyDescent="0.25">
      <c r="B304" s="14" t="s">
        <v>1456</v>
      </c>
      <c r="C304" s="173">
        <f>Protection!BL31+Protection!BK31</f>
        <v>28</v>
      </c>
    </row>
    <row r="305" spans="2:3" x14ac:dyDescent="0.25">
      <c r="B305" s="14" t="s">
        <v>1457</v>
      </c>
      <c r="C305" s="173">
        <f>Protection!BJ31</f>
        <v>11.1</v>
      </c>
    </row>
    <row r="306" spans="2:3" x14ac:dyDescent="0.25">
      <c r="B306" s="14" t="s">
        <v>1458</v>
      </c>
      <c r="C306" s="173">
        <f>'Calcul éco'!X233</f>
        <v>0</v>
      </c>
    </row>
    <row r="307" spans="2:3" x14ac:dyDescent="0.25">
      <c r="B307" s="14" t="s">
        <v>1459</v>
      </c>
      <c r="C307" s="173">
        <f>'Calcul éco'!X234</f>
        <v>49344</v>
      </c>
    </row>
    <row r="308" spans="2:3" x14ac:dyDescent="0.25">
      <c r="B308" s="14" t="s">
        <v>1460</v>
      </c>
      <c r="C308" s="173">
        <f>'Calcul éco'!X235</f>
        <v>2000</v>
      </c>
    </row>
    <row r="309" spans="2:3" x14ac:dyDescent="0.25">
      <c r="B309" s="14" t="s">
        <v>1461</v>
      </c>
      <c r="C309" s="173">
        <f>'Calcul éco'!X236</f>
        <v>0</v>
      </c>
    </row>
    <row r="310" spans="2:3" x14ac:dyDescent="0.25">
      <c r="B310" s="14" t="s">
        <v>1462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9" zoomScaleNormal="100" workbookViewId="0">
      <selection activeCell="F23" sqref="F23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304</v>
      </c>
      <c r="C17" s="60">
        <v>19</v>
      </c>
      <c r="D17" s="60"/>
      <c r="E17" s="60"/>
      <c r="H17" s="2" t="s">
        <v>152</v>
      </c>
      <c r="I17" s="22"/>
      <c r="J17" s="60">
        <v>4</v>
      </c>
      <c r="K17" s="60">
        <v>5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279</v>
      </c>
      <c r="C18" s="61">
        <f t="shared" si="0"/>
        <v>15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92</v>
      </c>
      <c r="K18" s="76">
        <f>HLOOKUP(K$17,[1]Anx!$C$8:$CO$37,$I18)</f>
        <v>84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265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348</v>
      </c>
      <c r="C20" s="61">
        <f>ROUNDDOWN(C18*K20/100,0)</f>
        <v>15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125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278</v>
      </c>
      <c r="C21" s="61">
        <f>ROUNDDOWN((C20*(100-K21))/100,0)</f>
        <v>13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20</v>
      </c>
      <c r="K21" s="76">
        <f>HLOOKUP(K$17,[1]Anx!$C$8:$CO$37,$I21)</f>
        <v>10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69</v>
      </c>
      <c r="C22" s="61">
        <f>ROUNDDOWN(C17*K22/100,0)</f>
        <v>4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23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69</v>
      </c>
      <c r="C23" s="61">
        <f>IF(K$23&gt;1,C22,0)</f>
        <v>4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1.2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4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2.2999999999999998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40280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152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30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10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39</v>
      </c>
      <c r="C37" s="61">
        <f>C22-C36</f>
        <v>4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70</v>
      </c>
      <c r="C39" s="61">
        <f t="shared" ref="C39:E39" si="2">IF(K26=0,C21/2-C22,C21/2-C22-C30)</f>
        <v>2.5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139</v>
      </c>
      <c r="C43" s="61">
        <f>IF(K$27&lt;=1,C21/2,0)</f>
        <v>6.5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55.131999999999998</v>
      </c>
      <c r="C49" s="75">
        <f>SUM(C50:C61)</f>
        <v>23.149999999999995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42.56</v>
      </c>
      <c r="C50" s="61">
        <f>C17*K50</f>
        <v>16.149999999999999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1.9320000000000004</v>
      </c>
      <c r="C51" s="61">
        <f t="shared" ref="C51:C61" si="4">C22*K51</f>
        <v>1.4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9.66</v>
      </c>
      <c r="C52" s="61">
        <f t="shared" si="4"/>
        <v>2.4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3.2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0.98000000000000009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11.4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11.97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15884</v>
      </c>
      <c r="C72" s="61">
        <f t="shared" ref="C72:E76" si="8">C$17*K72</f>
        <v>5454.9000000000005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52.25</v>
      </c>
      <c r="K72" s="76">
        <f>HLOOKUP(K$17,[1]Anx!$C$50:$CO$85,$I72)</f>
        <v>287.10000000000002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9819.1999999999989</v>
      </c>
      <c r="C73" s="61">
        <f t="shared" si="8"/>
        <v>2325.6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32.299999999999997</v>
      </c>
      <c r="K73" s="76">
        <f>HLOOKUP(K$17,[1]Anx!$C$50:$CO$85,$I73)</f>
        <v>122.4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2888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9.5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7265.7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105.3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36" activePane="bottomLeft" state="frozen"/>
      <selection pane="bottomLeft" activeCell="L55" sqref="L55:T5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21"/>
      <c r="AA1" t="s">
        <v>176</v>
      </c>
      <c r="AK1" t="s">
        <v>1428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1429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89">
        <f>Troupeau!J17</f>
        <v>4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264.3478260869565</v>
      </c>
      <c r="C15" s="60">
        <f>CdTrp1!AM2*Troupeau!$B$17/CdTrp1!$AI$2</f>
        <v>261.70434782608697</v>
      </c>
      <c r="D15" s="60">
        <f>CdTrp1!AN2*Troupeau!$B$17/CdTrp1!$AI$2</f>
        <v>259.06086956521739</v>
      </c>
      <c r="E15" s="60">
        <f>CdTrp1!AO2*Troupeau!$B$17/CdTrp1!$AI$2</f>
        <v>257.73913043478262</v>
      </c>
      <c r="F15" s="60">
        <f>CdTrp1!AP2*Troupeau!$B$17/CdTrp1!$AI$2</f>
        <v>256.4173913043478</v>
      </c>
      <c r="G15" s="60">
        <f>CdTrp1!AQ2*Troupeau!$B$17/CdTrp1!$AI$2</f>
        <v>255.09565217391304</v>
      </c>
      <c r="H15" s="60">
        <f>CdTrp1!AR2*Troupeau!$B$17/CdTrp1!$AI$2</f>
        <v>253.77391304347827</v>
      </c>
      <c r="I15" s="60">
        <f>CdTrp1!AS2*Troupeau!$B$17/CdTrp1!$AI$2</f>
        <v>252.45217391304348</v>
      </c>
      <c r="J15" s="60">
        <f>CdTrp1!AT2*Troupeau!$B$17/CdTrp1!$AI$2</f>
        <v>249.80869565217392</v>
      </c>
      <c r="K15" s="60">
        <f>CdTrp1!AU2*Troupeau!$B$17/CdTrp1!$AI$2</f>
        <v>255.09565217391304</v>
      </c>
      <c r="L15" s="60">
        <f>CdTrp1!AV2*Troupeau!$B$17/CdTrp1!$AI$2</f>
        <v>255.09565217391304</v>
      </c>
      <c r="M15" s="60">
        <f>CdTrp1!AW2*Troupeau!$B$17/CdTrp1!$AI$2</f>
        <v>255.09565217391304</v>
      </c>
      <c r="N15" s="60">
        <f>CdTrp1!AX2*Troupeau!$B$17/CdTrp1!$AI$2</f>
        <v>255.09565217391304</v>
      </c>
      <c r="O15" s="60">
        <f>CdTrp1!AY2*Troupeau!$B$17/CdTrp1!$AI$2</f>
        <v>255.09565217391304</v>
      </c>
      <c r="P15" s="60">
        <f>CdTrp1!AZ2*Troupeau!$B$17/CdTrp1!$AI$2</f>
        <v>255.09565217391304</v>
      </c>
      <c r="Q15" s="60">
        <f>CdTrp1!BA2*Troupeau!$B$17/CdTrp1!$AI$2</f>
        <v>255.09565217391304</v>
      </c>
      <c r="R15" s="60">
        <f>CdTrp1!BB2*Troupeau!$B$17/CdTrp1!$AI$2</f>
        <v>255.09565217391304</v>
      </c>
      <c r="S15" s="60">
        <f>CdTrp1!BC2*Troupeau!$B$17/CdTrp1!$AI$2</f>
        <v>255.09565217391304</v>
      </c>
      <c r="T15" s="60">
        <f>CdTrp1!BD2*Troupeau!$B$17/CdTrp1!$AI$2</f>
        <v>255.09565217391304</v>
      </c>
      <c r="U15" s="60">
        <f>CdTrp1!BE2*Troupeau!$B$17/CdTrp1!$AI$2</f>
        <v>278.88695652173914</v>
      </c>
      <c r="V15" s="60">
        <f>CdTrp1!BF2*Troupeau!$B$17/CdTrp1!$AI$2</f>
        <v>278.88695652173914</v>
      </c>
      <c r="W15" s="60">
        <f>CdTrp1!BG2*Troupeau!$B$17/CdTrp1!$AI$2</f>
        <v>264.3478260869565</v>
      </c>
      <c r="X15" s="60">
        <f>CdTrp1!BH2*Troupeau!$B$17/CdTrp1!$AI$2</f>
        <v>264.3478260869565</v>
      </c>
      <c r="Y15" s="60">
        <f>CdTrp1!BI2*Troupeau!$B$17/CdTrp1!$AI$2</f>
        <v>264.3478260869565</v>
      </c>
      <c r="Z15" s="52"/>
    </row>
    <row r="16" spans="1:61" x14ac:dyDescent="0.25">
      <c r="A16" s="50" t="s">
        <v>439</v>
      </c>
      <c r="B16" s="60">
        <f>CdTrp1!AL3*Troupeau!$B$17/CdTrp1!$AI$2</f>
        <v>25.11304347826087</v>
      </c>
      <c r="C16" s="60">
        <f>CdTrp1!AM3*Troupeau!$B$17/CdTrp1!$AI$2</f>
        <v>25.11304347826087</v>
      </c>
      <c r="D16" s="60">
        <f>CdTrp1!AN3*Troupeau!$B$17/CdTrp1!$AI$2</f>
        <v>25.11304347826087</v>
      </c>
      <c r="E16" s="60">
        <f>CdTrp1!AO3*Troupeau!$B$17/CdTrp1!$AI$2</f>
        <v>25.11304347826087</v>
      </c>
      <c r="F16" s="60">
        <f>CdTrp1!AP3*Troupeau!$B$17/CdTrp1!$AI$2</f>
        <v>25.11304347826087</v>
      </c>
      <c r="G16" s="60">
        <f>CdTrp1!AQ3*Troupeau!$B$17/CdTrp1!$AI$2</f>
        <v>25.11304347826087</v>
      </c>
      <c r="H16" s="60">
        <f>CdTrp1!AR3*Troupeau!$B$17/CdTrp1!$AI$2</f>
        <v>25.11304347826087</v>
      </c>
      <c r="I16" s="60">
        <f>CdTrp1!AS3*Troupeau!$B$17/CdTrp1!$AI$2</f>
        <v>25.11304347826087</v>
      </c>
      <c r="J16" s="60">
        <f>CdTrp1!AT3*Troupeau!$B$17/CdTrp1!$AI$2</f>
        <v>25.11304347826087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25.11304347826087</v>
      </c>
      <c r="V16" s="60">
        <f>CdTrp1!BF3*Troupeau!$B$17/CdTrp1!$AI$2</f>
        <v>25.11304347826087</v>
      </c>
      <c r="W16" s="60">
        <f>CdTrp1!BG3*Troupeau!$B$17/CdTrp1!$AI$2</f>
        <v>25.11304347826087</v>
      </c>
      <c r="X16" s="60">
        <f>CdTrp1!BH3*Troupeau!$B$17/CdTrp1!$AI$2</f>
        <v>25.11304347826087</v>
      </c>
      <c r="Y16" s="60">
        <f>CdTrp1!BI3*Troupeau!$B$17/CdTrp1!$AI$2</f>
        <v>25.11304347826087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68.730434782608697</v>
      </c>
      <c r="C17" s="60">
        <f>CdTrp1!AM4*Troupeau!$B$17/CdTrp1!$AI$2</f>
        <v>68.730434782608697</v>
      </c>
      <c r="D17" s="60">
        <f>CdTrp1!AN4*Troupeau!$B$17/CdTrp1!$AI$2</f>
        <v>68.730434782608697</v>
      </c>
      <c r="E17" s="60">
        <f>CdTrp1!AO4*Troupeau!$B$17/CdTrp1!$AI$2</f>
        <v>68.730434782608697</v>
      </c>
      <c r="F17" s="60">
        <f>CdTrp1!AP4*Troupeau!$B$17/CdTrp1!$AI$2</f>
        <v>68.730434782608697</v>
      </c>
      <c r="G17" s="60">
        <f>CdTrp1!AQ4*Troupeau!$B$17/CdTrp1!$AI$2</f>
        <v>68.730434782608697</v>
      </c>
      <c r="H17" s="60">
        <f>CdTrp1!AR4*Troupeau!$B$17/CdTrp1!$AI$2</f>
        <v>68.730434782608697</v>
      </c>
      <c r="I17" s="60">
        <f>CdTrp1!AS4*Troupeau!$B$17/CdTrp1!$AI$2</f>
        <v>68.730434782608697</v>
      </c>
      <c r="J17" s="60">
        <f>CdTrp1!AT4*Troupeau!$B$17/CdTrp1!$AI$2</f>
        <v>68.730434782608697</v>
      </c>
      <c r="K17" s="60">
        <f>CdTrp1!AU4*Troupeau!$B$17/CdTrp1!$AI$2</f>
        <v>68.730434782608697</v>
      </c>
      <c r="L17" s="60">
        <f>CdTrp1!AV4*Troupeau!$B$17/CdTrp1!$AI$2</f>
        <v>68.730434782608697</v>
      </c>
      <c r="M17" s="60">
        <f>CdTrp1!AW4*Troupeau!$B$17/CdTrp1!$AI$2</f>
        <v>68.730434782608697</v>
      </c>
      <c r="N17" s="60">
        <f>CdTrp1!AX4*Troupeau!$B$17/CdTrp1!$AI$2</f>
        <v>68.730434782608697</v>
      </c>
      <c r="O17" s="60">
        <f>CdTrp1!AY4*Troupeau!$B$17/CdTrp1!$AI$2</f>
        <v>68.730434782608697</v>
      </c>
      <c r="P17" s="60">
        <f>CdTrp1!AZ4*Troupeau!$B$17/CdTrp1!$AI$2</f>
        <v>68.730434782608697</v>
      </c>
      <c r="Q17" s="60">
        <f>CdTrp1!BA4*Troupeau!$B$17/CdTrp1!$AI$2</f>
        <v>68.730434782608697</v>
      </c>
      <c r="R17" s="60">
        <f>CdTrp1!BB4*Troupeau!$B$17/CdTrp1!$AI$2</f>
        <v>68.730434782608697</v>
      </c>
      <c r="S17" s="60">
        <f>CdTrp1!BC4*Troupeau!$B$17/CdTrp1!$AI$2</f>
        <v>68.730434782608697</v>
      </c>
      <c r="T17" s="60">
        <f>CdTrp1!BD4*Troupeau!$B$17/CdTrp1!$AI$2</f>
        <v>68.730434782608697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68.730434782608697</v>
      </c>
      <c r="X17" s="60">
        <f>CdTrp1!BH4*Troupeau!$B$17/CdTrp1!$AI$2</f>
        <v>68.730434782608697</v>
      </c>
      <c r="Y17" s="60">
        <f>CdTrp1!BI4*Troupeau!$B$17/CdTrp1!$AI$2</f>
        <v>68.730434782608697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7.9304347826086961</v>
      </c>
      <c r="C18" s="60">
        <f>CdTrp1!AM5*Troupeau!$B$17/CdTrp1!$AI$2</f>
        <v>7.9304347826086961</v>
      </c>
      <c r="D18" s="60">
        <f>CdTrp1!AN5*Troupeau!$B$17/CdTrp1!$AI$2</f>
        <v>7.9304347826086961</v>
      </c>
      <c r="E18" s="60">
        <f>CdTrp1!AO5*Troupeau!$B$17/CdTrp1!$AI$2</f>
        <v>7.9304347826086961</v>
      </c>
      <c r="F18" s="60">
        <f>CdTrp1!AP5*Troupeau!$B$17/CdTrp1!$AI$2</f>
        <v>7.9304347826086961</v>
      </c>
      <c r="G18" s="60">
        <f>CdTrp1!AQ5*Troupeau!$B$17/CdTrp1!$AI$2</f>
        <v>7.9304347826086961</v>
      </c>
      <c r="H18" s="60">
        <f>CdTrp1!AR5*Troupeau!$B$17/CdTrp1!$AI$2</f>
        <v>7.9304347826086961</v>
      </c>
      <c r="I18" s="60">
        <f>CdTrp1!AS5*Troupeau!$B$17/CdTrp1!$AI$2</f>
        <v>7.9304347826086961</v>
      </c>
      <c r="J18" s="60">
        <f>CdTrp1!AT5*Troupeau!$B$17/CdTrp1!$AI$2</f>
        <v>7.9304347826086961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7.9304347826086961</v>
      </c>
      <c r="V18" s="60">
        <f>CdTrp1!BF5*Troupeau!$B$17/CdTrp1!$AI$2</f>
        <v>7.9304347826086961</v>
      </c>
      <c r="W18" s="60">
        <f>CdTrp1!BG5*Troupeau!$B$17/CdTrp1!$AI$2</f>
        <v>7.9304347826086961</v>
      </c>
      <c r="X18" s="60">
        <f>CdTrp1!BH5*Troupeau!$B$17/CdTrp1!$AI$2</f>
        <v>7.9304347826086961</v>
      </c>
      <c r="Y18" s="60">
        <f>CdTrp1!BI5*Troupeau!$B$17/CdTrp1!$AI$2</f>
        <v>7.9304347826086961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15884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15.9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9819.1999999999989</v>
      </c>
      <c r="AK19" s="54">
        <f t="shared" ref="AK19:AK52" si="4">IF($AH19=AK$17,ROUND($AI19/1000,1),0)</f>
        <v>9.8000000000000007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2888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2.9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7265.7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7.3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3"/>
        <v>0</v>
      </c>
      <c r="AI24" s="129">
        <f>Troupeau!B78</f>
        <v>0</v>
      </c>
      <c r="AK24" s="54">
        <f t="shared" si="4"/>
        <v>0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37.008695652173913</v>
      </c>
      <c r="C39" s="61">
        <f t="shared" ref="C39:Y48" si="12">C15*C27</f>
        <v>36.638608695652181</v>
      </c>
      <c r="D39" s="61">
        <f t="shared" si="12"/>
        <v>36.268521739130435</v>
      </c>
      <c r="E39" s="61">
        <f t="shared" si="12"/>
        <v>36.083478260869569</v>
      </c>
      <c r="F39" s="61">
        <f t="shared" si="12"/>
        <v>35.898434782608696</v>
      </c>
      <c r="G39" s="61">
        <f t="shared" si="12"/>
        <v>35.71339130434783</v>
      </c>
      <c r="H39" s="61">
        <f t="shared" si="12"/>
        <v>35.528347826086964</v>
      </c>
      <c r="I39" s="61">
        <f t="shared" si="12"/>
        <v>35.343304347826091</v>
      </c>
      <c r="J39" s="61">
        <f t="shared" si="12"/>
        <v>34.973217391304352</v>
      </c>
      <c r="K39" s="61">
        <f t="shared" si="12"/>
        <v>35.71339130434783</v>
      </c>
      <c r="L39" s="61">
        <f t="shared" si="12"/>
        <v>35.71339130434783</v>
      </c>
      <c r="M39" s="61">
        <f t="shared" si="12"/>
        <v>35.71339130434783</v>
      </c>
      <c r="N39" s="61">
        <f t="shared" si="12"/>
        <v>35.71339130434783</v>
      </c>
      <c r="O39" s="61">
        <f t="shared" si="12"/>
        <v>35.71339130434783</v>
      </c>
      <c r="P39" s="61">
        <f t="shared" si="12"/>
        <v>35.71339130434783</v>
      </c>
      <c r="Q39" s="61">
        <f t="shared" si="12"/>
        <v>35.71339130434783</v>
      </c>
      <c r="R39" s="61">
        <f t="shared" si="12"/>
        <v>35.71339130434783</v>
      </c>
      <c r="S39" s="61">
        <f t="shared" si="12"/>
        <v>35.71339130434783</v>
      </c>
      <c r="T39" s="61">
        <f t="shared" si="12"/>
        <v>35.71339130434783</v>
      </c>
      <c r="U39" s="61">
        <f t="shared" si="12"/>
        <v>39.04417391304348</v>
      </c>
      <c r="V39" s="61">
        <f t="shared" si="12"/>
        <v>39.04417391304348</v>
      </c>
      <c r="W39" s="61">
        <f t="shared" si="12"/>
        <v>37.008695652173913</v>
      </c>
      <c r="X39" s="61">
        <f t="shared" si="12"/>
        <v>37.008695652173913</v>
      </c>
      <c r="Y39" s="61">
        <f t="shared" si="12"/>
        <v>37.008695652173913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3.5158260869565221</v>
      </c>
      <c r="C40" s="61">
        <f t="shared" si="13"/>
        <v>3.5158260869565221</v>
      </c>
      <c r="D40" s="61">
        <f t="shared" si="13"/>
        <v>3.5158260869565221</v>
      </c>
      <c r="E40" s="61">
        <f t="shared" si="13"/>
        <v>3.5158260869565221</v>
      </c>
      <c r="F40" s="61">
        <f t="shared" si="13"/>
        <v>3.5158260869565221</v>
      </c>
      <c r="G40" s="61">
        <f t="shared" si="13"/>
        <v>3.5158260869565221</v>
      </c>
      <c r="H40" s="61">
        <f t="shared" si="13"/>
        <v>3.5158260869565221</v>
      </c>
      <c r="I40" s="61">
        <f t="shared" si="13"/>
        <v>3.5158260869565221</v>
      </c>
      <c r="J40" s="61">
        <f t="shared" si="13"/>
        <v>3.5158260869565221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3.5158260869565221</v>
      </c>
      <c r="V40" s="61">
        <f t="shared" si="12"/>
        <v>3.5158260869565221</v>
      </c>
      <c r="W40" s="61">
        <f t="shared" si="12"/>
        <v>3.5158260869565221</v>
      </c>
      <c r="X40" s="61">
        <f t="shared" si="12"/>
        <v>3.5158260869565221</v>
      </c>
      <c r="Y40" s="61">
        <f t="shared" si="12"/>
        <v>3.5158260869565221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1.9244521739130436</v>
      </c>
      <c r="C41" s="61">
        <f t="shared" si="12"/>
        <v>1.9244521739130436</v>
      </c>
      <c r="D41" s="61">
        <f t="shared" si="12"/>
        <v>1.9244521739130436</v>
      </c>
      <c r="E41" s="61">
        <f t="shared" si="12"/>
        <v>1.9244521739130436</v>
      </c>
      <c r="F41" s="61">
        <f t="shared" si="12"/>
        <v>1.9244521739130436</v>
      </c>
      <c r="G41" s="61">
        <f t="shared" si="12"/>
        <v>1.9244521739130436</v>
      </c>
      <c r="H41" s="61">
        <f t="shared" si="12"/>
        <v>1.9244521739130436</v>
      </c>
      <c r="I41" s="61">
        <f t="shared" si="12"/>
        <v>1.9244521739130436</v>
      </c>
      <c r="J41" s="61">
        <f t="shared" si="12"/>
        <v>4.8111304347826094</v>
      </c>
      <c r="K41" s="61">
        <f t="shared" si="12"/>
        <v>4.8111304347826094</v>
      </c>
      <c r="L41" s="61">
        <f t="shared" si="12"/>
        <v>4.8111304347826094</v>
      </c>
      <c r="M41" s="61">
        <f t="shared" si="12"/>
        <v>4.8111304347826094</v>
      </c>
      <c r="N41" s="61">
        <f t="shared" si="12"/>
        <v>4.8111304347826094</v>
      </c>
      <c r="O41" s="61">
        <f t="shared" si="12"/>
        <v>4.8111304347826094</v>
      </c>
      <c r="P41" s="61">
        <f t="shared" si="12"/>
        <v>4.8111304347826094</v>
      </c>
      <c r="Q41" s="61">
        <f t="shared" si="12"/>
        <v>4.8111304347826094</v>
      </c>
      <c r="R41" s="61">
        <f t="shared" si="12"/>
        <v>4.8111304347826094</v>
      </c>
      <c r="S41" s="61">
        <f t="shared" si="12"/>
        <v>4.8111304347826094</v>
      </c>
      <c r="T41" s="61">
        <f t="shared" si="12"/>
        <v>4.8111304347826094</v>
      </c>
      <c r="U41" s="61">
        <f t="shared" si="12"/>
        <v>0</v>
      </c>
      <c r="V41" s="61">
        <f t="shared" si="12"/>
        <v>0</v>
      </c>
      <c r="W41" s="61">
        <f t="shared" si="12"/>
        <v>1.9244521739130436</v>
      </c>
      <c r="X41" s="61">
        <f t="shared" si="12"/>
        <v>1.9244521739130436</v>
      </c>
      <c r="Y41" s="61">
        <f t="shared" si="12"/>
        <v>1.9244521739130436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1.1102608695652176</v>
      </c>
      <c r="C42" s="61">
        <f t="shared" si="12"/>
        <v>1.1102608695652176</v>
      </c>
      <c r="D42" s="61">
        <f t="shared" si="12"/>
        <v>1.1102608695652176</v>
      </c>
      <c r="E42" s="61">
        <f t="shared" si="12"/>
        <v>1.1102608695652176</v>
      </c>
      <c r="F42" s="61">
        <f t="shared" si="12"/>
        <v>1.1102608695652176</v>
      </c>
      <c r="G42" s="61">
        <f t="shared" si="12"/>
        <v>1.1102608695652176</v>
      </c>
      <c r="H42" s="61">
        <f t="shared" si="12"/>
        <v>1.1102608695652176</v>
      </c>
      <c r="I42" s="61">
        <f t="shared" si="12"/>
        <v>1.1102608695652176</v>
      </c>
      <c r="J42" s="61">
        <f t="shared" si="12"/>
        <v>1.1102608695652176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1.1102608695652176</v>
      </c>
      <c r="V42" s="61">
        <f t="shared" si="12"/>
        <v>1.1102608695652176</v>
      </c>
      <c r="W42" s="61">
        <f t="shared" si="12"/>
        <v>1.1102608695652176</v>
      </c>
      <c r="X42" s="61">
        <f t="shared" si="12"/>
        <v>1.1102608695652176</v>
      </c>
      <c r="Y42" s="61">
        <f t="shared" si="12"/>
        <v>1.1102608695652176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43.559234782608698</v>
      </c>
      <c r="C49" s="62">
        <f t="shared" si="14"/>
        <v>43.189147826086966</v>
      </c>
      <c r="D49" s="62">
        <f t="shared" si="14"/>
        <v>42.81906086956522</v>
      </c>
      <c r="E49" s="62">
        <f t="shared" si="14"/>
        <v>42.634017391304354</v>
      </c>
      <c r="F49" s="62">
        <f t="shared" si="14"/>
        <v>42.448973913043481</v>
      </c>
      <c r="G49" s="62">
        <f t="shared" si="14"/>
        <v>42.263930434782615</v>
      </c>
      <c r="H49" s="62">
        <f t="shared" si="14"/>
        <v>42.07888695652175</v>
      </c>
      <c r="I49" s="62">
        <f t="shared" si="14"/>
        <v>41.893843478260877</v>
      </c>
      <c r="J49" s="62">
        <f t="shared" si="14"/>
        <v>44.410434782608704</v>
      </c>
      <c r="K49" s="62">
        <f t="shared" si="14"/>
        <v>40.524521739130442</v>
      </c>
      <c r="L49" s="62">
        <f t="shared" si="14"/>
        <v>40.524521739130442</v>
      </c>
      <c r="M49" s="62">
        <f t="shared" si="14"/>
        <v>40.524521739130442</v>
      </c>
      <c r="N49" s="62">
        <f t="shared" si="14"/>
        <v>40.524521739130442</v>
      </c>
      <c r="O49" s="62">
        <f t="shared" si="14"/>
        <v>40.524521739130442</v>
      </c>
      <c r="P49" s="62">
        <f t="shared" si="14"/>
        <v>40.524521739130442</v>
      </c>
      <c r="Q49" s="62">
        <f t="shared" si="14"/>
        <v>40.524521739130442</v>
      </c>
      <c r="R49" s="62">
        <f t="shared" si="14"/>
        <v>40.524521739130442</v>
      </c>
      <c r="S49" s="62">
        <f t="shared" si="14"/>
        <v>40.524521739130442</v>
      </c>
      <c r="T49" s="62">
        <f t="shared" si="14"/>
        <v>40.524521739130442</v>
      </c>
      <c r="U49" s="62">
        <f t="shared" si="14"/>
        <v>43.670260869565219</v>
      </c>
      <c r="V49" s="62">
        <f t="shared" si="14"/>
        <v>43.670260869565219</v>
      </c>
      <c r="W49" s="62">
        <f t="shared" si="14"/>
        <v>43.559234782608698</v>
      </c>
      <c r="X49" s="62">
        <f t="shared" si="14"/>
        <v>43.559234782608698</v>
      </c>
      <c r="Y49" s="62">
        <f t="shared" si="14"/>
        <v>43.559234782608698</v>
      </c>
      <c r="Z49" s="23"/>
      <c r="AA49" s="46">
        <f>AVERAGE(B49:Y49)</f>
        <v>42.023373913043486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60">
        <v>0.5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3</v>
      </c>
      <c r="V54" s="60">
        <v>3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9.8000000000000007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15.9</v>
      </c>
      <c r="AV54" s="84">
        <f t="shared" si="17"/>
        <v>0</v>
      </c>
      <c r="AW54" s="84">
        <f t="shared" si="17"/>
        <v>2.9</v>
      </c>
      <c r="AX54" s="84">
        <f t="shared" si="17"/>
        <v>7.3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3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0</v>
      </c>
      <c r="V55" s="60">
        <v>0</v>
      </c>
      <c r="W55" s="60">
        <v>0</v>
      </c>
      <c r="X55" s="60">
        <v>0</v>
      </c>
      <c r="Y55" s="60">
        <v>0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34.758000000000003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573.63478260869567</v>
      </c>
      <c r="C63" s="61">
        <f t="shared" si="18"/>
        <v>567.89843478260877</v>
      </c>
      <c r="D63" s="61">
        <f t="shared" si="18"/>
        <v>507.75930434782606</v>
      </c>
      <c r="E63" s="61">
        <f t="shared" si="18"/>
        <v>252.58434782608697</v>
      </c>
      <c r="F63" s="61">
        <f t="shared" si="18"/>
        <v>278.21286956521737</v>
      </c>
      <c r="G63" s="61">
        <f t="shared" si="18"/>
        <v>276.77878260869568</v>
      </c>
      <c r="H63" s="61">
        <f t="shared" si="18"/>
        <v>266.46260869565225</v>
      </c>
      <c r="I63" s="61">
        <f t="shared" si="18"/>
        <v>265.07478260869567</v>
      </c>
      <c r="J63" s="61">
        <f t="shared" si="18"/>
        <v>271.04243478260872</v>
      </c>
      <c r="K63" s="61">
        <f t="shared" si="18"/>
        <v>276.77878260869568</v>
      </c>
      <c r="L63" s="61">
        <f t="shared" si="18"/>
        <v>267.85043478260872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276.77878260869568</v>
      </c>
      <c r="U63" s="61">
        <f t="shared" si="18"/>
        <v>302.59234782608695</v>
      </c>
      <c r="V63" s="61">
        <f t="shared" si="18"/>
        <v>585.66260869565224</v>
      </c>
      <c r="W63" s="61">
        <f t="shared" si="18"/>
        <v>555.13043478260875</v>
      </c>
      <c r="X63" s="61">
        <f t="shared" si="18"/>
        <v>573.63478260869567</v>
      </c>
      <c r="Y63" s="61">
        <f t="shared" si="18"/>
        <v>573.63478260869567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27.247652173913046</v>
      </c>
      <c r="C64" s="61">
        <f t="shared" si="19"/>
        <v>27.247652173913046</v>
      </c>
      <c r="D64" s="61">
        <f t="shared" si="19"/>
        <v>24.610782608695654</v>
      </c>
      <c r="E64" s="61">
        <f t="shared" si="19"/>
        <v>24.610782608695654</v>
      </c>
      <c r="F64" s="61">
        <f t="shared" si="19"/>
        <v>27.247652173913046</v>
      </c>
      <c r="G64" s="61">
        <f t="shared" si="19"/>
        <v>27.247652173913046</v>
      </c>
      <c r="H64" s="61">
        <f t="shared" si="19"/>
        <v>26.368695652173916</v>
      </c>
      <c r="I64" s="61">
        <f t="shared" si="19"/>
        <v>26.368695652173916</v>
      </c>
      <c r="J64" s="61">
        <f t="shared" si="19"/>
        <v>27.247652173913046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27.247652173913046</v>
      </c>
      <c r="V64" s="61">
        <f t="shared" si="19"/>
        <v>26.368695652173916</v>
      </c>
      <c r="W64" s="61">
        <f t="shared" si="19"/>
        <v>26.368695652173916</v>
      </c>
      <c r="X64" s="61">
        <f t="shared" si="19"/>
        <v>27.247652173913046</v>
      </c>
      <c r="Y64" s="61">
        <f t="shared" si="19"/>
        <v>27.247652173913046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29.829008695652174</v>
      </c>
      <c r="C65" s="61">
        <f t="shared" si="20"/>
        <v>29.829008695652174</v>
      </c>
      <c r="D65" s="61">
        <f t="shared" si="20"/>
        <v>26.942330434782612</v>
      </c>
      <c r="E65" s="61">
        <f t="shared" si="20"/>
        <v>26.942330434782612</v>
      </c>
      <c r="F65" s="61">
        <f t="shared" si="20"/>
        <v>29.829008695652174</v>
      </c>
      <c r="G65" s="61">
        <f t="shared" si="20"/>
        <v>14.914504347826087</v>
      </c>
      <c r="H65" s="61">
        <f t="shared" si="20"/>
        <v>14.433391304347827</v>
      </c>
      <c r="I65" s="61">
        <f t="shared" si="20"/>
        <v>14.433391304347827</v>
      </c>
      <c r="J65" s="61">
        <f t="shared" si="20"/>
        <v>37.286260869565226</v>
      </c>
      <c r="K65" s="61">
        <f t="shared" si="20"/>
        <v>37.286260869565226</v>
      </c>
      <c r="L65" s="61">
        <f t="shared" si="20"/>
        <v>36.083478260869569</v>
      </c>
      <c r="M65" s="61">
        <f t="shared" si="20"/>
        <v>36.083478260869569</v>
      </c>
      <c r="N65" s="61">
        <f t="shared" si="20"/>
        <v>37.286260869565226</v>
      </c>
      <c r="O65" s="61">
        <f t="shared" si="20"/>
        <v>37.286260869565226</v>
      </c>
      <c r="P65" s="61">
        <f t="shared" si="20"/>
        <v>37.286260869565226</v>
      </c>
      <c r="Q65" s="61">
        <f t="shared" si="20"/>
        <v>37.286260869565226</v>
      </c>
      <c r="R65" s="61">
        <f t="shared" si="20"/>
        <v>36.083478260869569</v>
      </c>
      <c r="S65" s="61">
        <f t="shared" si="20"/>
        <v>36.083478260869569</v>
      </c>
      <c r="T65" s="61">
        <f t="shared" si="20"/>
        <v>37.286260869565226</v>
      </c>
      <c r="U65" s="61">
        <f t="shared" si="20"/>
        <v>0</v>
      </c>
      <c r="V65" s="61">
        <f t="shared" si="20"/>
        <v>0</v>
      </c>
      <c r="W65" s="61">
        <f t="shared" si="20"/>
        <v>28.866782608695654</v>
      </c>
      <c r="X65" s="61">
        <f t="shared" si="20"/>
        <v>29.829008695652174</v>
      </c>
      <c r="Y65" s="61">
        <f t="shared" si="20"/>
        <v>29.829008695652174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0</v>
      </c>
      <c r="C66" s="61">
        <f t="shared" si="21"/>
        <v>0</v>
      </c>
      <c r="D66" s="61">
        <f t="shared" si="21"/>
        <v>0</v>
      </c>
      <c r="E66" s="61">
        <f t="shared" si="21"/>
        <v>0</v>
      </c>
      <c r="F66" s="61">
        <f t="shared" si="21"/>
        <v>0</v>
      </c>
      <c r="G66" s="61">
        <f t="shared" si="21"/>
        <v>0</v>
      </c>
      <c r="H66" s="61">
        <f t="shared" si="21"/>
        <v>0</v>
      </c>
      <c r="I66" s="61">
        <f t="shared" si="21"/>
        <v>0</v>
      </c>
      <c r="J66" s="61">
        <f t="shared" si="21"/>
        <v>0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0</v>
      </c>
      <c r="V66" s="61">
        <f t="shared" si="21"/>
        <v>0</v>
      </c>
      <c r="W66" s="61">
        <f t="shared" si="21"/>
        <v>0</v>
      </c>
      <c r="X66" s="61">
        <f t="shared" si="21"/>
        <v>0</v>
      </c>
      <c r="Y66" s="61">
        <f t="shared" si="21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631</v>
      </c>
      <c r="C73" s="64">
        <f t="shared" ref="C73:Y73" si="28">ROUND(SUM(C63:C72),0)</f>
        <v>625</v>
      </c>
      <c r="D73" s="64">
        <f t="shared" si="28"/>
        <v>559</v>
      </c>
      <c r="E73" s="64">
        <f t="shared" si="28"/>
        <v>304</v>
      </c>
      <c r="F73" s="64">
        <f t="shared" si="28"/>
        <v>335</v>
      </c>
      <c r="G73" s="64">
        <f t="shared" si="28"/>
        <v>319</v>
      </c>
      <c r="H73" s="64">
        <f t="shared" si="28"/>
        <v>307</v>
      </c>
      <c r="I73" s="64">
        <f t="shared" si="28"/>
        <v>306</v>
      </c>
      <c r="J73" s="64">
        <f t="shared" si="28"/>
        <v>336</v>
      </c>
      <c r="K73" s="64">
        <f t="shared" si="28"/>
        <v>314</v>
      </c>
      <c r="L73" s="64">
        <f t="shared" si="28"/>
        <v>304</v>
      </c>
      <c r="M73" s="64">
        <f t="shared" si="28"/>
        <v>36</v>
      </c>
      <c r="N73" s="64">
        <f t="shared" si="28"/>
        <v>37</v>
      </c>
      <c r="O73" s="64">
        <f t="shared" si="28"/>
        <v>37</v>
      </c>
      <c r="P73" s="64">
        <f t="shared" si="28"/>
        <v>37</v>
      </c>
      <c r="Q73" s="64">
        <f t="shared" si="28"/>
        <v>37</v>
      </c>
      <c r="R73" s="64">
        <f t="shared" si="28"/>
        <v>36</v>
      </c>
      <c r="S73" s="64">
        <f t="shared" si="28"/>
        <v>36</v>
      </c>
      <c r="T73" s="64">
        <f t="shared" si="28"/>
        <v>314</v>
      </c>
      <c r="U73" s="64">
        <f t="shared" si="28"/>
        <v>330</v>
      </c>
      <c r="V73" s="64">
        <f t="shared" si="28"/>
        <v>612</v>
      </c>
      <c r="W73" s="64">
        <f t="shared" si="28"/>
        <v>610</v>
      </c>
      <c r="X73" s="64">
        <f t="shared" si="28"/>
        <v>631</v>
      </c>
      <c r="Y73" s="64">
        <f t="shared" si="28"/>
        <v>631</v>
      </c>
      <c r="Z73" s="52"/>
      <c r="AA73" s="56">
        <f>ROUND(SUM(B73:Y73),0)</f>
        <v>7724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2</v>
      </c>
      <c r="C77" s="60">
        <v>2</v>
      </c>
      <c r="D77" s="60">
        <v>2</v>
      </c>
      <c r="E77" s="60">
        <v>2</v>
      </c>
      <c r="F77" s="60">
        <v>3</v>
      </c>
      <c r="G77" s="60">
        <v>3</v>
      </c>
      <c r="H77" s="60">
        <v>3</v>
      </c>
      <c r="I77" s="60">
        <v>3</v>
      </c>
      <c r="J77" s="60">
        <v>3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3</v>
      </c>
      <c r="V77" s="60">
        <v>3</v>
      </c>
      <c r="W77" s="60">
        <v>3</v>
      </c>
      <c r="X77" s="60">
        <v>3</v>
      </c>
      <c r="Y77" s="60">
        <v>2</v>
      </c>
      <c r="AB77" t="s">
        <v>447</v>
      </c>
      <c r="AC77">
        <f>COUNTIF($B$76:$Y$85,"&gt;0")/2</f>
        <v>31</v>
      </c>
      <c r="AG77" s="5"/>
    </row>
    <row r="78" spans="1:33" x14ac:dyDescent="0.25">
      <c r="A78" s="128" t="str">
        <f>A$17</f>
        <v>agnelles</v>
      </c>
      <c r="B78" s="60"/>
      <c r="C78" s="60"/>
      <c r="D78" s="60">
        <v>1</v>
      </c>
      <c r="E78" s="60">
        <v>1</v>
      </c>
      <c r="F78" s="60">
        <v>1</v>
      </c>
      <c r="G78" s="60">
        <v>1</v>
      </c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14</v>
      </c>
      <c r="AG78" s="5"/>
    </row>
    <row r="79" spans="1:33" x14ac:dyDescent="0.25">
      <c r="A79" s="127" t="str">
        <f>A$18</f>
        <v>beliers</v>
      </c>
      <c r="B79" s="60">
        <v>2</v>
      </c>
      <c r="C79" s="60">
        <v>2</v>
      </c>
      <c r="D79" s="60">
        <v>2</v>
      </c>
      <c r="E79" s="60">
        <v>2</v>
      </c>
      <c r="F79" s="60">
        <v>2</v>
      </c>
      <c r="G79" s="60">
        <v>2</v>
      </c>
      <c r="H79" s="60">
        <v>2</v>
      </c>
      <c r="I79" s="60">
        <v>2</v>
      </c>
      <c r="J79" s="60">
        <v>1</v>
      </c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>
        <v>2</v>
      </c>
      <c r="V79" s="60">
        <v>2</v>
      </c>
      <c r="W79" s="60">
        <v>2</v>
      </c>
      <c r="X79" s="60">
        <v>2</v>
      </c>
      <c r="Y79" s="60">
        <v>2</v>
      </c>
      <c r="AB79" s="142">
        <v>2</v>
      </c>
      <c r="AC79">
        <f t="shared" ref="AC79:AC81" si="29">COUNTIF($B$76:$Y$85,AB79)/2</f>
        <v>9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4.5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9.2871471304347839</v>
      </c>
      <c r="C110" s="61">
        <f t="shared" si="40"/>
        <v>9.1942756591304367</v>
      </c>
      <c r="D110" s="61">
        <f t="shared" si="40"/>
        <v>8.2206231373913052</v>
      </c>
      <c r="E110" s="61">
        <f t="shared" si="40"/>
        <v>8.1786811826086971</v>
      </c>
      <c r="F110" s="61">
        <f t="shared" si="40"/>
        <v>9.0085327165217386</v>
      </c>
      <c r="G110" s="61">
        <f t="shared" si="40"/>
        <v>8.9620969808695659</v>
      </c>
      <c r="H110" s="61">
        <f t="shared" si="40"/>
        <v>8.6280592695652221</v>
      </c>
      <c r="I110" s="61">
        <f t="shared" si="40"/>
        <v>8.5831214608695667</v>
      </c>
      <c r="J110" s="61">
        <f t="shared" si="40"/>
        <v>8.7763540382608713</v>
      </c>
      <c r="K110" s="61">
        <f t="shared" si="40"/>
        <v>5.5743246817391308</v>
      </c>
      <c r="L110" s="61">
        <f t="shared" si="40"/>
        <v>5.3945077565217394</v>
      </c>
      <c r="M110" s="61">
        <f t="shared" si="40"/>
        <v>5.3945077565217394</v>
      </c>
      <c r="N110" s="61">
        <f t="shared" si="40"/>
        <v>5.5743246817391308</v>
      </c>
      <c r="O110" s="61">
        <f t="shared" si="40"/>
        <v>5.5743246817391308</v>
      </c>
      <c r="P110" s="61">
        <f t="shared" si="40"/>
        <v>5.5743246817391308</v>
      </c>
      <c r="Q110" s="61">
        <f t="shared" si="40"/>
        <v>5.5743246817391308</v>
      </c>
      <c r="R110" s="61">
        <f t="shared" si="40"/>
        <v>5.3945077565217394</v>
      </c>
      <c r="S110" s="61">
        <f t="shared" si="40"/>
        <v>5.3945077565217394</v>
      </c>
      <c r="T110" s="61">
        <f t="shared" si="40"/>
        <v>4.3786403408695662</v>
      </c>
      <c r="U110" s="61">
        <f t="shared" si="40"/>
        <v>8.6541411478260866</v>
      </c>
      <c r="V110" s="61">
        <f t="shared" si="40"/>
        <v>8.3749753043478261</v>
      </c>
      <c r="W110" s="61">
        <f t="shared" si="40"/>
        <v>8.9875617391304363</v>
      </c>
      <c r="X110" s="61">
        <f t="shared" si="40"/>
        <v>9.2871471304347839</v>
      </c>
      <c r="Y110" s="61">
        <f t="shared" si="40"/>
        <v>9.2871471304347839</v>
      </c>
    </row>
    <row r="111" spans="1:33" x14ac:dyDescent="0.25">
      <c r="A111" s="128" t="str">
        <f>A$16</f>
        <v>vides</v>
      </c>
      <c r="B111" s="61">
        <f t="shared" ref="B111:Y111" si="41">(B40*B$3*B100)/1000</f>
        <v>0.70843895652173916</v>
      </c>
      <c r="C111" s="61">
        <f t="shared" si="41"/>
        <v>0.70843895652173916</v>
      </c>
      <c r="D111" s="61">
        <f t="shared" si="41"/>
        <v>0.63988034782608705</v>
      </c>
      <c r="E111" s="61">
        <f t="shared" si="41"/>
        <v>0.63988034782608705</v>
      </c>
      <c r="F111" s="61">
        <f t="shared" si="41"/>
        <v>0.70843895652173916</v>
      </c>
      <c r="G111" s="61">
        <f t="shared" si="41"/>
        <v>0.70843895652173916</v>
      </c>
      <c r="H111" s="61">
        <f t="shared" si="41"/>
        <v>0.6855860869565219</v>
      </c>
      <c r="I111" s="61">
        <f t="shared" si="41"/>
        <v>0.6855860869565219</v>
      </c>
      <c r="J111" s="61">
        <f t="shared" si="41"/>
        <v>0.70843895652173916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0.70843895652173916</v>
      </c>
      <c r="V111" s="61">
        <f t="shared" si="41"/>
        <v>0.6855860869565219</v>
      </c>
      <c r="W111" s="61">
        <f t="shared" si="41"/>
        <v>0.6855860869565219</v>
      </c>
      <c r="X111" s="61">
        <f t="shared" si="41"/>
        <v>0.70843895652173916</v>
      </c>
      <c r="Y111" s="61">
        <f t="shared" si="41"/>
        <v>0.70843895652173916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0.38777711304347828</v>
      </c>
      <c r="C112" s="61">
        <f t="shared" si="42"/>
        <v>0.38777711304347828</v>
      </c>
      <c r="D112" s="61">
        <f t="shared" si="42"/>
        <v>0.35025029565217397</v>
      </c>
      <c r="E112" s="61">
        <f t="shared" si="42"/>
        <v>0.35025029565217397</v>
      </c>
      <c r="F112" s="61">
        <f t="shared" si="42"/>
        <v>0.38777711304347828</v>
      </c>
      <c r="G112" s="61">
        <f t="shared" si="42"/>
        <v>0.38777711304347828</v>
      </c>
      <c r="H112" s="61">
        <f t="shared" si="42"/>
        <v>0.37526817391304346</v>
      </c>
      <c r="I112" s="61">
        <f t="shared" si="42"/>
        <v>0.37526817391304346</v>
      </c>
      <c r="J112" s="61">
        <f t="shared" si="42"/>
        <v>0.96944278260869587</v>
      </c>
      <c r="K112" s="61">
        <f t="shared" si="42"/>
        <v>0.96944278260869587</v>
      </c>
      <c r="L112" s="61">
        <f t="shared" si="42"/>
        <v>0.93817043478260886</v>
      </c>
      <c r="M112" s="61">
        <f t="shared" si="42"/>
        <v>0.93817043478260886</v>
      </c>
      <c r="N112" s="61">
        <f t="shared" si="42"/>
        <v>0.96944278260869587</v>
      </c>
      <c r="O112" s="61">
        <f t="shared" si="42"/>
        <v>0.96944278260869587</v>
      </c>
      <c r="P112" s="61">
        <f t="shared" si="42"/>
        <v>0.96944278260869587</v>
      </c>
      <c r="Q112" s="61">
        <f t="shared" si="42"/>
        <v>0.96944278260869587</v>
      </c>
      <c r="R112" s="61">
        <f t="shared" si="42"/>
        <v>0.93817043478260886</v>
      </c>
      <c r="S112" s="61">
        <f t="shared" si="42"/>
        <v>0.93817043478260886</v>
      </c>
      <c r="T112" s="61">
        <f t="shared" si="42"/>
        <v>0.96944278260869587</v>
      </c>
      <c r="U112" s="61">
        <f t="shared" si="42"/>
        <v>0</v>
      </c>
      <c r="V112" s="61">
        <f t="shared" si="42"/>
        <v>0</v>
      </c>
      <c r="W112" s="61">
        <f t="shared" si="42"/>
        <v>0.37526817391304346</v>
      </c>
      <c r="X112" s="61">
        <f t="shared" si="42"/>
        <v>0.38777711304347828</v>
      </c>
      <c r="Y112" s="61">
        <f t="shared" si="42"/>
        <v>0.38777711304347828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0.22371756521739136</v>
      </c>
      <c r="C113" s="61">
        <f t="shared" si="43"/>
        <v>0.22371756521739136</v>
      </c>
      <c r="D113" s="61">
        <f t="shared" si="43"/>
        <v>0.20206747826086963</v>
      </c>
      <c r="E113" s="61">
        <f t="shared" si="43"/>
        <v>0.20206747826086963</v>
      </c>
      <c r="F113" s="61">
        <f t="shared" si="43"/>
        <v>0.22371756521739136</v>
      </c>
      <c r="G113" s="61">
        <f t="shared" si="43"/>
        <v>0.22371756521739136</v>
      </c>
      <c r="H113" s="61">
        <f t="shared" si="43"/>
        <v>0.21650086956521744</v>
      </c>
      <c r="I113" s="61">
        <f t="shared" si="43"/>
        <v>0.21650086956521744</v>
      </c>
      <c r="J113" s="61">
        <f t="shared" si="43"/>
        <v>0.22371756521739136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0.22371756521739136</v>
      </c>
      <c r="V113" s="61">
        <f t="shared" si="43"/>
        <v>0.21650086956521744</v>
      </c>
      <c r="W113" s="61">
        <f t="shared" si="43"/>
        <v>0.21650086956521744</v>
      </c>
      <c r="X113" s="61">
        <f t="shared" si="43"/>
        <v>0.22371756521739136</v>
      </c>
      <c r="Y113" s="61">
        <f t="shared" si="43"/>
        <v>0.22371756521739136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10.7</v>
      </c>
      <c r="C120" s="61">
        <f t="shared" ref="C120:Y120" si="50">SUM(C110:C119)</f>
        <v>10.514209293913046</v>
      </c>
      <c r="D120" s="61">
        <f t="shared" si="50"/>
        <v>9.4128212591304372</v>
      </c>
      <c r="E120" s="61">
        <f t="shared" si="50"/>
        <v>9.3708793043478291</v>
      </c>
      <c r="F120" s="61">
        <f t="shared" si="50"/>
        <v>10.328466351304348</v>
      </c>
      <c r="G120" s="61">
        <f t="shared" si="50"/>
        <v>10.282030615652175</v>
      </c>
      <c r="H120" s="61">
        <f t="shared" si="50"/>
        <v>9.9054144000000068</v>
      </c>
      <c r="I120" s="61">
        <f t="shared" si="50"/>
        <v>9.8604765913043515</v>
      </c>
      <c r="J120" s="61">
        <f t="shared" si="50"/>
        <v>10.677953342608697</v>
      </c>
      <c r="K120" s="61">
        <f t="shared" si="50"/>
        <v>6.5437674643478267</v>
      </c>
      <c r="L120" s="61">
        <f t="shared" si="50"/>
        <v>6.3326781913043479</v>
      </c>
      <c r="M120" s="61">
        <f t="shared" si="50"/>
        <v>6.3326781913043479</v>
      </c>
      <c r="N120" s="61">
        <f t="shared" si="50"/>
        <v>6.5437674643478267</v>
      </c>
      <c r="O120" s="61">
        <f t="shared" si="50"/>
        <v>6.5437674643478267</v>
      </c>
      <c r="P120" s="61">
        <f t="shared" si="50"/>
        <v>6.5437674643478267</v>
      </c>
      <c r="Q120" s="61">
        <f t="shared" si="50"/>
        <v>6.5437674643478267</v>
      </c>
      <c r="R120" s="61">
        <f t="shared" si="50"/>
        <v>6.3326781913043479</v>
      </c>
      <c r="S120" s="61">
        <f t="shared" si="50"/>
        <v>6.3326781913043479</v>
      </c>
      <c r="T120" s="61">
        <f t="shared" si="50"/>
        <v>5.3480831234782622</v>
      </c>
      <c r="U120" s="61">
        <f t="shared" si="50"/>
        <v>9.5862976695652176</v>
      </c>
      <c r="V120" s="61">
        <f t="shared" si="50"/>
        <v>9.2770622608695668</v>
      </c>
      <c r="W120" s="61">
        <f t="shared" si="50"/>
        <v>10.264916869565221</v>
      </c>
      <c r="X120" s="61">
        <f t="shared" si="50"/>
        <v>10.607080765217393</v>
      </c>
      <c r="Y120" s="61">
        <f t="shared" si="50"/>
        <v>10.607080765217393</v>
      </c>
      <c r="AA120" s="57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0.33</v>
      </c>
      <c r="U123" s="156">
        <v>0.33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0.33</v>
      </c>
      <c r="U125" s="60">
        <v>0.33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beliers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0.5</v>
      </c>
      <c r="K126" s="60">
        <v>0.5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>
        <v>1</v>
      </c>
      <c r="V126" s="60">
        <v>1</v>
      </c>
      <c r="W126" s="60">
        <v>1</v>
      </c>
      <c r="X126" s="60">
        <v>1</v>
      </c>
      <c r="Y126" s="60">
        <v>1</v>
      </c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9.2871471304347839</v>
      </c>
      <c r="C136" s="61">
        <f t="shared" ref="C136:Y136" si="51">C110*(1-C123)</f>
        <v>9.1942756591304367</v>
      </c>
      <c r="D136" s="61">
        <f t="shared" si="51"/>
        <v>8.2206231373913052</v>
      </c>
      <c r="E136" s="61">
        <f t="shared" si="51"/>
        <v>8.1786811826086971</v>
      </c>
      <c r="F136" s="61">
        <f t="shared" si="51"/>
        <v>9.0085327165217386</v>
      </c>
      <c r="G136" s="61">
        <f t="shared" si="51"/>
        <v>3.5848387923478264</v>
      </c>
      <c r="H136" s="61">
        <f t="shared" si="51"/>
        <v>3.451223707826089</v>
      </c>
      <c r="I136" s="61">
        <f t="shared" si="51"/>
        <v>3.4332485843478269</v>
      </c>
      <c r="J136" s="61">
        <f t="shared" si="51"/>
        <v>3.5105416153043487</v>
      </c>
      <c r="K136" s="61">
        <f t="shared" si="51"/>
        <v>1.1148649363478258</v>
      </c>
      <c r="L136" s="61">
        <f t="shared" si="51"/>
        <v>1.0789015513043476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2.9336890283826089</v>
      </c>
      <c r="U136" s="61">
        <f t="shared" si="51"/>
        <v>5.7982745690434774</v>
      </c>
      <c r="V136" s="61">
        <f t="shared" si="51"/>
        <v>8.3749753043478261</v>
      </c>
      <c r="W136" s="61">
        <f t="shared" si="51"/>
        <v>8.9875617391304363</v>
      </c>
      <c r="X136" s="61">
        <f t="shared" si="51"/>
        <v>9.2871471304347839</v>
      </c>
      <c r="Y136" s="61">
        <f t="shared" si="51"/>
        <v>9.2871471304347839</v>
      </c>
      <c r="AA136" s="61">
        <f>SUM(B136:Y136)</f>
        <v>104.73167391533917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0.38777711304347828</v>
      </c>
      <c r="C138" s="61">
        <f t="shared" si="52"/>
        <v>0.38777711304347828</v>
      </c>
      <c r="D138" s="61">
        <f t="shared" si="52"/>
        <v>0</v>
      </c>
      <c r="E138" s="61">
        <f t="shared" si="52"/>
        <v>0</v>
      </c>
      <c r="F138" s="61">
        <f t="shared" si="52"/>
        <v>0</v>
      </c>
      <c r="G138" s="61">
        <f t="shared" si="52"/>
        <v>0</v>
      </c>
      <c r="H138" s="61">
        <f t="shared" si="52"/>
        <v>0</v>
      </c>
      <c r="I138" s="61">
        <f t="shared" si="52"/>
        <v>0</v>
      </c>
      <c r="J138" s="61">
        <f t="shared" si="52"/>
        <v>0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0.64952666434782613</v>
      </c>
      <c r="U138" s="61">
        <f t="shared" si="52"/>
        <v>0</v>
      </c>
      <c r="V138" s="61">
        <f t="shared" si="52"/>
        <v>0</v>
      </c>
      <c r="W138" s="61">
        <f t="shared" si="52"/>
        <v>0.37526817391304346</v>
      </c>
      <c r="X138" s="61">
        <f t="shared" si="52"/>
        <v>0.38777711304347828</v>
      </c>
      <c r="Y138" s="61">
        <f t="shared" si="52"/>
        <v>0.38777711304347828</v>
      </c>
      <c r="AA138" s="61">
        <f t="shared" ref="AA138:AA144" si="53">SUM(B138:Y138)</f>
        <v>2.5759032904347827</v>
      </c>
    </row>
    <row r="139" spans="1:31" x14ac:dyDescent="0.25">
      <c r="A139" s="127" t="str">
        <f>A$18</f>
        <v>beliers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0.11185878260869568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0.11185878260869568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107.41943598838265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118.16137958722092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5.3772581885217399</v>
      </c>
      <c r="H149" s="61">
        <f t="shared" si="55"/>
        <v>5.1768355617391331</v>
      </c>
      <c r="I149" s="61">
        <f t="shared" si="55"/>
        <v>5.1498728765217399</v>
      </c>
      <c r="J149" s="61">
        <f t="shared" si="55"/>
        <v>5.2658124229565226</v>
      </c>
      <c r="K149" s="61">
        <f t="shared" si="55"/>
        <v>4.459459745391305</v>
      </c>
      <c r="L149" s="61">
        <f t="shared" si="55"/>
        <v>4.3156062052173922</v>
      </c>
      <c r="M149" s="61">
        <f t="shared" si="55"/>
        <v>5.3945077565217394</v>
      </c>
      <c r="N149" s="61">
        <f t="shared" si="55"/>
        <v>5.5743246817391308</v>
      </c>
      <c r="O149" s="61">
        <f t="shared" si="55"/>
        <v>5.5743246817391308</v>
      </c>
      <c r="P149" s="61">
        <f t="shared" si="55"/>
        <v>5.5743246817391308</v>
      </c>
      <c r="Q149" s="61">
        <f t="shared" si="55"/>
        <v>5.5743246817391308</v>
      </c>
      <c r="R149" s="61">
        <f t="shared" si="55"/>
        <v>5.3945077565217394</v>
      </c>
      <c r="S149" s="61">
        <f t="shared" si="55"/>
        <v>5.3945077565217394</v>
      </c>
      <c r="T149" s="61">
        <f t="shared" si="55"/>
        <v>1.4449513124869573</v>
      </c>
      <c r="U149" s="61">
        <f t="shared" si="55"/>
        <v>2.8558665787826092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0.70843895652173916</v>
      </c>
      <c r="C150" s="61">
        <f t="shared" si="56"/>
        <v>0.70843895652173916</v>
      </c>
      <c r="D150" s="61">
        <f t="shared" si="56"/>
        <v>0.63988034782608705</v>
      </c>
      <c r="E150" s="61">
        <f t="shared" si="56"/>
        <v>0.63988034782608705</v>
      </c>
      <c r="F150" s="61">
        <f t="shared" si="56"/>
        <v>0.70843895652173916</v>
      </c>
      <c r="G150" s="61">
        <f t="shared" si="56"/>
        <v>0.70843895652173916</v>
      </c>
      <c r="H150" s="61">
        <f t="shared" si="56"/>
        <v>0.6855860869565219</v>
      </c>
      <c r="I150" s="61">
        <f t="shared" si="56"/>
        <v>0.6855860869565219</v>
      </c>
      <c r="J150" s="61">
        <f t="shared" si="56"/>
        <v>0.70843895652173916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0.70843895652173916</v>
      </c>
      <c r="V150" s="61">
        <f t="shared" si="56"/>
        <v>0.6855860869565219</v>
      </c>
      <c r="W150" s="61">
        <f t="shared" si="56"/>
        <v>0.6855860869565219</v>
      </c>
      <c r="X150" s="61">
        <f t="shared" si="56"/>
        <v>0.70843895652173916</v>
      </c>
      <c r="Y150" s="61">
        <f t="shared" si="56"/>
        <v>0.70843895652173916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0.35025029565217397</v>
      </c>
      <c r="E151" s="61">
        <f t="shared" si="57"/>
        <v>0.35025029565217397</v>
      </c>
      <c r="F151" s="61">
        <f t="shared" si="57"/>
        <v>0.38777711304347828</v>
      </c>
      <c r="G151" s="61">
        <f t="shared" si="57"/>
        <v>0.38777711304347828</v>
      </c>
      <c r="H151" s="61">
        <f t="shared" si="57"/>
        <v>0.37526817391304346</v>
      </c>
      <c r="I151" s="61">
        <f t="shared" si="57"/>
        <v>0.37526817391304346</v>
      </c>
      <c r="J151" s="61">
        <f t="shared" si="57"/>
        <v>0.96944278260869587</v>
      </c>
      <c r="K151" s="61">
        <f t="shared" si="57"/>
        <v>0.96944278260869587</v>
      </c>
      <c r="L151" s="61">
        <f t="shared" si="57"/>
        <v>0.93817043478260886</v>
      </c>
      <c r="M151" s="61">
        <f t="shared" si="57"/>
        <v>0.93817043478260886</v>
      </c>
      <c r="N151" s="61">
        <f t="shared" si="57"/>
        <v>0.96944278260869587</v>
      </c>
      <c r="O151" s="61">
        <f t="shared" si="57"/>
        <v>0.96944278260869587</v>
      </c>
      <c r="P151" s="61">
        <f t="shared" si="57"/>
        <v>0.96944278260869587</v>
      </c>
      <c r="Q151" s="61">
        <f t="shared" si="57"/>
        <v>0.96944278260869587</v>
      </c>
      <c r="R151" s="61">
        <f t="shared" si="57"/>
        <v>0.93817043478260886</v>
      </c>
      <c r="S151" s="61">
        <f t="shared" si="57"/>
        <v>0.93817043478260886</v>
      </c>
      <c r="T151" s="61">
        <f t="shared" si="57"/>
        <v>0.31991611826086974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0.22371756521739136</v>
      </c>
      <c r="C152" s="61">
        <f t="shared" si="58"/>
        <v>0.22371756521739136</v>
      </c>
      <c r="D152" s="61">
        <f t="shared" si="58"/>
        <v>0.20206747826086963</v>
      </c>
      <c r="E152" s="61">
        <f t="shared" si="58"/>
        <v>0.20206747826086963</v>
      </c>
      <c r="F152" s="61">
        <f t="shared" si="58"/>
        <v>0.22371756521739136</v>
      </c>
      <c r="G152" s="61">
        <f t="shared" si="58"/>
        <v>0.22371756521739136</v>
      </c>
      <c r="H152" s="61">
        <f t="shared" si="58"/>
        <v>0.21650086956521744</v>
      </c>
      <c r="I152" s="61">
        <f t="shared" si="58"/>
        <v>0.21650086956521744</v>
      </c>
      <c r="J152" s="61">
        <f t="shared" si="58"/>
        <v>0.11185878260869568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0.22371756521739136</v>
      </c>
      <c r="V152" s="61">
        <f t="shared" si="58"/>
        <v>0.21650086956521744</v>
      </c>
      <c r="W152" s="61">
        <f t="shared" si="58"/>
        <v>0.21650086956521744</v>
      </c>
      <c r="X152" s="61">
        <f t="shared" si="58"/>
        <v>0.22371756521739136</v>
      </c>
      <c r="Y152" s="61">
        <f t="shared" si="58"/>
        <v>0.22371756521739136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97.279967475965137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5.3772581885217399</v>
      </c>
      <c r="H162" s="61">
        <f t="shared" si="65"/>
        <v>5.1768355617391331</v>
      </c>
      <c r="I162" s="61">
        <f t="shared" si="65"/>
        <v>5.1498728765217399</v>
      </c>
      <c r="J162" s="61">
        <f t="shared" si="65"/>
        <v>5.2658124229565226</v>
      </c>
      <c r="K162" s="61">
        <f t="shared" si="65"/>
        <v>4.459459745391305</v>
      </c>
      <c r="L162" s="61">
        <f t="shared" si="65"/>
        <v>4.3156062052173922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1.4449513124869573</v>
      </c>
      <c r="U162" s="61">
        <f t="shared" si="65"/>
        <v>2.8558665787826092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0.35025029565217397</v>
      </c>
      <c r="E164" s="61">
        <f t="shared" si="67"/>
        <v>0.35025029565217397</v>
      </c>
      <c r="F164" s="61">
        <f t="shared" si="67"/>
        <v>0.38777711304347828</v>
      </c>
      <c r="G164" s="61">
        <f t="shared" si="67"/>
        <v>0.38777711304347828</v>
      </c>
      <c r="H164" s="61">
        <f t="shared" si="67"/>
        <v>0.37526817391304346</v>
      </c>
      <c r="I164" s="61">
        <f t="shared" si="67"/>
        <v>0.37526817391304346</v>
      </c>
      <c r="J164" s="61">
        <f t="shared" si="67"/>
        <v>0.96944278260869587</v>
      </c>
      <c r="K164" s="61">
        <f t="shared" si="67"/>
        <v>0.96944278260869587</v>
      </c>
      <c r="L164" s="61">
        <f t="shared" si="67"/>
        <v>0.93817043478260886</v>
      </c>
      <c r="M164" s="61">
        <f t="shared" si="67"/>
        <v>0.93817043478260886</v>
      </c>
      <c r="N164" s="61">
        <f t="shared" si="67"/>
        <v>0.96944278260869587</v>
      </c>
      <c r="O164" s="61">
        <f t="shared" si="67"/>
        <v>0.96944278260869587</v>
      </c>
      <c r="P164" s="61">
        <f t="shared" si="67"/>
        <v>0.96944278260869587</v>
      </c>
      <c r="Q164" s="61">
        <f t="shared" si="67"/>
        <v>0.96944278260869587</v>
      </c>
      <c r="R164" s="61">
        <f t="shared" si="67"/>
        <v>0.93817043478260886</v>
      </c>
      <c r="S164" s="61">
        <f t="shared" si="67"/>
        <v>0.93817043478260886</v>
      </c>
      <c r="T164" s="61">
        <f t="shared" si="67"/>
        <v>0.31991611826086974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0.11185878260869568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0.35025029565217397</v>
      </c>
      <c r="E172" s="61">
        <f t="shared" si="75"/>
        <v>0.35025029565217397</v>
      </c>
      <c r="F172" s="61">
        <f t="shared" si="75"/>
        <v>0.38777711304347828</v>
      </c>
      <c r="G172" s="61">
        <f t="shared" si="75"/>
        <v>5.7650353015652183</v>
      </c>
      <c r="H172" s="61">
        <f t="shared" si="75"/>
        <v>5.5521037356521763</v>
      </c>
      <c r="I172" s="61">
        <f t="shared" si="75"/>
        <v>5.5251410504347831</v>
      </c>
      <c r="J172" s="61">
        <f t="shared" si="75"/>
        <v>6.3471139881739145</v>
      </c>
      <c r="K172" s="61">
        <f t="shared" si="75"/>
        <v>5.4289025280000009</v>
      </c>
      <c r="L172" s="61">
        <f t="shared" si="75"/>
        <v>5.2537766400000008</v>
      </c>
      <c r="M172" s="61">
        <f t="shared" si="75"/>
        <v>0.93817043478260886</v>
      </c>
      <c r="N172" s="61">
        <f t="shared" si="75"/>
        <v>0.96944278260869587</v>
      </c>
      <c r="O172" s="61">
        <f t="shared" si="75"/>
        <v>0.96944278260869587</v>
      </c>
      <c r="P172" s="61">
        <f t="shared" si="75"/>
        <v>0.96944278260869587</v>
      </c>
      <c r="Q172" s="61">
        <f t="shared" si="75"/>
        <v>0.96944278260869587</v>
      </c>
      <c r="R172" s="61">
        <f t="shared" si="75"/>
        <v>0.93817043478260886</v>
      </c>
      <c r="S172" s="61">
        <f t="shared" si="75"/>
        <v>0.93817043478260886</v>
      </c>
      <c r="T172" s="61">
        <f t="shared" si="75"/>
        <v>1.7648674307478269</v>
      </c>
      <c r="U172" s="61">
        <f t="shared" si="75"/>
        <v>2.8558665787826092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46.273367392486954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0.70843895652173916</v>
      </c>
      <c r="C176" s="61">
        <f t="shared" si="77"/>
        <v>0.70843895652173916</v>
      </c>
      <c r="D176" s="61">
        <f t="shared" si="77"/>
        <v>0.63988034782608705</v>
      </c>
      <c r="E176" s="61">
        <f t="shared" si="77"/>
        <v>0.63988034782608705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0.70843895652173916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0.22371756521739136</v>
      </c>
      <c r="C178" s="61">
        <f t="shared" si="79"/>
        <v>0.22371756521739136</v>
      </c>
      <c r="D178" s="61">
        <f t="shared" si="79"/>
        <v>0.20206747826086963</v>
      </c>
      <c r="E178" s="61">
        <f t="shared" si="79"/>
        <v>0.20206747826086963</v>
      </c>
      <c r="F178" s="61">
        <f t="shared" si="79"/>
        <v>0.22371756521739136</v>
      </c>
      <c r="G178" s="61">
        <f t="shared" si="79"/>
        <v>0.22371756521739136</v>
      </c>
      <c r="H178" s="61">
        <f t="shared" si="79"/>
        <v>0.21650086956521744</v>
      </c>
      <c r="I178" s="61">
        <f t="shared" si="79"/>
        <v>0.21650086956521744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0.22371756521739136</v>
      </c>
      <c r="V178" s="61">
        <f t="shared" si="79"/>
        <v>0.21650086956521744</v>
      </c>
      <c r="W178" s="61">
        <f t="shared" si="79"/>
        <v>0.21650086956521744</v>
      </c>
      <c r="X178" s="61">
        <f t="shared" si="79"/>
        <v>0.22371756521739136</v>
      </c>
      <c r="Y178" s="61">
        <f t="shared" si="79"/>
        <v>0.22371756521739136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0.93215652173913055</v>
      </c>
      <c r="C185" s="61">
        <f>SUM(CdTrp1!C175:C184)</f>
        <v>0.93215652173913055</v>
      </c>
      <c r="D185" s="61">
        <f>SUM(CdTrp1!D175:D184)</f>
        <v>0.84194782608695662</v>
      </c>
      <c r="E185" s="61">
        <f>SUM(CdTrp1!E175:E184)</f>
        <v>0.84194782608695662</v>
      </c>
      <c r="F185" s="61">
        <f>SUM(CdTrp1!F175:F184)</f>
        <v>0.22371756521739136</v>
      </c>
      <c r="G185" s="61">
        <f>SUM(CdTrp1!G175:G184)</f>
        <v>0.22371756521739136</v>
      </c>
      <c r="H185" s="61">
        <f>SUM(CdTrp1!H175:H184)</f>
        <v>0.21650086956521744</v>
      </c>
      <c r="I185" s="61">
        <f>SUM(CdTrp1!I175:I184)</f>
        <v>0.21650086956521744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0.22371756521739136</v>
      </c>
      <c r="V185" s="61">
        <f>SUM(CdTrp1!V175:V184)</f>
        <v>0.21650086956521744</v>
      </c>
      <c r="W185" s="61">
        <f>SUM(CdTrp1!W175:W184)</f>
        <v>0.21650086956521744</v>
      </c>
      <c r="X185" s="61">
        <f>SUM(CdTrp1!X175:X184)</f>
        <v>0.22371756521739136</v>
      </c>
      <c r="Y185" s="61">
        <f>SUM(CdTrp1!Y175:Y184)</f>
        <v>0.93215652173913055</v>
      </c>
      <c r="AA185" s="64">
        <f>SUM(B185:Y185)</f>
        <v>6.2412389565217392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0.70843895652173916</v>
      </c>
      <c r="G189" s="61">
        <f t="shared" si="87"/>
        <v>0.70843895652173916</v>
      </c>
      <c r="H189" s="61">
        <f t="shared" si="87"/>
        <v>0.6855860869565219</v>
      </c>
      <c r="I189" s="61">
        <f t="shared" si="87"/>
        <v>0.6855860869565219</v>
      </c>
      <c r="J189" s="61">
        <f t="shared" si="87"/>
        <v>0.70843895652173916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0.70843895652173916</v>
      </c>
      <c r="V189" s="61">
        <f t="shared" si="87"/>
        <v>0.6855860869565219</v>
      </c>
      <c r="W189" s="61">
        <f t="shared" si="87"/>
        <v>0.6855860869565219</v>
      </c>
      <c r="X189" s="61">
        <f t="shared" si="87"/>
        <v>0.70843895652173916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0.70843895652173916</v>
      </c>
      <c r="G198" s="61">
        <f t="shared" si="96"/>
        <v>0.70843895652173916</v>
      </c>
      <c r="H198" s="61">
        <f t="shared" si="96"/>
        <v>0.6855860869565219</v>
      </c>
      <c r="I198" s="61">
        <f t="shared" si="96"/>
        <v>0.6855860869565219</v>
      </c>
      <c r="J198" s="61">
        <f t="shared" si="96"/>
        <v>0.70843895652173916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0.70843895652173916</v>
      </c>
      <c r="V198" s="61">
        <f t="shared" si="96"/>
        <v>0.6855860869565219</v>
      </c>
      <c r="W198" s="61">
        <f t="shared" si="96"/>
        <v>0.6855860869565219</v>
      </c>
      <c r="X198" s="61">
        <f t="shared" si="96"/>
        <v>0.70843895652173916</v>
      </c>
      <c r="Y198" s="61">
        <f t="shared" si="96"/>
        <v>0</v>
      </c>
      <c r="AA198" s="64">
        <f>SUM(B198:Y198)</f>
        <v>6.2845391304347835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5.3945077565217394</v>
      </c>
      <c r="N201" s="61">
        <f t="shared" si="97"/>
        <v>5.5743246817391308</v>
      </c>
      <c r="O201" s="61">
        <f t="shared" si="97"/>
        <v>5.5743246817391308</v>
      </c>
      <c r="P201" s="61">
        <f t="shared" si="97"/>
        <v>5.5743246817391308</v>
      </c>
      <c r="Q201" s="61">
        <f t="shared" si="97"/>
        <v>5.5743246817391308</v>
      </c>
      <c r="R201" s="61">
        <f t="shared" si="97"/>
        <v>5.3945077565217394</v>
      </c>
      <c r="S201" s="61">
        <f t="shared" si="97"/>
        <v>5.3945077565217394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5.3945077565217394</v>
      </c>
      <c r="N211" s="61">
        <f t="shared" si="107"/>
        <v>5.5743246817391308</v>
      </c>
      <c r="O211" s="61">
        <f t="shared" si="107"/>
        <v>5.5743246817391308</v>
      </c>
      <c r="P211" s="61">
        <f t="shared" si="107"/>
        <v>5.5743246817391308</v>
      </c>
      <c r="Q211" s="61">
        <f t="shared" si="107"/>
        <v>5.5743246817391308</v>
      </c>
      <c r="R211" s="61">
        <f t="shared" si="107"/>
        <v>5.3945077565217394</v>
      </c>
      <c r="S211" s="61">
        <f t="shared" si="107"/>
        <v>5.3945077565217394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0.35025029565217397</v>
      </c>
      <c r="E215" s="61">
        <f t="shared" si="108"/>
        <v>0.35025029565217397</v>
      </c>
      <c r="F215" s="61">
        <f t="shared" si="108"/>
        <v>0.38777711304347828</v>
      </c>
      <c r="G215" s="61">
        <f t="shared" si="108"/>
        <v>5.7650353015652183</v>
      </c>
      <c r="H215" s="61">
        <f t="shared" si="108"/>
        <v>5.5521037356521763</v>
      </c>
      <c r="I215" s="61">
        <f t="shared" si="108"/>
        <v>5.5251410504347831</v>
      </c>
      <c r="J215" s="61">
        <f t="shared" si="108"/>
        <v>6.3471139881739145</v>
      </c>
      <c r="K215" s="61">
        <f t="shared" si="108"/>
        <v>5.4289025280000009</v>
      </c>
      <c r="L215" s="61">
        <f t="shared" si="108"/>
        <v>5.2537766400000008</v>
      </c>
      <c r="M215" s="61">
        <f t="shared" si="108"/>
        <v>0.93817043478260886</v>
      </c>
      <c r="N215" s="61">
        <f t="shared" si="108"/>
        <v>0.96944278260869587</v>
      </c>
      <c r="O215" s="61">
        <f t="shared" si="108"/>
        <v>0.96944278260869587</v>
      </c>
      <c r="P215" s="61">
        <f t="shared" si="108"/>
        <v>0.96944278260869587</v>
      </c>
      <c r="Q215" s="61">
        <f t="shared" si="108"/>
        <v>0.96944278260869587</v>
      </c>
      <c r="R215" s="61">
        <f t="shared" si="108"/>
        <v>0.93817043478260886</v>
      </c>
      <c r="S215" s="61">
        <f t="shared" si="108"/>
        <v>0.93817043478260886</v>
      </c>
      <c r="T215" s="61">
        <f t="shared" si="108"/>
        <v>1.7648674307478269</v>
      </c>
      <c r="U215" s="61">
        <f t="shared" si="108"/>
        <v>2.8558665787826092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0.93215652173913055</v>
      </c>
      <c r="C216" s="61">
        <f t="shared" ref="C216:Y216" si="109">C185</f>
        <v>0.93215652173913055</v>
      </c>
      <c r="D216" s="61">
        <f t="shared" si="109"/>
        <v>0.84194782608695662</v>
      </c>
      <c r="E216" s="61">
        <f t="shared" si="109"/>
        <v>0.84194782608695662</v>
      </c>
      <c r="F216" s="61">
        <f t="shared" si="109"/>
        <v>0.22371756521739136</v>
      </c>
      <c r="G216" s="61">
        <f t="shared" si="109"/>
        <v>0.22371756521739136</v>
      </c>
      <c r="H216" s="61">
        <f t="shared" si="109"/>
        <v>0.21650086956521744</v>
      </c>
      <c r="I216" s="61">
        <f t="shared" si="109"/>
        <v>0.21650086956521744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0.22371756521739136</v>
      </c>
      <c r="V216" s="61">
        <f t="shared" si="109"/>
        <v>0.21650086956521744</v>
      </c>
      <c r="W216" s="61">
        <f t="shared" si="109"/>
        <v>0.21650086956521744</v>
      </c>
      <c r="X216" s="61">
        <f t="shared" si="109"/>
        <v>0.22371756521739136</v>
      </c>
      <c r="Y216" s="61">
        <f t="shared" si="109"/>
        <v>0.93215652173913055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0.70843895652173916</v>
      </c>
      <c r="G217" s="61">
        <f t="shared" si="110"/>
        <v>0.70843895652173916</v>
      </c>
      <c r="H217" s="61">
        <f t="shared" si="110"/>
        <v>0.6855860869565219</v>
      </c>
      <c r="I217" s="61">
        <f t="shared" si="110"/>
        <v>0.6855860869565219</v>
      </c>
      <c r="J217" s="61">
        <f t="shared" si="110"/>
        <v>0.70843895652173916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0.70843895652173916</v>
      </c>
      <c r="V217" s="61">
        <f t="shared" si="110"/>
        <v>0.6855860869565219</v>
      </c>
      <c r="W217" s="61">
        <f t="shared" si="110"/>
        <v>0.6855860869565219</v>
      </c>
      <c r="X217" s="61">
        <f t="shared" si="110"/>
        <v>0.70843895652173916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5.3945077565217394</v>
      </c>
      <c r="N218" s="61">
        <f t="shared" si="111"/>
        <v>5.5743246817391308</v>
      </c>
      <c r="O218" s="61">
        <f t="shared" si="111"/>
        <v>5.5743246817391308</v>
      </c>
      <c r="P218" s="61">
        <f t="shared" si="111"/>
        <v>5.5743246817391308</v>
      </c>
      <c r="Q218" s="61">
        <f t="shared" si="111"/>
        <v>5.5743246817391308</v>
      </c>
      <c r="R218" s="61">
        <f t="shared" si="111"/>
        <v>5.3945077565217394</v>
      </c>
      <c r="S218" s="61">
        <f t="shared" si="111"/>
        <v>5.3945077565217394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97.279967475965179</v>
      </c>
      <c r="AB219" t="s">
        <v>222</v>
      </c>
    </row>
    <row r="220" spans="1:28" x14ac:dyDescent="0.25">
      <c r="AA220" s="30">
        <f>SUM(B215:Y217)</f>
        <v>58.799145479443467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8" activePane="bottomLeft" state="frozen"/>
      <selection pane="bottomLeft" activeCell="Y54" sqref="Y5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  <c r="AK1" t="s">
        <v>1428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1429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89">
        <f>Troupeau!K17</f>
        <v>5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12.453333333333333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14.44</v>
      </c>
      <c r="C15" s="162">
        <f>CdTrp2!AM2*Troupeau!$C$17/CdTrp2!$AI$2</f>
        <v>14.44</v>
      </c>
      <c r="D15" s="162">
        <f>CdTrp2!AN2*Troupeau!$C$17/CdTrp2!$AI$2</f>
        <v>14.44</v>
      </c>
      <c r="E15" s="162">
        <f>CdTrp2!AO2*Troupeau!$C$17/CdTrp2!$AI$2</f>
        <v>14.44</v>
      </c>
      <c r="F15" s="162">
        <f>CdTrp2!AP2*Troupeau!$C$17/CdTrp2!$AI$2</f>
        <v>14.44</v>
      </c>
      <c r="G15" s="162">
        <f>CdTrp2!AQ2*Troupeau!$C$17/CdTrp2!$AI$2</f>
        <v>14.44</v>
      </c>
      <c r="H15" s="162">
        <f>CdTrp2!AR2*Troupeau!$C$17/CdTrp2!$AI$2</f>
        <v>14.44</v>
      </c>
      <c r="I15" s="162">
        <f>CdTrp2!AS2*Troupeau!$C$17/CdTrp2!$AI$2</f>
        <v>14.44</v>
      </c>
      <c r="J15" s="162">
        <f>CdTrp2!AT2*Troupeau!$C$17/CdTrp2!$AI$2</f>
        <v>14.44</v>
      </c>
      <c r="K15" s="162">
        <f>CdTrp2!AU2*Troupeau!$C$17/CdTrp2!$AI$2</f>
        <v>14.44</v>
      </c>
      <c r="L15" s="162">
        <f>CdTrp2!AV2*Troupeau!$C$17/CdTrp2!$AI$2</f>
        <v>14.44</v>
      </c>
      <c r="M15" s="162">
        <f>CdTrp2!AW2*Troupeau!$C$17/CdTrp2!$AI$2</f>
        <v>14.44</v>
      </c>
      <c r="N15" s="162">
        <f>CdTrp2!AX2*Troupeau!$C$17/CdTrp2!$AI$2</f>
        <v>14.44</v>
      </c>
      <c r="O15" s="162">
        <f>CdTrp2!AY2*Troupeau!$C$17/CdTrp2!$AI$2</f>
        <v>14.44</v>
      </c>
      <c r="P15" s="162">
        <f>CdTrp2!AZ2*Troupeau!$C$17/CdTrp2!$AI$2</f>
        <v>14.44</v>
      </c>
      <c r="Q15" s="162">
        <f>CdTrp2!BA2*Troupeau!$C$17/CdTrp2!$AI$2</f>
        <v>14.44</v>
      </c>
      <c r="R15" s="162">
        <f>CdTrp2!BB2*Troupeau!$C$17/CdTrp2!$AI$2</f>
        <v>13.68</v>
      </c>
      <c r="S15" s="162">
        <f>CdTrp2!BC2*Troupeau!$C$17/CdTrp2!$AI$2</f>
        <v>13.68</v>
      </c>
      <c r="T15" s="162">
        <f>CdTrp2!BD2*Troupeau!$C$17/CdTrp2!$AI$2</f>
        <v>13.68</v>
      </c>
      <c r="U15" s="162">
        <f>CdTrp2!BE2*Troupeau!$C$17/CdTrp2!$AI$2</f>
        <v>13.68</v>
      </c>
      <c r="V15" s="162">
        <f>CdTrp2!BF2*Troupeau!$C$17/CdTrp2!$AI$2</f>
        <v>14.44</v>
      </c>
      <c r="W15" s="162">
        <f>CdTrp2!BG2*Troupeau!$C$17/CdTrp2!$AI$2</f>
        <v>14.44</v>
      </c>
      <c r="X15" s="162">
        <f>CdTrp2!BH2*Troupeau!$C$17/CdTrp2!$AI$2</f>
        <v>14.44</v>
      </c>
      <c r="Y15" s="162">
        <f>CdTrp2!BI2*Troupeau!$C$17/CdTrp2!$AI$2</f>
        <v>14.44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1.52</v>
      </c>
      <c r="H16" s="162">
        <f>CdTrp2!AR3*Troupeau!$C$17/CdTrp2!$AI$2</f>
        <v>3.04</v>
      </c>
      <c r="I16" s="162">
        <f>CdTrp2!AS3*Troupeau!$C$17/CdTrp2!$AI$2</f>
        <v>4.5599999999999996</v>
      </c>
      <c r="J16" s="162">
        <f>CdTrp2!AT3*Troupeau!$C$17/CdTrp2!$AI$2</f>
        <v>4.5599999999999996</v>
      </c>
      <c r="K16" s="162">
        <f>CdTrp2!AU3*Troupeau!$C$17/CdTrp2!$AI$2</f>
        <v>4.5599999999999996</v>
      </c>
      <c r="L16" s="162">
        <f>CdTrp2!AV3*Troupeau!$C$17/CdTrp2!$AI$2</f>
        <v>4.5599999999999996</v>
      </c>
      <c r="M16" s="162">
        <f>CdTrp2!AW3*Troupeau!$C$17/CdTrp2!$AI$2</f>
        <v>4.5599999999999996</v>
      </c>
      <c r="N16" s="162">
        <f>CdTrp2!AX3*Troupeau!$C$17/CdTrp2!$AI$2</f>
        <v>4.5599999999999996</v>
      </c>
      <c r="O16" s="162">
        <f>CdTrp2!AY3*Troupeau!$C$17/CdTrp2!$AI$2</f>
        <v>4.5599999999999996</v>
      </c>
      <c r="P16" s="162">
        <f>CdTrp2!AZ3*Troupeau!$C$17/CdTrp2!$AI$2</f>
        <v>4.5599999999999996</v>
      </c>
      <c r="Q16" s="162">
        <f>CdTrp2!BA3*Troupeau!$C$17/CdTrp2!$AI$2</f>
        <v>4.5599999999999996</v>
      </c>
      <c r="R16" s="162">
        <f>CdTrp2!BB3*Troupeau!$C$17/CdTrp2!$AI$2</f>
        <v>4.5599999999999996</v>
      </c>
      <c r="S16" s="162">
        <f>CdTrp2!BC3*Troupeau!$C$17/CdTrp2!$AI$2</f>
        <v>4.5599999999999996</v>
      </c>
      <c r="T16" s="162">
        <f>CdTrp2!BD3*Troupeau!$C$17/CdTrp2!$AI$2</f>
        <v>3.8</v>
      </c>
      <c r="U16" s="162">
        <f>CdTrp2!BE3*Troupeau!$C$17/CdTrp2!$AI$2</f>
        <v>3.8</v>
      </c>
      <c r="V16" s="162">
        <f>CdTrp2!BF3*Troupeau!$C$17/CdTrp2!$AI$2</f>
        <v>1.52</v>
      </c>
      <c r="W16" s="162">
        <f>CdTrp2!BG3*Troupeau!$C$17/CdTrp2!$AI$2</f>
        <v>0.76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9.1199999999999992</v>
      </c>
      <c r="C17" s="162">
        <f>CdTrp2!AM4*Troupeau!$C$17/CdTrp2!$AI$2</f>
        <v>9.1199999999999992</v>
      </c>
      <c r="D17" s="162">
        <f>CdTrp2!AN4*Troupeau!$C$17/CdTrp2!$AI$2</f>
        <v>9.1199999999999992</v>
      </c>
      <c r="E17" s="162">
        <f>CdTrp2!AO4*Troupeau!$C$17/CdTrp2!$AI$2</f>
        <v>9.1199999999999992</v>
      </c>
      <c r="F17" s="162">
        <f>CdTrp2!AP4*Troupeau!$C$17/CdTrp2!$AI$2</f>
        <v>9.1199999999999992</v>
      </c>
      <c r="G17" s="162">
        <f>CdTrp2!AQ4*Troupeau!$C$17/CdTrp2!$AI$2</f>
        <v>9.1199999999999992</v>
      </c>
      <c r="H17" s="162">
        <f>CdTrp2!AR4*Troupeau!$C$17/CdTrp2!$AI$2</f>
        <v>9.1199999999999992</v>
      </c>
      <c r="I17" s="162">
        <f>CdTrp2!AS4*Troupeau!$C$17/CdTrp2!$AI$2</f>
        <v>9.1199999999999992</v>
      </c>
      <c r="J17" s="162">
        <f>CdTrp2!AT4*Troupeau!$C$17/CdTrp2!$AI$2</f>
        <v>9.1199999999999992</v>
      </c>
      <c r="K17" s="162">
        <f>CdTrp2!AU4*Troupeau!$C$17/CdTrp2!$AI$2</f>
        <v>9.1199999999999992</v>
      </c>
      <c r="L17" s="162">
        <f>CdTrp2!AV4*Troupeau!$C$17/CdTrp2!$AI$2</f>
        <v>9.1199999999999992</v>
      </c>
      <c r="M17" s="162">
        <f>CdTrp2!AW4*Troupeau!$C$17/CdTrp2!$AI$2</f>
        <v>9.1199999999999992</v>
      </c>
      <c r="N17" s="162">
        <f>CdTrp2!AX4*Troupeau!$C$17/CdTrp2!$AI$2</f>
        <v>9.1199999999999992</v>
      </c>
      <c r="O17" s="162">
        <f>CdTrp2!AY4*Troupeau!$C$17/CdTrp2!$AI$2</f>
        <v>9.1199999999999992</v>
      </c>
      <c r="P17" s="162">
        <f>CdTrp2!AZ4*Troupeau!$C$17/CdTrp2!$AI$2</f>
        <v>9.1199999999999992</v>
      </c>
      <c r="Q17" s="162">
        <f>CdTrp2!BA4*Troupeau!$C$17/CdTrp2!$AI$2</f>
        <v>9.1199999999999992</v>
      </c>
      <c r="R17" s="162">
        <f>CdTrp2!BB4*Troupeau!$C$17/CdTrp2!$AI$2</f>
        <v>9.1199999999999992</v>
      </c>
      <c r="S17" s="162">
        <f>CdTrp2!BC4*Troupeau!$C$17/CdTrp2!$AI$2</f>
        <v>9.1199999999999992</v>
      </c>
      <c r="T17" s="162">
        <f>CdTrp2!BD4*Troupeau!$C$17/CdTrp2!$AI$2</f>
        <v>9.1199999999999992</v>
      </c>
      <c r="U17" s="162">
        <f>CdTrp2!BE4*Troupeau!$C$17/CdTrp2!$AI$2</f>
        <v>9.1199999999999992</v>
      </c>
      <c r="V17" s="162">
        <f>CdTrp2!BF4*Troupeau!$C$17/CdTrp2!$AI$2</f>
        <v>9.1199999999999992</v>
      </c>
      <c r="W17" s="162">
        <f>CdTrp2!BG4*Troupeau!$C$17/CdTrp2!$AI$2</f>
        <v>9.1199999999999992</v>
      </c>
      <c r="X17" s="162">
        <f>CdTrp2!BH4*Troupeau!$C$17/CdTrp2!$AI$2</f>
        <v>9.1199999999999992</v>
      </c>
      <c r="Y17" s="162">
        <f>CdTrp2!BI4*Troupeau!$C$17/CdTrp2!$AI$2</f>
        <v>9.1199999999999992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5454.9000000000005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5.5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2325.6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2.2999999999999998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13.920159999999999</v>
      </c>
      <c r="C39" s="61">
        <f t="shared" ref="C39:Y48" si="13">C15*C27</f>
        <v>13.862399999999999</v>
      </c>
      <c r="D39" s="61">
        <f t="shared" si="13"/>
        <v>13.862399999999999</v>
      </c>
      <c r="E39" s="61">
        <f t="shared" si="13"/>
        <v>13.862399999999999</v>
      </c>
      <c r="F39" s="61">
        <f t="shared" si="13"/>
        <v>13.862399999999999</v>
      </c>
      <c r="G39" s="61">
        <f t="shared" si="13"/>
        <v>13.05376</v>
      </c>
      <c r="H39" s="61">
        <f t="shared" si="13"/>
        <v>12.793839999999999</v>
      </c>
      <c r="I39" s="61">
        <f t="shared" si="13"/>
        <v>12.53392</v>
      </c>
      <c r="J39" s="61">
        <f t="shared" si="13"/>
        <v>12.273999999999999</v>
      </c>
      <c r="K39" s="61">
        <f t="shared" si="13"/>
        <v>12.273999999999999</v>
      </c>
      <c r="L39" s="61">
        <f t="shared" si="13"/>
        <v>12.273999999999999</v>
      </c>
      <c r="M39" s="61">
        <f t="shared" si="13"/>
        <v>12.273999999999999</v>
      </c>
      <c r="N39" s="61">
        <f t="shared" si="13"/>
        <v>12.273999999999999</v>
      </c>
      <c r="O39" s="61">
        <f t="shared" si="13"/>
        <v>12.273999999999999</v>
      </c>
      <c r="P39" s="61">
        <f t="shared" si="13"/>
        <v>12.273999999999999</v>
      </c>
      <c r="Q39" s="61">
        <f t="shared" si="13"/>
        <v>12.273999999999999</v>
      </c>
      <c r="R39" s="61">
        <f t="shared" si="13"/>
        <v>11.628</v>
      </c>
      <c r="S39" s="61">
        <f t="shared" si="13"/>
        <v>11.628</v>
      </c>
      <c r="T39" s="61">
        <f t="shared" si="13"/>
        <v>11.95632</v>
      </c>
      <c r="U39" s="61">
        <f t="shared" si="13"/>
        <v>12.284640000000001</v>
      </c>
      <c r="V39" s="61">
        <f t="shared" si="13"/>
        <v>13.313679999999998</v>
      </c>
      <c r="W39" s="61">
        <f t="shared" si="13"/>
        <v>13.573599999999999</v>
      </c>
      <c r="X39" s="61">
        <f t="shared" si="13"/>
        <v>13.833519999999998</v>
      </c>
      <c r="Y39" s="61">
        <f t="shared" si="13"/>
        <v>14.093439999999999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0.53199999999999992</v>
      </c>
      <c r="H40" s="61">
        <f t="shared" si="14"/>
        <v>1.0639999999999998</v>
      </c>
      <c r="I40" s="61">
        <f t="shared" si="14"/>
        <v>1.5959999999999999</v>
      </c>
      <c r="J40" s="61">
        <f t="shared" si="14"/>
        <v>1.5959999999999999</v>
      </c>
      <c r="K40" s="61">
        <f t="shared" si="14"/>
        <v>1.5959999999999999</v>
      </c>
      <c r="L40" s="61">
        <f t="shared" si="14"/>
        <v>1.5959999999999999</v>
      </c>
      <c r="M40" s="61">
        <f t="shared" si="14"/>
        <v>1.5959999999999999</v>
      </c>
      <c r="N40" s="61">
        <f t="shared" si="14"/>
        <v>1.5959999999999999</v>
      </c>
      <c r="O40" s="61">
        <f t="shared" si="14"/>
        <v>1.5959999999999999</v>
      </c>
      <c r="P40" s="61">
        <f t="shared" si="14"/>
        <v>1.5959999999999999</v>
      </c>
      <c r="Q40" s="61">
        <f t="shared" si="14"/>
        <v>1.5959999999999999</v>
      </c>
      <c r="R40" s="61">
        <f t="shared" si="13"/>
        <v>1.5959999999999999</v>
      </c>
      <c r="S40" s="61">
        <f t="shared" si="13"/>
        <v>1.5959999999999999</v>
      </c>
      <c r="T40" s="61">
        <f t="shared" si="13"/>
        <v>1.3299999999999998</v>
      </c>
      <c r="U40" s="61">
        <f t="shared" si="13"/>
        <v>1.3299999999999998</v>
      </c>
      <c r="V40" s="61">
        <f t="shared" si="13"/>
        <v>0.53199999999999992</v>
      </c>
      <c r="W40" s="61">
        <f t="shared" si="13"/>
        <v>0.26599999999999996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6.3839999999999995</v>
      </c>
      <c r="C41" s="61">
        <f t="shared" si="13"/>
        <v>6.3839999999999995</v>
      </c>
      <c r="D41" s="61">
        <f t="shared" si="13"/>
        <v>6.3839999999999995</v>
      </c>
      <c r="E41" s="61">
        <f t="shared" si="13"/>
        <v>6.3839999999999995</v>
      </c>
      <c r="F41" s="61">
        <f t="shared" si="13"/>
        <v>6.3839999999999995</v>
      </c>
      <c r="G41" s="61">
        <f t="shared" si="13"/>
        <v>6.3839999999999995</v>
      </c>
      <c r="H41" s="61">
        <f t="shared" si="13"/>
        <v>6.3839999999999995</v>
      </c>
      <c r="I41" s="61">
        <f t="shared" si="13"/>
        <v>6.3839999999999995</v>
      </c>
      <c r="J41" s="61">
        <f t="shared" si="13"/>
        <v>6.3839999999999995</v>
      </c>
      <c r="K41" s="61">
        <f t="shared" si="13"/>
        <v>6.3839999999999995</v>
      </c>
      <c r="L41" s="61">
        <f t="shared" si="13"/>
        <v>6.3839999999999995</v>
      </c>
      <c r="M41" s="61">
        <f t="shared" si="13"/>
        <v>6.3839999999999995</v>
      </c>
      <c r="N41" s="61">
        <f t="shared" si="13"/>
        <v>6.3839999999999995</v>
      </c>
      <c r="O41" s="61">
        <f t="shared" si="13"/>
        <v>6.3839999999999995</v>
      </c>
      <c r="P41" s="61">
        <f t="shared" si="13"/>
        <v>6.3839999999999995</v>
      </c>
      <c r="Q41" s="61">
        <f t="shared" si="13"/>
        <v>6.3839999999999995</v>
      </c>
      <c r="R41" s="61">
        <f t="shared" si="13"/>
        <v>6.3839999999999995</v>
      </c>
      <c r="S41" s="61">
        <f t="shared" si="13"/>
        <v>6.3839999999999995</v>
      </c>
      <c r="T41" s="61">
        <f t="shared" si="13"/>
        <v>6.3839999999999995</v>
      </c>
      <c r="U41" s="61">
        <f t="shared" si="13"/>
        <v>6.3839999999999995</v>
      </c>
      <c r="V41" s="61">
        <f t="shared" si="13"/>
        <v>6.3839999999999995</v>
      </c>
      <c r="W41" s="61">
        <f t="shared" si="13"/>
        <v>6.3839999999999995</v>
      </c>
      <c r="X41" s="61">
        <f t="shared" si="13"/>
        <v>6.3839999999999995</v>
      </c>
      <c r="Y41" s="61">
        <f t="shared" si="13"/>
        <v>6.3839999999999995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20.30416</v>
      </c>
      <c r="C49" s="62">
        <f t="shared" ref="C49:Y49" si="15">SUM(C39:C48)</f>
        <v>20.246399999999998</v>
      </c>
      <c r="D49" s="62">
        <f t="shared" si="15"/>
        <v>20.246399999999998</v>
      </c>
      <c r="E49" s="62">
        <f t="shared" si="15"/>
        <v>20.246399999999998</v>
      </c>
      <c r="F49" s="62">
        <f t="shared" si="15"/>
        <v>20.246399999999998</v>
      </c>
      <c r="G49" s="62">
        <f t="shared" si="15"/>
        <v>19.969760000000001</v>
      </c>
      <c r="H49" s="62">
        <f t="shared" si="15"/>
        <v>20.24184</v>
      </c>
      <c r="I49" s="62">
        <f t="shared" si="15"/>
        <v>20.513919999999999</v>
      </c>
      <c r="J49" s="62">
        <f t="shared" si="15"/>
        <v>20.253999999999998</v>
      </c>
      <c r="K49" s="62">
        <f t="shared" si="15"/>
        <v>20.253999999999998</v>
      </c>
      <c r="L49" s="62">
        <f t="shared" si="15"/>
        <v>20.253999999999998</v>
      </c>
      <c r="M49" s="62">
        <f t="shared" si="15"/>
        <v>20.253999999999998</v>
      </c>
      <c r="N49" s="62">
        <f t="shared" si="15"/>
        <v>20.253999999999998</v>
      </c>
      <c r="O49" s="62">
        <f t="shared" si="15"/>
        <v>20.253999999999998</v>
      </c>
      <c r="P49" s="62">
        <f t="shared" si="15"/>
        <v>20.253999999999998</v>
      </c>
      <c r="Q49" s="62">
        <f t="shared" si="15"/>
        <v>20.253999999999998</v>
      </c>
      <c r="R49" s="62">
        <f t="shared" si="15"/>
        <v>19.608000000000001</v>
      </c>
      <c r="S49" s="62">
        <f t="shared" si="15"/>
        <v>19.608000000000001</v>
      </c>
      <c r="T49" s="62">
        <f t="shared" si="15"/>
        <v>19.67032</v>
      </c>
      <c r="U49" s="62">
        <f t="shared" si="15"/>
        <v>19.998640000000002</v>
      </c>
      <c r="V49" s="62">
        <f t="shared" si="15"/>
        <v>20.229679999999998</v>
      </c>
      <c r="W49" s="62">
        <f t="shared" si="15"/>
        <v>20.223599999999998</v>
      </c>
      <c r="X49" s="62">
        <f t="shared" si="15"/>
        <v>20.217519999999997</v>
      </c>
      <c r="Y49" s="62">
        <f t="shared" si="15"/>
        <v>20.477439999999998</v>
      </c>
      <c r="Z49" s="23"/>
      <c r="AA49" s="46">
        <f>AVERAGE(B49:Y49)</f>
        <v>20.170019999999997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3</v>
      </c>
      <c r="C53" s="60">
        <v>3</v>
      </c>
      <c r="D53" s="60">
        <v>3</v>
      </c>
      <c r="E53" s="60">
        <v>3</v>
      </c>
      <c r="F53" s="60">
        <v>3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3</v>
      </c>
      <c r="Y53" s="60">
        <v>3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5.5</v>
      </c>
      <c r="AZ54" s="84">
        <f t="shared" si="17"/>
        <v>2.2999999999999998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14.2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215.76247999999998</v>
      </c>
      <c r="C63" s="61">
        <f t="shared" si="18"/>
        <v>214.8672</v>
      </c>
      <c r="D63" s="61">
        <f t="shared" si="18"/>
        <v>194.0736</v>
      </c>
      <c r="E63" s="61">
        <f t="shared" si="18"/>
        <v>194.0736</v>
      </c>
      <c r="F63" s="61">
        <f t="shared" si="18"/>
        <v>214.8672</v>
      </c>
      <c r="G63" s="61">
        <f t="shared" si="18"/>
        <v>202.33328</v>
      </c>
      <c r="H63" s="61">
        <f t="shared" si="18"/>
        <v>95.953800000000001</v>
      </c>
      <c r="I63" s="61">
        <f t="shared" si="18"/>
        <v>94.004400000000004</v>
      </c>
      <c r="J63" s="61">
        <f t="shared" si="18"/>
        <v>95.123499999999993</v>
      </c>
      <c r="K63" s="61">
        <f t="shared" si="18"/>
        <v>95.123499999999993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92.661479999999997</v>
      </c>
      <c r="U63" s="61">
        <f t="shared" si="18"/>
        <v>95.205960000000005</v>
      </c>
      <c r="V63" s="61">
        <f t="shared" si="18"/>
        <v>99.852599999999981</v>
      </c>
      <c r="W63" s="61">
        <f t="shared" si="18"/>
        <v>101.80199999999999</v>
      </c>
      <c r="X63" s="61">
        <f t="shared" si="18"/>
        <v>214.41955999999996</v>
      </c>
      <c r="Y63" s="61">
        <f t="shared" si="18"/>
        <v>218.44832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3.9899999999999993</v>
      </c>
      <c r="W64" s="61">
        <f t="shared" si="18"/>
        <v>1.9949999999999997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98.951999999999998</v>
      </c>
      <c r="C65" s="61">
        <f t="shared" si="18"/>
        <v>98.951999999999998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98.951999999999998</v>
      </c>
      <c r="Y65" s="61">
        <f t="shared" si="18"/>
        <v>98.951999999999998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315</v>
      </c>
      <c r="C73" s="64">
        <f t="shared" ref="C73:Y73" si="19">ROUND(SUM(C63:C72),0)</f>
        <v>314</v>
      </c>
      <c r="D73" s="64">
        <f t="shared" si="19"/>
        <v>194</v>
      </c>
      <c r="E73" s="64">
        <f t="shared" si="19"/>
        <v>194</v>
      </c>
      <c r="F73" s="64">
        <f t="shared" si="19"/>
        <v>215</v>
      </c>
      <c r="G73" s="64">
        <f t="shared" si="19"/>
        <v>202</v>
      </c>
      <c r="H73" s="64">
        <f t="shared" si="19"/>
        <v>96</v>
      </c>
      <c r="I73" s="64">
        <f t="shared" si="19"/>
        <v>94</v>
      </c>
      <c r="J73" s="64">
        <f t="shared" si="19"/>
        <v>95</v>
      </c>
      <c r="K73" s="64">
        <f t="shared" si="19"/>
        <v>95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93</v>
      </c>
      <c r="U73" s="64">
        <f t="shared" si="19"/>
        <v>95</v>
      </c>
      <c r="V73" s="64">
        <f t="shared" si="19"/>
        <v>104</v>
      </c>
      <c r="W73" s="64">
        <f t="shared" si="19"/>
        <v>104</v>
      </c>
      <c r="X73" s="64">
        <f t="shared" si="19"/>
        <v>313</v>
      </c>
      <c r="Y73" s="64">
        <f t="shared" si="19"/>
        <v>317</v>
      </c>
      <c r="Z73" s="52"/>
      <c r="AA73" s="56">
        <f>ROUND(SUM(B73:Y73),0)</f>
        <v>2840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1</v>
      </c>
      <c r="J76" s="60">
        <v>2</v>
      </c>
      <c r="K76" s="60">
        <v>2</v>
      </c>
      <c r="L76" s="60">
        <v>2</v>
      </c>
      <c r="M76" s="60">
        <v>2</v>
      </c>
      <c r="N76" s="60">
        <v>2</v>
      </c>
      <c r="O76" s="60">
        <v>1</v>
      </c>
      <c r="P76" s="60">
        <v>1</v>
      </c>
      <c r="Q76" s="60">
        <v>1</v>
      </c>
      <c r="R76" s="60">
        <v>2</v>
      </c>
      <c r="S76" s="60">
        <v>2</v>
      </c>
      <c r="T76" s="60">
        <v>3</v>
      </c>
      <c r="U76" s="60">
        <v>3</v>
      </c>
      <c r="V76" s="60">
        <v>2</v>
      </c>
      <c r="W76" s="60">
        <v>2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/>
      <c r="E77" s="60"/>
      <c r="F77" s="60"/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26.5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3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12.5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12.5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1.5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12.453333333333333</v>
      </c>
      <c r="C99" s="61">
        <f t="shared" ref="C99:Y99" si="21">VLOOKUP(C88,$AD$6:$AF$10,3)</f>
        <v>12.453333333333333</v>
      </c>
      <c r="D99" s="61">
        <f t="shared" si="21"/>
        <v>12.453333333333333</v>
      </c>
      <c r="E99" s="61">
        <f t="shared" si="21"/>
        <v>12.453333333333333</v>
      </c>
      <c r="F99" s="61">
        <f t="shared" si="21"/>
        <v>12.453333333333333</v>
      </c>
      <c r="G99" s="61">
        <f t="shared" si="21"/>
        <v>12.453333333333333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12.453333333333333</v>
      </c>
      <c r="Y99" s="61">
        <f t="shared" si="21"/>
        <v>12.453333333333333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12.453333333333333</v>
      </c>
      <c r="C100" s="61">
        <f t="shared" si="22"/>
        <v>12.453333333333333</v>
      </c>
      <c r="D100" s="61">
        <f t="shared" si="22"/>
        <v>12.453333333333333</v>
      </c>
      <c r="E100" s="61">
        <f t="shared" si="22"/>
        <v>12.453333333333333</v>
      </c>
      <c r="F100" s="61">
        <f t="shared" si="22"/>
        <v>12.453333333333333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12.453333333333333</v>
      </c>
      <c r="Y100" s="61">
        <f t="shared" si="22"/>
        <v>12.453333333333333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12.453333333333333</v>
      </c>
      <c r="C101" s="61">
        <f t="shared" si="23"/>
        <v>12.453333333333333</v>
      </c>
      <c r="D101" s="61">
        <f t="shared" si="23"/>
        <v>12.453333333333333</v>
      </c>
      <c r="E101" s="61">
        <f t="shared" si="23"/>
        <v>12.453333333333333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12.453333333333333</v>
      </c>
      <c r="Y101" s="61">
        <f t="shared" si="23"/>
        <v>12.453333333333333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2.6869620842666664</v>
      </c>
      <c r="C110" s="61">
        <f t="shared" si="31"/>
        <v>2.6758128640000001</v>
      </c>
      <c r="D110" s="61">
        <f t="shared" si="31"/>
        <v>2.4168632320000003</v>
      </c>
      <c r="E110" s="61">
        <f t="shared" si="31"/>
        <v>2.4168632320000003</v>
      </c>
      <c r="F110" s="61">
        <f t="shared" si="31"/>
        <v>2.6758128640000001</v>
      </c>
      <c r="G110" s="61">
        <f t="shared" si="31"/>
        <v>2.5197237802666668</v>
      </c>
      <c r="H110" s="61">
        <f t="shared" si="31"/>
        <v>2.3508681</v>
      </c>
      <c r="I110" s="61">
        <f t="shared" si="31"/>
        <v>2.3031078000000003</v>
      </c>
      <c r="J110" s="61">
        <f t="shared" si="31"/>
        <v>2.3305257499999996</v>
      </c>
      <c r="K110" s="61">
        <f t="shared" si="31"/>
        <v>2.3305257499999996</v>
      </c>
      <c r="L110" s="61">
        <f t="shared" si="31"/>
        <v>2.2553475000000001</v>
      </c>
      <c r="M110" s="61">
        <f t="shared" si="31"/>
        <v>2.2553475000000001</v>
      </c>
      <c r="N110" s="61">
        <f t="shared" si="31"/>
        <v>2.3305257499999996</v>
      </c>
      <c r="O110" s="61">
        <f t="shared" si="31"/>
        <v>2.3305257499999996</v>
      </c>
      <c r="P110" s="61">
        <f t="shared" si="31"/>
        <v>2.3305257499999996</v>
      </c>
      <c r="Q110" s="61">
        <f t="shared" si="31"/>
        <v>2.3305257499999996</v>
      </c>
      <c r="R110" s="61">
        <f t="shared" si="31"/>
        <v>1.9186200000000002</v>
      </c>
      <c r="S110" s="61">
        <f t="shared" si="31"/>
        <v>1.9186200000000002</v>
      </c>
      <c r="T110" s="61">
        <f t="shared" si="31"/>
        <v>2.5945214399999998</v>
      </c>
      <c r="U110" s="61">
        <f t="shared" si="31"/>
        <v>2.6657668800000001</v>
      </c>
      <c r="V110" s="61">
        <f t="shared" si="31"/>
        <v>2.7958727999999997</v>
      </c>
      <c r="W110" s="61">
        <f t="shared" si="31"/>
        <v>2.8504559999999999</v>
      </c>
      <c r="X110" s="61">
        <f t="shared" si="31"/>
        <v>2.6702382538666662</v>
      </c>
      <c r="Y110" s="61">
        <f t="shared" si="31"/>
        <v>2.7204097450666662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0.10719799999999997</v>
      </c>
      <c r="H111" s="61">
        <f t="shared" si="31"/>
        <v>0.20747999999999997</v>
      </c>
      <c r="I111" s="61">
        <f t="shared" si="31"/>
        <v>0.31122</v>
      </c>
      <c r="J111" s="61">
        <f t="shared" si="31"/>
        <v>0.32159399999999999</v>
      </c>
      <c r="K111" s="61">
        <f t="shared" si="31"/>
        <v>0.32159399999999999</v>
      </c>
      <c r="L111" s="61">
        <f t="shared" si="31"/>
        <v>0.31122</v>
      </c>
      <c r="M111" s="61">
        <f t="shared" si="31"/>
        <v>0.31122</v>
      </c>
      <c r="N111" s="61">
        <f t="shared" si="31"/>
        <v>0.32159399999999999</v>
      </c>
      <c r="O111" s="61">
        <f t="shared" si="31"/>
        <v>0.32159399999999999</v>
      </c>
      <c r="P111" s="61">
        <f t="shared" si="31"/>
        <v>0.32159399999999999</v>
      </c>
      <c r="Q111" s="61">
        <f t="shared" si="31"/>
        <v>0.32159399999999999</v>
      </c>
      <c r="R111" s="61">
        <f t="shared" si="31"/>
        <v>0.31122</v>
      </c>
      <c r="S111" s="61">
        <f t="shared" si="31"/>
        <v>0.31122</v>
      </c>
      <c r="T111" s="61">
        <f t="shared" si="31"/>
        <v>0.26799499999999998</v>
      </c>
      <c r="U111" s="61">
        <f t="shared" si="31"/>
        <v>0.26799499999999998</v>
      </c>
      <c r="V111" s="61">
        <f t="shared" si="31"/>
        <v>0.10373999999999999</v>
      </c>
      <c r="W111" s="61">
        <f t="shared" si="31"/>
        <v>5.1869999999999993E-2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1.23228224</v>
      </c>
      <c r="C112" s="61">
        <f t="shared" si="31"/>
        <v>1.23228224</v>
      </c>
      <c r="D112" s="61">
        <f t="shared" si="31"/>
        <v>1.11302912</v>
      </c>
      <c r="E112" s="61">
        <f t="shared" si="31"/>
        <v>1.11302912</v>
      </c>
      <c r="F112" s="61">
        <f t="shared" si="31"/>
        <v>1.286376</v>
      </c>
      <c r="G112" s="61">
        <f t="shared" si="31"/>
        <v>1.286376</v>
      </c>
      <c r="H112" s="61">
        <f t="shared" si="31"/>
        <v>1.24488</v>
      </c>
      <c r="I112" s="61">
        <f t="shared" si="31"/>
        <v>1.24488</v>
      </c>
      <c r="J112" s="61">
        <f t="shared" si="31"/>
        <v>1.286376</v>
      </c>
      <c r="K112" s="61">
        <f t="shared" si="31"/>
        <v>1.286376</v>
      </c>
      <c r="L112" s="61">
        <f t="shared" si="31"/>
        <v>1.24488</v>
      </c>
      <c r="M112" s="61">
        <f t="shared" si="31"/>
        <v>1.24488</v>
      </c>
      <c r="N112" s="61">
        <f t="shared" si="31"/>
        <v>1.286376</v>
      </c>
      <c r="O112" s="61">
        <f t="shared" si="31"/>
        <v>1.286376</v>
      </c>
      <c r="P112" s="61">
        <f t="shared" si="31"/>
        <v>1.286376</v>
      </c>
      <c r="Q112" s="61">
        <f t="shared" si="31"/>
        <v>1.286376</v>
      </c>
      <c r="R112" s="61">
        <f t="shared" si="31"/>
        <v>1.24488</v>
      </c>
      <c r="S112" s="61">
        <f t="shared" si="31"/>
        <v>1.24488</v>
      </c>
      <c r="T112" s="61">
        <f t="shared" si="31"/>
        <v>1.286376</v>
      </c>
      <c r="U112" s="61">
        <f t="shared" si="31"/>
        <v>1.286376</v>
      </c>
      <c r="V112" s="61">
        <f t="shared" si="31"/>
        <v>1.24488</v>
      </c>
      <c r="W112" s="61">
        <f t="shared" si="31"/>
        <v>1.24488</v>
      </c>
      <c r="X112" s="61">
        <f t="shared" si="31"/>
        <v>1.23228224</v>
      </c>
      <c r="Y112" s="61">
        <f t="shared" si="31"/>
        <v>1.23228224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</v>
      </c>
      <c r="C120" s="61">
        <f t="shared" ref="C120:Y120" si="32">SUM(C110:C119)</f>
        <v>3.908095104</v>
      </c>
      <c r="D120" s="61">
        <f t="shared" si="32"/>
        <v>3.5298923520000001</v>
      </c>
      <c r="E120" s="61">
        <f t="shared" si="32"/>
        <v>3.5298923520000001</v>
      </c>
      <c r="F120" s="61">
        <f t="shared" si="32"/>
        <v>3.9621888639999998</v>
      </c>
      <c r="G120" s="61">
        <f t="shared" si="32"/>
        <v>3.9132977802666664</v>
      </c>
      <c r="H120" s="61">
        <f t="shared" si="32"/>
        <v>3.8032281000000001</v>
      </c>
      <c r="I120" s="61">
        <f t="shared" si="32"/>
        <v>3.8592078000000001</v>
      </c>
      <c r="J120" s="61">
        <f t="shared" si="32"/>
        <v>3.9384957499999995</v>
      </c>
      <c r="K120" s="61">
        <f t="shared" si="32"/>
        <v>3.9384957499999995</v>
      </c>
      <c r="L120" s="61">
        <f t="shared" si="32"/>
        <v>3.8114474999999999</v>
      </c>
      <c r="M120" s="61">
        <f t="shared" si="32"/>
        <v>3.8114474999999999</v>
      </c>
      <c r="N120" s="61">
        <f t="shared" si="32"/>
        <v>3.9384957499999995</v>
      </c>
      <c r="O120" s="61">
        <f t="shared" si="32"/>
        <v>3.9384957499999995</v>
      </c>
      <c r="P120" s="61">
        <f t="shared" si="32"/>
        <v>3.9384957499999995</v>
      </c>
      <c r="Q120" s="61">
        <f t="shared" si="32"/>
        <v>3.9384957499999995</v>
      </c>
      <c r="R120" s="61">
        <f t="shared" si="32"/>
        <v>3.4747200000000005</v>
      </c>
      <c r="S120" s="61">
        <f t="shared" si="32"/>
        <v>3.4747200000000005</v>
      </c>
      <c r="T120" s="61">
        <f t="shared" si="32"/>
        <v>4.14889244</v>
      </c>
      <c r="U120" s="61">
        <f t="shared" si="32"/>
        <v>4.2201378800000002</v>
      </c>
      <c r="V120" s="61">
        <f t="shared" si="32"/>
        <v>4.1444928000000001</v>
      </c>
      <c r="W120" s="61">
        <f t="shared" si="32"/>
        <v>4.1472059999999997</v>
      </c>
      <c r="X120" s="61">
        <f t="shared" si="32"/>
        <v>3.9025204938666662</v>
      </c>
      <c r="Y120" s="61">
        <f t="shared" si="32"/>
        <v>3.9526919850666662</v>
      </c>
      <c r="AA120" s="57">
        <f>SUM(B120:Y120)</f>
        <v>93.225053451199983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2.6869620842666664</v>
      </c>
      <c r="C136" s="61">
        <f t="shared" ref="C136:Y136" si="33">C110*(1-C123)</f>
        <v>2.6758128640000001</v>
      </c>
      <c r="D136" s="61">
        <f t="shared" si="33"/>
        <v>2.4168632320000003</v>
      </c>
      <c r="E136" s="61">
        <f t="shared" si="33"/>
        <v>2.4168632320000003</v>
      </c>
      <c r="F136" s="61">
        <f t="shared" si="33"/>
        <v>2.6758128640000001</v>
      </c>
      <c r="G136" s="61">
        <f t="shared" si="33"/>
        <v>2.5197237802666668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1.2972607199999999</v>
      </c>
      <c r="U136" s="61">
        <f t="shared" si="33"/>
        <v>1.33288344</v>
      </c>
      <c r="V136" s="61">
        <f t="shared" si="33"/>
        <v>1.3979363999999999</v>
      </c>
      <c r="W136" s="61">
        <f t="shared" si="33"/>
        <v>1.4252279999999999</v>
      </c>
      <c r="X136" s="61">
        <f t="shared" si="33"/>
        <v>2.6702382538666662</v>
      </c>
      <c r="Y136" s="61">
        <f t="shared" si="33"/>
        <v>2.7204097450666662</v>
      </c>
      <c r="AA136" s="61">
        <f>SUM(B136:Y136)</f>
        <v>26.235994615466666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5.3598999999999987E-2</v>
      </c>
      <c r="H137" s="61">
        <f t="shared" si="34"/>
        <v>0.10373999999999999</v>
      </c>
      <c r="I137" s="61">
        <f t="shared" si="34"/>
        <v>0.15561</v>
      </c>
      <c r="J137" s="61">
        <f t="shared" si="34"/>
        <v>0.160797</v>
      </c>
      <c r="K137" s="61">
        <f t="shared" si="34"/>
        <v>0.160797</v>
      </c>
      <c r="L137" s="61">
        <f t="shared" si="34"/>
        <v>0.15561</v>
      </c>
      <c r="M137" s="61">
        <f t="shared" si="34"/>
        <v>0.15561</v>
      </c>
      <c r="N137" s="61">
        <f t="shared" si="34"/>
        <v>0.160797</v>
      </c>
      <c r="O137" s="61">
        <f t="shared" si="34"/>
        <v>0.160797</v>
      </c>
      <c r="P137" s="61">
        <f t="shared" si="34"/>
        <v>0.160797</v>
      </c>
      <c r="Q137" s="61">
        <f t="shared" si="34"/>
        <v>0.160797</v>
      </c>
      <c r="R137" s="61">
        <f t="shared" si="34"/>
        <v>0.15561</v>
      </c>
      <c r="S137" s="61">
        <f t="shared" si="34"/>
        <v>0.15561</v>
      </c>
      <c r="T137" s="61">
        <f t="shared" si="34"/>
        <v>0.13399749999999999</v>
      </c>
      <c r="U137" s="61">
        <f t="shared" si="34"/>
        <v>0.13399749999999999</v>
      </c>
      <c r="V137" s="61">
        <f t="shared" si="34"/>
        <v>5.1869999999999993E-2</v>
      </c>
      <c r="W137" s="61">
        <f t="shared" si="34"/>
        <v>2.5934999999999996E-2</v>
      </c>
      <c r="X137" s="61">
        <f t="shared" si="34"/>
        <v>0</v>
      </c>
      <c r="Y137" s="61">
        <f t="shared" si="34"/>
        <v>0</v>
      </c>
      <c r="AA137" s="61">
        <f>SUM(B137:Y137)</f>
        <v>2.2459710000000004</v>
      </c>
    </row>
    <row r="138" spans="1:31" x14ac:dyDescent="0.25">
      <c r="A138" s="128" t="str">
        <f>A$17</f>
        <v>genisses +1an</v>
      </c>
      <c r="B138" s="61">
        <f t="shared" si="34"/>
        <v>1.23228224</v>
      </c>
      <c r="C138" s="61">
        <f t="shared" si="34"/>
        <v>1.23228224</v>
      </c>
      <c r="D138" s="61">
        <f t="shared" si="34"/>
        <v>1.11302912</v>
      </c>
      <c r="E138" s="61">
        <f t="shared" si="34"/>
        <v>1.11302912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1.23228224</v>
      </c>
      <c r="Y138" s="61">
        <f t="shared" si="34"/>
        <v>1.23228224</v>
      </c>
      <c r="AA138" s="61">
        <f t="shared" ref="AA138:AA144" si="35">SUM(B138:Y138)</f>
        <v>7.1551872000000003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35.637152815466663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37.419010456239995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2.3508681</v>
      </c>
      <c r="I149" s="61">
        <f t="shared" si="37"/>
        <v>2.3031078000000003</v>
      </c>
      <c r="J149" s="61">
        <f t="shared" si="37"/>
        <v>2.3305257499999996</v>
      </c>
      <c r="K149" s="61">
        <f t="shared" si="37"/>
        <v>2.3305257499999996</v>
      </c>
      <c r="L149" s="61">
        <f t="shared" si="37"/>
        <v>2.2553475000000001</v>
      </c>
      <c r="M149" s="61">
        <f t="shared" si="37"/>
        <v>2.2553475000000001</v>
      </c>
      <c r="N149" s="61">
        <f t="shared" si="37"/>
        <v>2.3305257499999996</v>
      </c>
      <c r="O149" s="61">
        <f t="shared" si="37"/>
        <v>2.3305257499999996</v>
      </c>
      <c r="P149" s="61">
        <f t="shared" si="37"/>
        <v>2.3305257499999996</v>
      </c>
      <c r="Q149" s="61">
        <f t="shared" si="37"/>
        <v>2.3305257499999996</v>
      </c>
      <c r="R149" s="61">
        <f t="shared" si="37"/>
        <v>1.9186200000000002</v>
      </c>
      <c r="S149" s="61">
        <f t="shared" si="37"/>
        <v>1.9186200000000002</v>
      </c>
      <c r="T149" s="61">
        <f t="shared" si="37"/>
        <v>1.2972607199999999</v>
      </c>
      <c r="U149" s="61">
        <f t="shared" si="37"/>
        <v>1.33288344</v>
      </c>
      <c r="V149" s="61">
        <f t="shared" si="37"/>
        <v>1.3979363999999999</v>
      </c>
      <c r="W149" s="61">
        <f t="shared" si="37"/>
        <v>1.4252279999999999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5.3598999999999987E-2</v>
      </c>
      <c r="H150" s="61">
        <f t="shared" si="38"/>
        <v>0.10373999999999999</v>
      </c>
      <c r="I150" s="61">
        <f t="shared" si="38"/>
        <v>0.15561</v>
      </c>
      <c r="J150" s="61">
        <f t="shared" si="38"/>
        <v>0.160797</v>
      </c>
      <c r="K150" s="61">
        <f t="shared" si="38"/>
        <v>0.160797</v>
      </c>
      <c r="L150" s="61">
        <f t="shared" si="38"/>
        <v>0.15561</v>
      </c>
      <c r="M150" s="61">
        <f t="shared" si="38"/>
        <v>0.15561</v>
      </c>
      <c r="N150" s="61">
        <f t="shared" si="38"/>
        <v>0.160797</v>
      </c>
      <c r="O150" s="61">
        <f t="shared" si="38"/>
        <v>0.160797</v>
      </c>
      <c r="P150" s="61">
        <f t="shared" si="38"/>
        <v>0.160797</v>
      </c>
      <c r="Q150" s="61">
        <f t="shared" si="38"/>
        <v>0.160797</v>
      </c>
      <c r="R150" s="61">
        <f t="shared" si="38"/>
        <v>0.15561</v>
      </c>
      <c r="S150" s="61">
        <f t="shared" si="38"/>
        <v>0.15561</v>
      </c>
      <c r="T150" s="61">
        <f t="shared" si="38"/>
        <v>0.13399749999999999</v>
      </c>
      <c r="U150" s="61">
        <f t="shared" si="38"/>
        <v>0.13399749999999999</v>
      </c>
      <c r="V150" s="61">
        <f t="shared" si="38"/>
        <v>5.1869999999999993E-2</v>
      </c>
      <c r="W150" s="61">
        <f t="shared" si="38"/>
        <v>2.5934999999999996E-2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1.286376</v>
      </c>
      <c r="G151" s="61">
        <f t="shared" si="39"/>
        <v>1.286376</v>
      </c>
      <c r="H151" s="61">
        <f t="shared" si="39"/>
        <v>1.24488</v>
      </c>
      <c r="I151" s="61">
        <f t="shared" si="39"/>
        <v>1.24488</v>
      </c>
      <c r="J151" s="61">
        <f t="shared" si="39"/>
        <v>1.286376</v>
      </c>
      <c r="K151" s="61">
        <f t="shared" si="39"/>
        <v>1.286376</v>
      </c>
      <c r="L151" s="61">
        <f t="shared" si="39"/>
        <v>1.24488</v>
      </c>
      <c r="M151" s="61">
        <f t="shared" si="39"/>
        <v>1.24488</v>
      </c>
      <c r="N151" s="61">
        <f t="shared" si="39"/>
        <v>1.286376</v>
      </c>
      <c r="O151" s="61">
        <f t="shared" si="39"/>
        <v>1.286376</v>
      </c>
      <c r="P151" s="61">
        <f t="shared" si="39"/>
        <v>1.286376</v>
      </c>
      <c r="Q151" s="61">
        <f t="shared" si="39"/>
        <v>1.286376</v>
      </c>
      <c r="R151" s="61">
        <f t="shared" si="39"/>
        <v>1.24488</v>
      </c>
      <c r="S151" s="61">
        <f t="shared" si="39"/>
        <v>1.24488</v>
      </c>
      <c r="T151" s="61">
        <f t="shared" si="39"/>
        <v>1.286376</v>
      </c>
      <c r="U151" s="61">
        <f t="shared" si="39"/>
        <v>1.286376</v>
      </c>
      <c r="V151" s="61">
        <f t="shared" si="39"/>
        <v>1.24488</v>
      </c>
      <c r="W151" s="61">
        <f t="shared" si="39"/>
        <v>1.24488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57.507144960000012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2.3508681</v>
      </c>
      <c r="I162" s="61">
        <f t="shared" si="47"/>
        <v>2.3031078000000003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2.3305257499999996</v>
      </c>
      <c r="P162" s="61">
        <f t="shared" si="47"/>
        <v>2.3305257499999996</v>
      </c>
      <c r="Q162" s="61">
        <f t="shared" si="47"/>
        <v>2.3305257499999996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5.3598999999999987E-2</v>
      </c>
      <c r="H163" s="61">
        <f t="shared" si="48"/>
        <v>0.10373999999999999</v>
      </c>
      <c r="I163" s="61">
        <f t="shared" si="48"/>
        <v>0.15561</v>
      </c>
      <c r="J163" s="61">
        <f t="shared" si="48"/>
        <v>0.160797</v>
      </c>
      <c r="K163" s="61">
        <f t="shared" si="48"/>
        <v>0.160797</v>
      </c>
      <c r="L163" s="61">
        <f t="shared" si="48"/>
        <v>0.15561</v>
      </c>
      <c r="M163" s="61">
        <f t="shared" si="48"/>
        <v>0.15561</v>
      </c>
      <c r="N163" s="61">
        <f t="shared" si="48"/>
        <v>0.160797</v>
      </c>
      <c r="O163" s="61">
        <f t="shared" si="48"/>
        <v>0.160797</v>
      </c>
      <c r="P163" s="61">
        <f t="shared" si="48"/>
        <v>0.160797</v>
      </c>
      <c r="Q163" s="61">
        <f t="shared" si="48"/>
        <v>0.160797</v>
      </c>
      <c r="R163" s="61">
        <f t="shared" si="48"/>
        <v>0.15561</v>
      </c>
      <c r="S163" s="61">
        <f t="shared" si="48"/>
        <v>0.15561</v>
      </c>
      <c r="T163" s="61">
        <f t="shared" si="48"/>
        <v>0.13399749999999999</v>
      </c>
      <c r="U163" s="61">
        <f t="shared" si="48"/>
        <v>0.13399749999999999</v>
      </c>
      <c r="V163" s="61">
        <f t="shared" si="48"/>
        <v>5.1869999999999993E-2</v>
      </c>
      <c r="W163" s="61">
        <f t="shared" si="48"/>
        <v>2.5934999999999996E-2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1.286376</v>
      </c>
      <c r="V164" s="61">
        <f t="shared" si="49"/>
        <v>1.24488</v>
      </c>
      <c r="W164" s="61">
        <f t="shared" si="49"/>
        <v>1.24488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5.3598999999999987E-2</v>
      </c>
      <c r="H172" s="61">
        <f t="shared" si="57"/>
        <v>2.4546081000000002</v>
      </c>
      <c r="I172" s="61">
        <f t="shared" si="57"/>
        <v>2.4587178000000001</v>
      </c>
      <c r="J172" s="61">
        <f t="shared" si="57"/>
        <v>0.160797</v>
      </c>
      <c r="K172" s="61">
        <f t="shared" si="57"/>
        <v>0.160797</v>
      </c>
      <c r="L172" s="61">
        <f t="shared" si="57"/>
        <v>0.15561</v>
      </c>
      <c r="M172" s="61">
        <f t="shared" si="57"/>
        <v>0.15561</v>
      </c>
      <c r="N172" s="61">
        <f t="shared" si="57"/>
        <v>0.160797</v>
      </c>
      <c r="O172" s="61">
        <f t="shared" si="57"/>
        <v>2.4913227499999997</v>
      </c>
      <c r="P172" s="61">
        <f t="shared" si="57"/>
        <v>2.4913227499999997</v>
      </c>
      <c r="Q172" s="61">
        <f t="shared" si="57"/>
        <v>2.4913227499999997</v>
      </c>
      <c r="R172" s="61">
        <f t="shared" si="57"/>
        <v>0.15561</v>
      </c>
      <c r="S172" s="61">
        <f t="shared" si="57"/>
        <v>0.15561</v>
      </c>
      <c r="T172" s="61">
        <f t="shared" si="57"/>
        <v>0.13399749999999999</v>
      </c>
      <c r="U172" s="61">
        <f t="shared" si="57"/>
        <v>1.4203735</v>
      </c>
      <c r="V172" s="61">
        <f t="shared" si="57"/>
        <v>1.2967500000000001</v>
      </c>
      <c r="W172" s="61">
        <f t="shared" si="57"/>
        <v>1.270815</v>
      </c>
      <c r="X172" s="61">
        <f t="shared" si="57"/>
        <v>0</v>
      </c>
      <c r="Y172" s="61">
        <f t="shared" si="57"/>
        <v>0</v>
      </c>
      <c r="AA172" s="64">
        <f>SUM(B172:Y172)</f>
        <v>17.667660149999996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2.3305257499999996</v>
      </c>
      <c r="K175" s="61">
        <f t="shared" si="58"/>
        <v>2.3305257499999996</v>
      </c>
      <c r="L175" s="61">
        <f t="shared" si="58"/>
        <v>2.2553475000000001</v>
      </c>
      <c r="M175" s="61">
        <f t="shared" si="58"/>
        <v>2.2553475000000001</v>
      </c>
      <c r="N175" s="61">
        <f t="shared" si="58"/>
        <v>2.3305257499999996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1.9186200000000002</v>
      </c>
      <c r="S175" s="61">
        <f t="shared" si="58"/>
        <v>1.9186200000000002</v>
      </c>
      <c r="T175" s="61">
        <f t="shared" si="58"/>
        <v>0</v>
      </c>
      <c r="U175" s="61">
        <f t="shared" si="58"/>
        <v>0</v>
      </c>
      <c r="V175" s="61">
        <f t="shared" si="58"/>
        <v>1.3979363999999999</v>
      </c>
      <c r="W175" s="61">
        <f t="shared" si="58"/>
        <v>1.4252279999999999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1.286376</v>
      </c>
      <c r="G177" s="61">
        <f t="shared" si="60"/>
        <v>1.286376</v>
      </c>
      <c r="H177" s="61">
        <f t="shared" si="60"/>
        <v>1.24488</v>
      </c>
      <c r="I177" s="61">
        <f t="shared" si="60"/>
        <v>1.24488</v>
      </c>
      <c r="J177" s="61">
        <f t="shared" si="60"/>
        <v>1.286376</v>
      </c>
      <c r="K177" s="61">
        <f t="shared" si="60"/>
        <v>1.286376</v>
      </c>
      <c r="L177" s="61">
        <f t="shared" si="60"/>
        <v>1.24488</v>
      </c>
      <c r="M177" s="61">
        <f t="shared" si="60"/>
        <v>1.24488</v>
      </c>
      <c r="N177" s="61">
        <f t="shared" si="60"/>
        <v>1.286376</v>
      </c>
      <c r="O177" s="61">
        <f t="shared" si="60"/>
        <v>1.286376</v>
      </c>
      <c r="P177" s="61">
        <f t="shared" si="60"/>
        <v>1.286376</v>
      </c>
      <c r="Q177" s="61">
        <f t="shared" si="60"/>
        <v>1.286376</v>
      </c>
      <c r="R177" s="61">
        <f t="shared" si="60"/>
        <v>1.24488</v>
      </c>
      <c r="S177" s="61">
        <f t="shared" si="60"/>
        <v>1.24488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1.286376</v>
      </c>
      <c r="G185" s="61">
        <f>SUM(CdTrp2!G175:G184)</f>
        <v>1.286376</v>
      </c>
      <c r="H185" s="61">
        <f>SUM(CdTrp2!H175:H184)</f>
        <v>1.24488</v>
      </c>
      <c r="I185" s="61">
        <f>SUM(CdTrp2!I175:I184)</f>
        <v>1.24488</v>
      </c>
      <c r="J185" s="61">
        <f>SUM(CdTrp2!J175:J184)</f>
        <v>3.6169017499999994</v>
      </c>
      <c r="K185" s="61">
        <f>SUM(CdTrp2!K175:K184)</f>
        <v>3.6169017499999994</v>
      </c>
      <c r="L185" s="61">
        <f>SUM(CdTrp2!L175:L184)</f>
        <v>3.5002275000000003</v>
      </c>
      <c r="M185" s="61">
        <f>SUM(CdTrp2!M175:M184)</f>
        <v>3.5002275000000003</v>
      </c>
      <c r="N185" s="61">
        <f>SUM(CdTrp2!N175:N184)</f>
        <v>3.6169017499999994</v>
      </c>
      <c r="O185" s="61">
        <f>SUM(CdTrp2!O175:O184)</f>
        <v>1.286376</v>
      </c>
      <c r="P185" s="61">
        <f>SUM(CdTrp2!P175:P184)</f>
        <v>1.286376</v>
      </c>
      <c r="Q185" s="61">
        <f>SUM(CdTrp2!Q175:Q184)</f>
        <v>1.286376</v>
      </c>
      <c r="R185" s="61">
        <f>SUM(CdTrp2!R175:R184)</f>
        <v>3.1635</v>
      </c>
      <c r="S185" s="61">
        <f>SUM(CdTrp2!S175:S184)</f>
        <v>3.1635</v>
      </c>
      <c r="T185" s="61">
        <f>SUM(CdTrp2!T175:T184)</f>
        <v>0</v>
      </c>
      <c r="U185" s="61">
        <f>SUM(CdTrp2!U175:U184)</f>
        <v>0</v>
      </c>
      <c r="V185" s="61">
        <f>SUM(CdTrp2!V175:V184)</f>
        <v>1.3979363999999999</v>
      </c>
      <c r="W185" s="61">
        <f>SUM(CdTrp2!W175:W184)</f>
        <v>1.4252279999999999</v>
      </c>
      <c r="X185" s="61">
        <f>SUM(CdTrp2!X175:X184)</f>
        <v>0</v>
      </c>
      <c r="Y185" s="61">
        <f>SUM(CdTrp2!Y175:Y184)</f>
        <v>0</v>
      </c>
      <c r="AA185" s="64">
        <f>SUM(B185:Y185)</f>
        <v>35.922964649999997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1.2972607199999999</v>
      </c>
      <c r="U188" s="61">
        <f t="shared" si="68"/>
        <v>1.33288344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1.286376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2.5836367199999999</v>
      </c>
      <c r="U198" s="61">
        <f t="shared" si="78"/>
        <v>1.33288344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3.9165201600000001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5.3598999999999987E-2</v>
      </c>
      <c r="H215" s="61">
        <f t="shared" si="90"/>
        <v>2.4546081000000002</v>
      </c>
      <c r="I215" s="61">
        <f t="shared" si="90"/>
        <v>2.4587178000000001</v>
      </c>
      <c r="J215" s="61">
        <f t="shared" si="90"/>
        <v>0.160797</v>
      </c>
      <c r="K215" s="61">
        <f t="shared" si="90"/>
        <v>0.160797</v>
      </c>
      <c r="L215" s="61">
        <f t="shared" si="90"/>
        <v>0.15561</v>
      </c>
      <c r="M215" s="61">
        <f t="shared" si="90"/>
        <v>0.15561</v>
      </c>
      <c r="N215" s="61">
        <f t="shared" si="90"/>
        <v>0.160797</v>
      </c>
      <c r="O215" s="61">
        <f t="shared" si="90"/>
        <v>2.4913227499999997</v>
      </c>
      <c r="P215" s="61">
        <f t="shared" si="90"/>
        <v>2.4913227499999997</v>
      </c>
      <c r="Q215" s="61">
        <f t="shared" si="90"/>
        <v>2.4913227499999997</v>
      </c>
      <c r="R215" s="61">
        <f t="shared" si="90"/>
        <v>0.15561</v>
      </c>
      <c r="S215" s="61">
        <f t="shared" si="90"/>
        <v>0.15561</v>
      </c>
      <c r="T215" s="61">
        <f t="shared" si="90"/>
        <v>0.13399749999999999</v>
      </c>
      <c r="U215" s="61">
        <f t="shared" si="90"/>
        <v>1.4203735</v>
      </c>
      <c r="V215" s="61">
        <f t="shared" si="90"/>
        <v>1.2967500000000001</v>
      </c>
      <c r="W215" s="61">
        <f t="shared" si="90"/>
        <v>1.270815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1.286376</v>
      </c>
      <c r="G216" s="61">
        <f t="shared" si="91"/>
        <v>1.286376</v>
      </c>
      <c r="H216" s="61">
        <f t="shared" si="91"/>
        <v>1.24488</v>
      </c>
      <c r="I216" s="61">
        <f t="shared" si="91"/>
        <v>1.24488</v>
      </c>
      <c r="J216" s="61">
        <f t="shared" si="91"/>
        <v>3.6169017499999994</v>
      </c>
      <c r="K216" s="61">
        <f t="shared" si="91"/>
        <v>3.6169017499999994</v>
      </c>
      <c r="L216" s="61">
        <f t="shared" si="91"/>
        <v>3.5002275000000003</v>
      </c>
      <c r="M216" s="61">
        <f t="shared" si="91"/>
        <v>3.5002275000000003</v>
      </c>
      <c r="N216" s="61">
        <f t="shared" si="91"/>
        <v>3.6169017499999994</v>
      </c>
      <c r="O216" s="61">
        <f t="shared" si="91"/>
        <v>1.286376</v>
      </c>
      <c r="P216" s="61">
        <f t="shared" si="91"/>
        <v>1.286376</v>
      </c>
      <c r="Q216" s="61">
        <f t="shared" si="91"/>
        <v>1.286376</v>
      </c>
      <c r="R216" s="61">
        <f t="shared" si="91"/>
        <v>3.1635</v>
      </c>
      <c r="S216" s="61">
        <f t="shared" si="91"/>
        <v>3.1635</v>
      </c>
      <c r="T216" s="61">
        <f t="shared" si="91"/>
        <v>0</v>
      </c>
      <c r="U216" s="61">
        <f t="shared" si="91"/>
        <v>0</v>
      </c>
      <c r="V216" s="61">
        <f t="shared" si="91"/>
        <v>1.3979363999999999</v>
      </c>
      <c r="W216" s="61">
        <f t="shared" si="91"/>
        <v>1.4252279999999999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2.5836367199999999</v>
      </c>
      <c r="U217" s="61">
        <f t="shared" si="92"/>
        <v>1.33288344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57.507144959999984</v>
      </c>
      <c r="AB219" t="s">
        <v>222</v>
      </c>
    </row>
    <row r="220" spans="1:28" x14ac:dyDescent="0.25">
      <c r="AA220" s="30">
        <f>SUM(B215:Y217)</f>
        <v>57.507144959999984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2023-01-09T10:05:34Z</dcterms:modified>
</cp:coreProperties>
</file>