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29" r:id="rId18"/>
  </pivotCaches>
</workbook>
</file>

<file path=xl/calcChain.xml><?xml version="1.0" encoding="utf-8"?>
<calcChain xmlns="http://schemas.openxmlformats.org/spreadsheetml/2006/main">
  <c r="AV5" i="29" l="1"/>
  <c r="AW5" i="29"/>
  <c r="BD5" i="29" s="1"/>
  <c r="BE5" i="29" s="1"/>
  <c r="BF5" i="29" s="1"/>
  <c r="AX5" i="29"/>
  <c r="AY5" i="29"/>
  <c r="AZ5" i="29"/>
  <c r="AV6" i="29"/>
  <c r="AW6" i="29"/>
  <c r="BD6" i="29" s="1"/>
  <c r="AX6" i="29"/>
  <c r="AY6" i="29"/>
  <c r="AZ6" i="29"/>
  <c r="BA6" i="29"/>
  <c r="BB6" i="29"/>
  <c r="BC6" i="29"/>
  <c r="BE6" i="29"/>
  <c r="BF6" i="29" s="1"/>
  <c r="AV7" i="29"/>
  <c r="AW7" i="29"/>
  <c r="BK7" i="29" s="1"/>
  <c r="AX7" i="29"/>
  <c r="AY7" i="29"/>
  <c r="AZ7" i="29"/>
  <c r="BA7" i="29"/>
  <c r="BB7" i="29"/>
  <c r="BC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AV9" i="29"/>
  <c r="AW9" i="29"/>
  <c r="AX9" i="29"/>
  <c r="AY9" i="29"/>
  <c r="BD9" i="29" s="1"/>
  <c r="BE9" i="29" s="1"/>
  <c r="BF9" i="29" s="1"/>
  <c r="AZ9" i="29"/>
  <c r="AV10" i="29"/>
  <c r="AW10" i="29"/>
  <c r="AX10" i="29"/>
  <c r="AY10" i="29"/>
  <c r="BD10" i="29" s="1"/>
  <c r="BE10" i="29" s="1"/>
  <c r="BF10" i="29" s="1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BL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 s="1"/>
  <c r="BF20" i="29" s="1"/>
  <c r="BL20" i="29" s="1"/>
  <c r="AV21" i="29"/>
  <c r="AW21" i="29"/>
  <c r="BD21" i="29" s="1"/>
  <c r="BE21" i="29" s="1"/>
  <c r="BF21" i="29" s="1"/>
  <c r="AX21" i="29"/>
  <c r="AY21" i="29"/>
  <c r="AZ21" i="29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AV24" i="29"/>
  <c r="AW24" i="29"/>
  <c r="AX24" i="29"/>
  <c r="AY24" i="29"/>
  <c r="AZ24" i="29"/>
  <c r="AV25" i="29"/>
  <c r="AW25" i="29"/>
  <c r="AX25" i="29"/>
  <c r="AY25" i="29"/>
  <c r="AZ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D25" i="29" l="1"/>
  <c r="BE25" i="29" s="1"/>
  <c r="BF25" i="29" s="1"/>
  <c r="BI25" i="29" s="1"/>
  <c r="BK22" i="29"/>
  <c r="BG22" i="29"/>
  <c r="BJ22" i="29"/>
  <c r="BG18" i="29"/>
  <c r="BI18" i="29"/>
  <c r="BJ18" i="29"/>
  <c r="BK18" i="29"/>
  <c r="BL18" i="29"/>
  <c r="BH17" i="29"/>
  <c r="BI17" i="29"/>
  <c r="BJ17" i="29"/>
  <c r="BK17" i="29"/>
  <c r="BL17" i="29"/>
  <c r="BG17" i="29"/>
  <c r="BJ23" i="29"/>
  <c r="BK23" i="29"/>
  <c r="BL23" i="29"/>
  <c r="BG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H15" i="29"/>
  <c r="BI15" i="29"/>
  <c r="BL13" i="29"/>
  <c r="BK13" i="29"/>
  <c r="BG13" i="29"/>
  <c r="BH13" i="29"/>
  <c r="BI13" i="29"/>
  <c r="BJ13" i="29"/>
  <c r="BG12" i="29"/>
  <c r="BH10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H14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H20" i="29"/>
  <c r="BD16" i="29"/>
  <c r="BE16" i="29" s="1"/>
  <c r="BF16" i="29" s="1"/>
  <c r="BJ16" i="29" s="1"/>
  <c r="BH12" i="29"/>
  <c r="BD8" i="29"/>
  <c r="BE8" i="29" s="1"/>
  <c r="BF8" i="29" s="1"/>
  <c r="BJ8" i="29" s="1"/>
  <c r="BH27" i="29"/>
  <c r="BL30" i="29"/>
  <c r="BL22" i="29"/>
  <c r="BL14" i="29"/>
  <c r="BL6" i="29"/>
  <c r="BH25" i="29" l="1"/>
  <c r="BG25" i="29"/>
  <c r="BK25" i="29"/>
  <c r="BJ25" i="29"/>
  <c r="BL25" i="29"/>
  <c r="BK8" i="29"/>
  <c r="BJ24" i="29"/>
  <c r="BK16" i="29"/>
  <c r="BK11" i="29"/>
  <c r="BL24" i="29"/>
  <c r="BL8" i="29"/>
  <c r="BI11" i="29"/>
  <c r="BG16" i="29"/>
  <c r="BG11" i="29"/>
  <c r="BH11" i="29"/>
  <c r="BL19" i="29"/>
  <c r="BI16" i="29"/>
  <c r="BH16" i="29"/>
  <c r="BJ11" i="29"/>
  <c r="BG8" i="29"/>
  <c r="BG19" i="29"/>
  <c r="BH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3" i="29"/>
  <c r="L33" i="29"/>
  <c r="K33" i="29"/>
  <c r="I33" i="29"/>
  <c r="C33" i="29"/>
  <c r="V31" i="29"/>
  <c r="L31" i="29"/>
  <c r="K31" i="29"/>
  <c r="I31" i="29"/>
  <c r="C31" i="29"/>
  <c r="Z30" i="29"/>
  <c r="Y30" i="29"/>
  <c r="V30" i="29"/>
  <c r="L30" i="29"/>
  <c r="K30" i="29"/>
  <c r="I30" i="29"/>
  <c r="D30" i="29"/>
  <c r="C30" i="29"/>
  <c r="Z29" i="29"/>
  <c r="Y29" i="29"/>
  <c r="V29" i="29"/>
  <c r="L29" i="29"/>
  <c r="K29" i="29"/>
  <c r="I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CJ87" i="30" l="1"/>
  <c r="CH87" i="30"/>
  <c r="CH86" i="30"/>
  <c r="CJ86" i="30"/>
  <c r="CI86" i="30"/>
  <c r="CI87" i="30"/>
  <c r="CK86" i="30"/>
  <c r="CK87" i="30"/>
  <c r="CT86" i="30"/>
  <c r="CT87" i="30"/>
  <c r="CM107" i="30"/>
  <c r="CU86" i="30"/>
  <c r="CU87" i="30"/>
  <c r="CV86" i="30"/>
  <c r="CV87" i="30"/>
  <c r="CG86" i="30"/>
  <c r="CW86" i="30"/>
  <c r="CG87" i="30"/>
  <c r="CW87" i="30"/>
  <c r="BH106" i="30"/>
  <c r="CE108" i="30"/>
  <c r="CU108" i="30"/>
  <c r="CU107" i="30"/>
  <c r="AZ106" i="30"/>
  <c r="CU106" i="30"/>
  <c r="BA106" i="30"/>
  <c r="BI106" i="30"/>
  <c r="CV107" i="30"/>
  <c r="CF108" i="30"/>
  <c r="CV108" i="30"/>
  <c r="BB106" i="30"/>
  <c r="BJ106" i="30"/>
  <c r="CW107" i="30"/>
  <c r="CG108" i="30"/>
  <c r="CW108" i="30"/>
  <c r="BC106" i="30"/>
  <c r="BK106" i="30"/>
  <c r="CH106" i="30"/>
  <c r="CH107" i="30"/>
  <c r="CH108" i="30"/>
  <c r="CP108" i="30"/>
  <c r="BD106" i="30"/>
  <c r="BL106" i="30"/>
  <c r="CI107" i="30"/>
  <c r="CI108" i="30"/>
  <c r="CQ108" i="30"/>
  <c r="BE106" i="30"/>
  <c r="BM106" i="30"/>
  <c r="CJ106" i="30"/>
  <c r="CJ107" i="30"/>
  <c r="CJ108" i="30"/>
  <c r="CR108" i="30"/>
  <c r="BF106" i="30"/>
  <c r="BN106" i="30"/>
  <c r="CK106" i="30"/>
  <c r="CK107" i="30"/>
  <c r="CK108" i="30"/>
  <c r="AY106" i="30"/>
  <c r="BG106" i="30"/>
  <c r="BO106" i="30"/>
  <c r="CT106" i="30"/>
  <c r="CL107" i="30"/>
  <c r="CT107" i="30"/>
  <c r="CD108" i="30"/>
  <c r="CL108" i="30"/>
  <c r="R8" i="7"/>
  <c r="S8" i="7"/>
  <c r="U8" i="7"/>
  <c r="R9" i="7"/>
  <c r="S9" i="7"/>
  <c r="U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Z89" i="33" s="1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I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BJ89" i="33" l="1"/>
  <c r="CM89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D16" i="30" s="1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S93" i="30" s="1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I92" i="30" s="1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S91" i="30" s="1"/>
  <c r="BR38" i="30"/>
  <c r="BQ38" i="30"/>
  <c r="BQ91" i="30" s="1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BA91" i="30" s="1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R91" i="30"/>
  <c r="BP91" i="30"/>
  <c r="BO91" i="30"/>
  <c r="BM91" i="30"/>
  <c r="BI91" i="30"/>
  <c r="BH91" i="30"/>
  <c r="BG91" i="30"/>
  <c r="BB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3" i="29" s="1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C4" i="29" s="1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CX91" i="30" l="1"/>
  <c r="C20" i="29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21" i="29" s="1"/>
  <c r="P7" i="29" s="1"/>
  <c r="P12" i="29" s="1"/>
  <c r="P4" i="29"/>
  <c r="P3" i="29"/>
  <c r="X26" i="29"/>
  <c r="X30" i="29" s="1"/>
  <c r="X25" i="29"/>
  <c r="X29" i="29" s="1"/>
  <c r="H5" i="29"/>
  <c r="H9" i="29" s="1"/>
  <c r="H20" i="29"/>
  <c r="H4" i="29"/>
  <c r="H3" i="29"/>
  <c r="L72" i="30" s="1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P29" i="29" s="1"/>
  <c r="C19" i="29"/>
  <c r="C5" i="29"/>
  <c r="C9" i="29" s="1"/>
  <c r="C41" i="29"/>
  <c r="C42" i="29" s="1"/>
  <c r="C26" i="29"/>
  <c r="C32" i="29" s="1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30" i="29" s="1"/>
  <c r="M25" i="29"/>
  <c r="M29" i="29" s="1"/>
  <c r="U26" i="29"/>
  <c r="U30" i="29" s="1"/>
  <c r="U25" i="29"/>
  <c r="U29" i="29" s="1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Z72" i="30" s="1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T28" i="30"/>
  <c r="CT62" i="30" s="1"/>
  <c r="CT108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T13" i="7"/>
  <c r="T12" i="7"/>
  <c r="T11" i="7"/>
  <c r="W72" i="30" l="1"/>
  <c r="Q72" i="30"/>
  <c r="M8" i="29"/>
  <c r="X8" i="29"/>
  <c r="AB72" i="30"/>
  <c r="U72" i="30"/>
  <c r="Q8" i="29"/>
  <c r="Q201" i="29" s="1"/>
  <c r="Z8" i="29"/>
  <c r="Z201" i="29" s="1"/>
  <c r="AD72" i="30"/>
  <c r="V72" i="30"/>
  <c r="R8" i="29"/>
  <c r="P72" i="30"/>
  <c r="L8" i="29"/>
  <c r="L201" i="29" s="1"/>
  <c r="N72" i="30"/>
  <c r="J8" i="29"/>
  <c r="N8" i="29"/>
  <c r="N201" i="29" s="1"/>
  <c r="R72" i="30"/>
  <c r="O8" i="29"/>
  <c r="S72" i="30"/>
  <c r="O72" i="30"/>
  <c r="K8" i="29"/>
  <c r="G72" i="30"/>
  <c r="C8" i="29"/>
  <c r="C201" i="29" s="1"/>
  <c r="C212" i="29" s="1"/>
  <c r="AC72" i="30"/>
  <c r="M72" i="30"/>
  <c r="I8" i="29"/>
  <c r="P8" i="29"/>
  <c r="P201" i="29" s="1"/>
  <c r="T72" i="30"/>
  <c r="U8" i="29"/>
  <c r="Y72" i="30"/>
  <c r="I72" i="30"/>
  <c r="E8" i="29"/>
  <c r="E201" i="29" s="1"/>
  <c r="E212" i="29" s="1"/>
  <c r="X72" i="30"/>
  <c r="T8" i="29"/>
  <c r="H72" i="30"/>
  <c r="D8" i="29"/>
  <c r="S8" i="29"/>
  <c r="F8" i="29"/>
  <c r="J72" i="30"/>
  <c r="AA72" i="30"/>
  <c r="G8" i="29"/>
  <c r="G201" i="29" s="1"/>
  <c r="K72" i="30"/>
  <c r="AF187" i="31"/>
  <c r="H8" i="29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I201" i="29"/>
  <c r="M201" i="29"/>
  <c r="K201" i="29"/>
  <c r="U167" i="28"/>
  <c r="V167" i="28"/>
  <c r="W167" i="28"/>
  <c r="AF188" i="28"/>
  <c r="V188" i="28"/>
  <c r="W188" i="28"/>
  <c r="AN215" i="33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H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BK108" i="30" s="1"/>
  <c r="CQ72" i="30"/>
  <c r="CR71" i="30"/>
  <c r="CR81" i="30" s="1"/>
  <c r="CG71" i="30"/>
  <c r="BB72" i="30"/>
  <c r="BB82" i="30" s="1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B83" i="30" l="1"/>
  <c r="BB84" i="30"/>
  <c r="BB81" i="30"/>
  <c r="C11" i="29"/>
  <c r="C13" i="29" s="1"/>
  <c r="F72" i="30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H39" i="29"/>
  <c r="X42" i="29"/>
  <c r="X28" i="29" s="1"/>
  <c r="X33" i="29" s="1"/>
  <c r="K42" i="29"/>
  <c r="K28" i="29" s="1"/>
  <c r="V42" i="29"/>
  <c r="V28" i="29" s="1"/>
  <c r="H63" i="29"/>
  <c r="H49" i="29" s="1"/>
  <c r="R42" i="29"/>
  <c r="R28" i="29" s="1"/>
  <c r="R33" i="29" s="1"/>
  <c r="I42" i="29"/>
  <c r="I28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Y86" i="30" l="1"/>
  <c r="CY87" i="30"/>
  <c r="CX87" i="30"/>
  <c r="CX86" i="30"/>
  <c r="CD87" i="30"/>
  <c r="CD86" i="30"/>
  <c r="CC86" i="30"/>
  <c r="CC87" i="30"/>
  <c r="CB87" i="30"/>
  <c r="CB86" i="30"/>
  <c r="CF86" i="30"/>
  <c r="CF87" i="30"/>
  <c r="CE86" i="30"/>
  <c r="CE87" i="30"/>
  <c r="C191" i="33"/>
  <c r="B109" i="30"/>
  <c r="B112" i="30" s="1"/>
  <c r="BD86" i="30"/>
  <c r="BD87" i="30"/>
  <c r="AX86" i="30"/>
  <c r="AX87" i="30"/>
  <c r="BC87" i="30"/>
  <c r="BC86" i="30"/>
  <c r="AZ87" i="30"/>
  <c r="AZ86" i="30"/>
  <c r="BA87" i="30"/>
  <c r="BA86" i="30"/>
  <c r="AV86" i="30"/>
  <c r="AV87" i="30"/>
  <c r="AY86" i="30"/>
  <c r="AY87" i="30"/>
  <c r="BB86" i="30"/>
  <c r="BB87" i="30"/>
  <c r="AW87" i="30"/>
  <c r="AW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BC76" i="33" l="1"/>
  <c r="BC152" i="33"/>
  <c r="AW76" i="33"/>
  <c r="AW152" i="33"/>
  <c r="AZ76" i="33"/>
  <c r="AZ152" i="33"/>
  <c r="AV76" i="33"/>
  <c r="AV133" i="33" s="1"/>
  <c r="AV152" i="33"/>
  <c r="BS76" i="33"/>
  <c r="BS152" i="33"/>
  <c r="BA76" i="33"/>
  <c r="BA152" i="33"/>
  <c r="AX76" i="33"/>
  <c r="AX133" i="33" s="1"/>
  <c r="AX152" i="33"/>
  <c r="BD76" i="33"/>
  <c r="BD122" i="33" s="1"/>
  <c r="BD168" i="33" s="1"/>
  <c r="BD152" i="33"/>
  <c r="BR76" i="33"/>
  <c r="BR152" i="33"/>
  <c r="AY76" i="33"/>
  <c r="AY152" i="33"/>
  <c r="BB76" i="33"/>
  <c r="BB133" i="33" s="1"/>
  <c r="BB152" i="33"/>
  <c r="BQ76" i="33"/>
  <c r="BQ152" i="33"/>
  <c r="AW78" i="33"/>
  <c r="AW154" i="33"/>
  <c r="BP78" i="33"/>
  <c r="BP154" i="33"/>
  <c r="BS78" i="33"/>
  <c r="BS124" i="33" s="1"/>
  <c r="BS170" i="33" s="1"/>
  <c r="BS154" i="33"/>
  <c r="AY78" i="33"/>
  <c r="AY124" i="33" s="1"/>
  <c r="AY170" i="33" s="1"/>
  <c r="AY154" i="33"/>
  <c r="BD78" i="33"/>
  <c r="BD154" i="33"/>
  <c r="BC78" i="33"/>
  <c r="BC154" i="33"/>
  <c r="AZ78" i="33"/>
  <c r="AZ124" i="33" s="1"/>
  <c r="AZ170" i="33" s="1"/>
  <c r="AZ154" i="33"/>
  <c r="BB78" i="33"/>
  <c r="BB135" i="33" s="1"/>
  <c r="BB154" i="33"/>
  <c r="BA78" i="33"/>
  <c r="BA154" i="33"/>
  <c r="BO78" i="33"/>
  <c r="BO154" i="33"/>
  <c r="BQ78" i="33"/>
  <c r="BQ124" i="33" s="1"/>
  <c r="BQ170" i="33" s="1"/>
  <c r="BQ154" i="33"/>
  <c r="AX78" i="33"/>
  <c r="AX124" i="33" s="1"/>
  <c r="AX170" i="33" s="1"/>
  <c r="AX154" i="33"/>
  <c r="AV78" i="33"/>
  <c r="AV154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D133" i="33" l="1"/>
  <c r="BQ135" i="33"/>
  <c r="AZ135" i="33"/>
  <c r="BS135" i="33"/>
  <c r="BB124" i="33"/>
  <c r="BB170" i="33" s="1"/>
  <c r="AX135" i="33"/>
  <c r="BC160" i="33"/>
  <c r="BC161" i="33" s="1"/>
  <c r="BC162" i="33" s="1"/>
  <c r="AY135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O76" i="33" l="1"/>
  <c r="BO152" i="33"/>
  <c r="BP76" i="33"/>
  <c r="BP152" i="33"/>
  <c r="BP160" i="33" s="1"/>
  <c r="BP161" i="33" s="1"/>
  <c r="BP162" i="33" s="1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Y148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E147" i="33" l="1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87" i="30" l="1"/>
  <c r="BQ86" i="30"/>
  <c r="BR87" i="30"/>
  <c r="BR86" i="30"/>
  <c r="BS87" i="30"/>
  <c r="BS86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Q175" i="24"/>
  <c r="P175" i="24"/>
  <c r="O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7" i="33" l="1"/>
  <c r="AL208" i="33"/>
  <c r="AL209" i="33"/>
  <c r="AL207" i="33" s="1"/>
  <c r="D210" i="33" s="1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L175" i="24"/>
  <c r="F176" i="24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O201" i="24" l="1"/>
  <c r="O211" i="24" s="1"/>
  <c r="O218" i="24" s="1"/>
  <c r="O162" i="24"/>
  <c r="O172" i="24" s="1"/>
  <c r="O215" i="24" s="1"/>
  <c r="Q201" i="24"/>
  <c r="Q211" i="24" s="1"/>
  <c r="Q218" i="24" s="1"/>
  <c r="Q162" i="24"/>
  <c r="Q172" i="24" s="1"/>
  <c r="Q215" i="24" s="1"/>
  <c r="T177" i="24"/>
  <c r="T190" i="24"/>
  <c r="T198" i="24" s="1"/>
  <c r="T217" i="24" s="1"/>
  <c r="M201" i="24"/>
  <c r="M211" i="24" s="1"/>
  <c r="M218" i="24" s="1"/>
  <c r="M175" i="24"/>
  <c r="M185" i="24" s="1"/>
  <c r="M216" i="24" s="1"/>
  <c r="N201" i="24"/>
  <c r="N211" i="24" s="1"/>
  <c r="N218" i="24" s="1"/>
  <c r="N175" i="24"/>
  <c r="N185" i="24" s="1"/>
  <c r="N216" i="24" s="1"/>
  <c r="R201" i="24"/>
  <c r="R211" i="24" s="1"/>
  <c r="R218" i="24" s="1"/>
  <c r="R175" i="24"/>
  <c r="R185" i="24" s="1"/>
  <c r="R216" i="24" s="1"/>
  <c r="P201" i="24"/>
  <c r="P211" i="24" s="1"/>
  <c r="P218" i="24" s="1"/>
  <c r="P162" i="24"/>
  <c r="P172" i="24" s="1"/>
  <c r="P215" i="24" s="1"/>
  <c r="D217" i="33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BC21" i="29" s="1"/>
  <c r="U22" i="7"/>
  <c r="BC24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T16" i="7"/>
  <c r="BB18" i="29" s="1"/>
  <c r="BH18" i="29" s="1"/>
  <c r="L2" i="7"/>
  <c r="M2" i="7" s="1"/>
  <c r="U23" i="7" l="1"/>
  <c r="BC25" i="29" s="1"/>
  <c r="T6" i="7"/>
  <c r="BB8" i="29" s="1"/>
  <c r="T7" i="7"/>
  <c r="BB9" i="29" s="1"/>
  <c r="T15" i="7"/>
  <c r="T10" i="7"/>
  <c r="V22" i="7"/>
  <c r="T22" i="7"/>
  <c r="BB24" i="29" s="1"/>
  <c r="V11" i="7"/>
  <c r="U11" i="7"/>
  <c r="V12" i="7"/>
  <c r="U12" i="7"/>
  <c r="V16" i="7"/>
  <c r="U16" i="7"/>
  <c r="BC18" i="29" s="1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M25" i="7"/>
  <c r="T3" i="7"/>
  <c r="BB5" i="29" s="1"/>
  <c r="L30" i="7"/>
  <c r="M26" i="7"/>
  <c r="M37" i="7"/>
  <c r="M32" i="7"/>
  <c r="M31" i="7"/>
  <c r="M33" i="7"/>
  <c r="M34" i="7"/>
  <c r="M27" i="7"/>
  <c r="M29" i="7"/>
  <c r="M36" i="7"/>
  <c r="U20" i="7"/>
  <c r="U24" i="7"/>
  <c r="M28" i="7"/>
  <c r="M39" i="7"/>
  <c r="L66" i="7"/>
  <c r="U21" i="7"/>
  <c r="V23" i="7" l="1"/>
  <c r="T23" i="7"/>
  <c r="BB25" i="29" s="1"/>
  <c r="U15" i="7"/>
  <c r="V6" i="7"/>
  <c r="V15" i="7"/>
  <c r="V4" i="7"/>
  <c r="T4" i="7"/>
  <c r="U4" i="7"/>
  <c r="V9" i="7"/>
  <c r="T9" i="7"/>
  <c r="T8" i="7"/>
  <c r="V8" i="7"/>
  <c r="U7" i="7"/>
  <c r="BC9" i="29" s="1"/>
  <c r="V7" i="7"/>
  <c r="U10" i="7"/>
  <c r="V10" i="7"/>
  <c r="V21" i="7"/>
  <c r="T21" i="7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BC5" i="29" s="1"/>
  <c r="R28" i="7"/>
  <c r="S28" i="7"/>
  <c r="U5" i="7"/>
  <c r="R21" i="7"/>
  <c r="S21" i="7"/>
  <c r="R24" i="7"/>
  <c r="S24" i="7"/>
  <c r="R20" i="7"/>
  <c r="S20" i="7"/>
  <c r="U39" i="7"/>
  <c r="R29" i="7"/>
  <c r="S29" i="7"/>
  <c r="U32" i="7"/>
  <c r="S25" i="7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C183" i="33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3" i="30" s="1"/>
  <c r="T234" i="31"/>
  <c r="T272" i="31" s="1"/>
  <c r="X272" i="31" s="1"/>
  <c r="J142" i="31" s="1"/>
  <c r="C220" i="33" s="1"/>
  <c r="AK26" i="29"/>
  <c r="C184" i="33" s="1"/>
  <c r="C185" i="33" s="1"/>
  <c r="D185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4" i="30" l="1"/>
  <c r="C192" i="33" s="1"/>
  <c r="C276" i="33" s="1"/>
  <c r="C293" i="33" s="1"/>
  <c r="X234" i="31"/>
  <c r="C307" i="33" s="1"/>
  <c r="D184" i="33"/>
  <c r="D183" i="33" s="1"/>
  <c r="AJ216" i="33" s="1"/>
  <c r="AN216" i="33" s="1"/>
  <c r="D220" i="33" s="1"/>
  <c r="X237" i="3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115" i="30" l="1"/>
  <c r="B126" i="30" s="1"/>
  <c r="B167" i="31"/>
  <c r="J167" i="31" s="1"/>
  <c r="C235" i="33" s="1"/>
  <c r="C236" i="33" s="1"/>
  <c r="BR39" i="23"/>
  <c r="H93" i="23" s="1"/>
  <c r="H95" i="23" s="1"/>
  <c r="C243" i="33"/>
  <c r="D243" i="33" s="1"/>
  <c r="Z237" i="31"/>
  <c r="AA237" i="31" s="1"/>
  <c r="C244" i="33" s="1"/>
  <c r="AK225" i="33"/>
  <c r="AO225" i="33" s="1"/>
  <c r="AO228" i="33" s="1"/>
  <c r="D192" i="33"/>
  <c r="D235" i="33" s="1"/>
  <c r="D236" i="3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J170" i="31" l="1"/>
  <c r="AQ228" i="33"/>
  <c r="AR228" i="33" s="1"/>
  <c r="AS228" i="33" s="1"/>
  <c r="AT228" i="33" s="1"/>
  <c r="AW228" i="33" s="1"/>
  <c r="D240" i="33" s="1"/>
  <c r="D276" i="33"/>
  <c r="D244" i="33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<sst xmlns="http://schemas.openxmlformats.org/spreadsheetml/2006/main" count="3098" uniqueCount="1464">
  <si>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</si>
  <si>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</si>
  <si>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</si>
  <si>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</si>
  <si>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</si>
  <si>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</si>
  <si>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</si>
  <si>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</si>
  <si>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</si>
  <si>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</si>
  <si>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</si>
  <si>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</si>
  <si>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</si>
  <si>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</si>
  <si>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</si>
  <si>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</si>
  <si>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</si>
  <si>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</si>
  <si>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</si>
  <si>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</si>
  <si>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</si>
  <si>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</si>
  <si>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</si>
  <si>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</si>
  <si>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</si>
  <si>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</si>
  <si>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</si>
  <si>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</si>
  <si>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</si>
  <si>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</si>
  <si>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</si>
  <si>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</si>
  <si>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</si>
  <si>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</si>
  <si>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</si>
  <si>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</si>
  <si>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</si>
  <si>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</si>
  <si>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</si>
  <si>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</si>
  <si>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</si>
  <si>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</si>
  <si>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</si>
  <si>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</si>
  <si>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</si>
  <si>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</si>
  <si>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</si>
  <si>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</si>
  <si>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</si>
  <si>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</si>
  <si>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</si>
  <si>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</si>
  <si>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</si>
  <si>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</si>
  <si>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</si>
  <si>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</si>
  <si>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</si>
  <si>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</si>
  <si>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</si>
  <si>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</si>
  <si>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</si>
  <si>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</si>
  <si>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</si>
  <si>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</si>
  <si>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</si>
  <si>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</si>
  <si>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</si>
  <si>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</si>
  <si>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</si>
  <si>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</si>
  <si>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</si>
  <si>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</si>
  <si>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</si>
  <si>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</si>
  <si>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</si>
  <si>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</si>
  <si>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</si>
  <si>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</si>
  <si>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</si>
  <si>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</si>
  <si>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</si>
  <si>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</si>
  <si>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</si>
  <si>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</si>
  <si>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</si>
  <si>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</si>
  <si>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</si>
  <si>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</si>
  <si>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</si>
  <si>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</si>
  <si>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</si>
  <si>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</si>
  <si>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</si>
  <si>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</si>
  <si>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</si>
  <si>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</si>
  <si>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</si>
  <si>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</si>
  <si>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</si>
  <si>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</si>
  <si>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</si>
  <si>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</si>
  <si>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</si>
  <si>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</si>
  <si>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</si>
  <si>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</si>
  <si>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</si>
  <si>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</si>
  <si>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</si>
  <si>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</si>
  <si>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</si>
  <si>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</si>
  <si>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</si>
  <si>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</si>
  <si>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</si>
  <si>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</si>
  <si>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</si>
  <si>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</si>
  <si>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</si>
  <si>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</si>
  <si>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</si>
  <si>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</si>
  <si>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</si>
  <si>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</si>
  <si>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</si>
  <si>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</si>
  <si>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</si>
  <si>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</si>
  <si>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</si>
  <si>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</si>
  <si>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</si>
  <si>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</si>
  <si>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</si>
  <si>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</si>
  <si>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</si>
  <si>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</si>
  <si>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</si>
  <si>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</si>
  <si>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</si>
  <si>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</si>
  <si>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</si>
  <si>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</si>
  <si>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</si>
  <si>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</si>
  <si>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</si>
  <si>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</si>
  <si>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</si>
  <si>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</si>
  <si>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</si>
  <si>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</si>
  <si>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</si>
  <si>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</si>
  <si>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</si>
  <si>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</si>
  <si>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</si>
  <si>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</si>
  <si>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</si>
  <si>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</si>
  <si>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</si>
  <si>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</si>
  <si>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</si>
  <si>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</si>
  <si>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</si>
  <si>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</si>
  <si>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</si>
  <si>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</si>
  <si>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</si>
  <si>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</si>
  <si>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</si>
  <si>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</si>
  <si>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</si>
  <si>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</si>
  <si>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</si>
  <si>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</si>
  <si>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</si>
  <si>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</si>
  <si>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</si>
  <si>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</si>
  <si>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</si>
  <si>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</si>
  <si>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</si>
  <si>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</si>
  <si>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</si>
  <si>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</si>
  <si>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</si>
  <si>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</si>
  <si>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</si>
  <si>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</si>
  <si>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</si>
  <si>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</si>
  <si>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</si>
  <si>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</si>
  <si>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</si>
  <si>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</si>
  <si>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</si>
  <si>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</si>
  <si>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</si>
  <si>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</si>
  <si>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</si>
  <si>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</si>
  <si>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</si>
  <si>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</si>
  <si>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</si>
  <si>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</si>
  <si>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</si>
  <si>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</si>
  <si>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</si>
  <si>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</si>
  <si>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</si>
  <si>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</si>
  <si>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</si>
  <si>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</si>
  <si>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</si>
  <si>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</si>
  <si>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</si>
  <si>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</si>
  <si>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</si>
  <si>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</si>
  <si>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</si>
  <si>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</si>
  <si>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</si>
  <si>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</si>
  <si>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</si>
  <si>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</si>
  <si>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</si>
  <si>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</si>
  <si>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</si>
  <si>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</si>
  <si>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</si>
  <si>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</si>
  <si>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</si>
  <si>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</si>
  <si>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</si>
  <si>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</si>
  <si>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</si>
  <si>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</si>
  <si>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</si>
  <si>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</si>
  <si>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</si>
  <si>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</si>
  <si>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</si>
  <si>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</si>
  <si>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</si>
  <si>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</si>
  <si>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</si>
  <si>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</si>
  <si>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</si>
  <si>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</si>
  <si>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</si>
  <si>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</si>
  <si>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</si>
  <si>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</si>
  <si>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</si>
  <si>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</si>
  <si>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</si>
  <si>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</si>
  <si>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</si>
  <si>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</si>
  <si>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</si>
  <si>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</si>
  <si>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</si>
  <si>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</si>
  <si>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</si>
  <si>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</si>
  <si>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</si>
  <si>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</si>
  <si>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</si>
  <si>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</si>
  <si>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</si>
  <si>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</si>
  <si>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</si>
  <si>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</si>
  <si>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</si>
  <si>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</si>
  <si>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</si>
  <si>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</si>
  <si>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</si>
  <si>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</si>
  <si>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</si>
  <si>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</si>
  <si>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</si>
  <si>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</si>
  <si>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</si>
  <si>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</si>
  <si>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</si>
  <si>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</si>
  <si>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</si>
  <si>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</si>
  <si>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</si>
  <si>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</si>
  <si>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</si>
  <si>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</si>
  <si>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</si>
  <si>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</si>
  <si>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</si>
  <si>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</si>
  <si>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</si>
  <si>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</si>
  <si>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</si>
  <si>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</si>
  <si>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</si>
  <si>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</si>
  <si>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</si>
  <si>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</si>
  <si>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</si>
  <si>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</si>
  <si>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</si>
  <si>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</si>
  <si>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</si>
  <si>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</si>
  <si>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</si>
  <si>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</si>
  <si>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</si>
  <si>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</si>
  <si>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</si>
  <si>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</si>
  <si>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</si>
  <si>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</si>
  <si>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</si>
  <si>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</si>
  <si>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</si>
  <si>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</si>
  <si>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</si>
  <si>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</si>
  <si>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</si>
  <si>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</si>
  <si>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</si>
  <si>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</si>
  <si>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</si>
  <si>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</si>
  <si>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</si>
  <si>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</si>
  <si>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</si>
  <si>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</si>
  <si>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</si>
  <si>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</si>
  <si>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</si>
  <si>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</si>
  <si>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</si>
  <si>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</si>
  <si>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</si>
  <si>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</si>
  <si>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</si>
  <si>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</si>
  <si>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</si>
  <si>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</si>
  <si>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</si>
  <si>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</si>
  <si>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</si>
  <si>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</si>
  <si>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</si>
  <si>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</si>
  <si>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</si>
  <si>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</si>
  <si>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</si>
  <si>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</si>
  <si>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</si>
  <si>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</si>
  <si>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</si>
  <si>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</si>
  <si>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</si>
  <si>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</si>
  <si>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</si>
  <si>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</si>
  <si>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</si>
  <si>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</si>
  <si>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</si>
  <si>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</si>
  <si>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</si>
  <si>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</si>
  <si>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</si>
  <si>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</si>
  <si>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</si>
  <si>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</si>
  <si>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</si>
  <si>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</si>
  <si>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</si>
  <si>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</si>
  <si>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</si>
  <si>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</si>
  <si>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</si>
  <si>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</si>
  <si>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</si>
  <si>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</si>
  <si>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</si>
  <si>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</si>
  <si>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</si>
  <si>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</si>
  <si>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</si>
  <si>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</si>
  <si>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</si>
  <si>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</si>
  <si>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</si>
  <si>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</si>
  <si>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</si>
  <si>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</si>
  <si>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</si>
  <si>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</si>
  <si>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</si>
  <si>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</si>
  <si>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</si>
  <si>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</si>
  <si>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</si>
  <si>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</si>
  <si>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</si>
  <si>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</si>
  <si>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</si>
  <si>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</si>
  <si>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</si>
  <si>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</si>
  <si>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</si>
  <si>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</si>
  <si>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</si>
  <si>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</si>
  <si>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</si>
  <si>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</si>
  <si>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</si>
  <si>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</si>
  <si>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</si>
  <si>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</si>
  <si>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</si>
  <si>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</si>
  <si>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</si>
  <si>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</si>
  <si>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</si>
  <si>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</si>
  <si>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</si>
  <si>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</si>
  <si>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</si>
  <si>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</si>
  <si>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</si>
  <si>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</si>
  <si>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</si>
  <si>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</si>
  <si>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</si>
  <si>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</si>
  <si>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</si>
  <si>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</si>
  <si>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</si>
  <si>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</si>
  <si>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</si>
  <si>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</si>
  <si>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</si>
  <si>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</si>
  <si>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</si>
  <si>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</si>
  <si>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</si>
  <si>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</si>
  <si>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</si>
  <si>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</si>
  <si>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</si>
  <si>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</si>
  <si>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</si>
  <si>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</si>
  <si>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</si>
  <si>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</si>
  <si>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</si>
  <si>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</si>
  <si>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</si>
  <si>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</si>
  <si>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</si>
  <si>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</si>
  <si>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</si>
  <si>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</si>
  <si>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</si>
  <si>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</si>
  <si>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</si>
  <si>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</si>
  <si>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</si>
  <si>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</si>
  <si>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</si>
  <si>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</si>
  <si>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</si>
  <si>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</si>
  <si>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</si>
  <si>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</si>
  <si>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</si>
  <si>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</si>
  <si>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</si>
  <si>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</si>
  <si>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</si>
  <si>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</si>
  <si>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</si>
  <si>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</si>
  <si>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</si>
  <si>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</si>
  <si>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</si>
  <si>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</si>
  <si>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</si>
  <si>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</si>
  <si>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</si>
  <si>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</si>
  <si>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</si>
  <si>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</si>
  <si>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</si>
  <si>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</si>
  <si>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</si>
  <si>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</si>
  <si>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</si>
  <si>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</si>
  <si>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</si>
  <si>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</si>
  <si>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</si>
  <si>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</si>
  <si>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</si>
  <si>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</si>
  <si>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</si>
  <si>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</si>
  <si>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</si>
  <si>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</si>
  <si>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</si>
  <si>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</si>
  <si>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</si>
  <si>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</si>
  <si>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</si>
  <si>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</si>
  <si>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</si>
  <si>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</si>
  <si>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</si>
  <si>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</si>
  <si>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</si>
  <si>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</si>
  <si>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</si>
  <si>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</si>
  <si>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</si>
  <si>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</si>
  <si>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</si>
  <si>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</si>
  <si>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</si>
  <si>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</si>
  <si>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</si>
  <si>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</si>
  <si>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</si>
  <si>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</si>
  <si>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</si>
  <si>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</si>
  <si>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</si>
  <si>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</si>
  <si>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</si>
  <si>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</si>
  <si>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</si>
  <si>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</si>
  <si>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</si>
  <si>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</si>
  <si>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</si>
  <si>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</si>
  <si>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</si>
  <si>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</si>
  <si>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</si>
  <si>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</si>
  <si>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</si>
  <si>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</si>
  <si>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</si>
  <si>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</si>
  <si>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</si>
  <si>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</si>
  <si>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</si>
  <si>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</si>
  <si>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</si>
  <si>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</si>
  <si>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</si>
  <si>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</si>
  <si>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</si>
  <si>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</si>
  <si>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</si>
  <si>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</si>
  <si>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</si>
  <si>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</si>
  <si>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</si>
  <si>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</si>
  <si>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</si>
  <si>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</si>
  <si>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</si>
  <si>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</si>
  <si>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</si>
  <si>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</si>
  <si>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</si>
  <si>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</si>
  <si>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</si>
  <si>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</si>
  <si>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</si>
  <si>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</si>
  <si>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</si>
  <si>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</si>
  <si>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</si>
  <si>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</si>
  <si>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</si>
  <si>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</si>
  <si>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</si>
  <si>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</si>
  <si>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</si>
  <si>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</si>
  <si>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</si>
  <si>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</si>
  <si>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</si>
  <si>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</si>
  <si>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</si>
  <si>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</si>
  <si>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</si>
  <si>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</si>
  <si>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</si>
  <si>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</si>
  <si>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</si>
  <si>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</si>
  <si>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</si>
  <si>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</si>
  <si>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</si>
  <si>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</si>
  <si>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</si>
  <si>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</si>
  <si>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</si>
  <si>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</si>
  <si>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</si>
  <si>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</si>
  <si>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</si>
  <si>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</si>
  <si>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</si>
  <si>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</si>
  <si>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</si>
  <si>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</si>
  <si>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</si>
  <si>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</si>
  <si>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</si>
  <si>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</si>
  <si>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</si>
  <si>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</si>
  <si>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</si>
  <si>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</si>
  <si>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</si>
  <si>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</si>
  <si>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</si>
  <si>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</si>
  <si>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</si>
  <si>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</si>
  <si>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</si>
  <si>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</si>
  <si>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</si>
  <si>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</si>
  <si>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</si>
  <si>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</si>
  <si>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</si>
  <si>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</si>
  <si>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</si>
  <si>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</si>
  <si>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</si>
  <si>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</si>
  <si>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</si>
  <si>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</si>
  <si>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</si>
  <si>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</si>
  <si>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</si>
  <si>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</si>
  <si>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</si>
  <si>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</si>
  <si>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</si>
  <si>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</si>
  <si>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</si>
  <si>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</si>
  <si>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</si>
  <si>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</si>
  <si>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</si>
  <si>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</si>
  <si>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</si>
  <si>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</si>
  <si>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</si>
  <si>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</si>
  <si>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</si>
  <si>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</si>
  <si>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</si>
  <si>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</si>
  <si>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</si>
  <si>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</si>
  <si>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</si>
  <si>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</si>
  <si>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</si>
  <si>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</si>
  <si>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</si>
  <si>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</si>
  <si>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</si>
  <si>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</si>
  <si>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</si>
  <si>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</si>
  <si>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</si>
  <si>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</si>
  <si>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</si>
  <si>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</si>
  <si>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</si>
  <si>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</si>
  <si>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</si>
  <si>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</si>
  <si>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</si>
  <si>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</si>
  <si>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</si>
  <si>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</si>
  <si>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</si>
  <si>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</si>
  <si>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</si>
  <si>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</si>
  <si>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</si>
  <si>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</si>
  <si>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</si>
  <si>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</si>
  <si>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</si>
  <si>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</si>
  <si>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</si>
  <si>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</si>
  <si>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</si>
  <si>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</si>
  <si>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</si>
  <si>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</si>
  <si>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</si>
  <si>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</si>
  <si>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</si>
  <si>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</si>
  <si>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</si>
  <si>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</si>
  <si>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</si>
  <si>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</si>
  <si>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</si>
  <si>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</si>
  <si>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</si>
  <si>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</si>
  <si>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</si>
  <si>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</si>
  <si>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</si>
  <si>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</si>
  <si>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</si>
  <si>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</si>
  <si>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</si>
  <si>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</si>
  <si>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</si>
  <si>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</si>
  <si>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</si>
  <si>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</si>
  <si>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</si>
  <si>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</si>
  <si>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</si>
  <si>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</si>
  <si>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</si>
  <si>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</si>
  <si>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</si>
  <si>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</si>
  <si>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</si>
  <si>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</si>
  <si>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</si>
  <si>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</si>
  <si>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</si>
  <si>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</si>
  <si>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</si>
  <si>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</si>
  <si>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</si>
  <si>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</si>
  <si>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</si>
  <si>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</si>
  <si>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</si>
  <si>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</si>
  <si>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</si>
  <si>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</si>
  <si>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</si>
  <si>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</si>
  <si>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</si>
  <si>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</si>
  <si>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</si>
  <si>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</si>
  <si>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</si>
  <si>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</si>
  <si>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</si>
  <si>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</si>
  <si>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</si>
  <si>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</si>
  <si>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</si>
  <si>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</si>
  <si>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</si>
  <si>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</si>
  <si>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</si>
  <si>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</si>
  <si>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</si>
  <si>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</si>
  <si>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</si>
  <si>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</si>
  <si>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</si>
  <si>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</si>
  <si>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</si>
  <si>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</si>
  <si>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</si>
  <si>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</si>
  <si>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</si>
  <si>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</si>
  <si>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</si>
  <si>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</si>
  <si>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</si>
  <si>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</si>
  <si>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</si>
  <si>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</si>
  <si>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</si>
  <si>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</si>
  <si>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</si>
  <si>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</si>
  <si>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</si>
  <si>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</si>
  <si>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</si>
  <si>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</si>
  <si>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</si>
  <si>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</si>
  <si>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</si>
  <si>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</si>
  <si>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</si>
  <si>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</si>
  <si>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</si>
  <si>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</si>
  <si>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</si>
  <si>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</si>
  <si>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</si>
  <si>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</si>
  <si>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</si>
  <si>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</si>
  <si>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</si>
  <si>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</si>
  <si>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</si>
  <si>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</si>
  <si>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</si>
  <si>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</si>
  <si>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</si>
  <si>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</si>
  <si>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</si>
  <si>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</si>
  <si>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</si>
  <si>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</si>
  <si>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</si>
  <si>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</si>
  <si>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</si>
  <si>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</si>
  <si>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</si>
  <si>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</si>
  <si>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</si>
  <si>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</si>
  <si>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</si>
  <si>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</si>
  <si>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</si>
  <si>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</si>
  <si>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</si>
  <si>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</si>
  <si>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</si>
  <si>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</si>
  <si>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</si>
  <si>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</si>
  <si>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</si>
  <si>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</si>
  <si>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</si>
  <si>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</si>
  <si>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</si>
  <si>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</si>
  <si>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</si>
  <si>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</si>
  <si>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</si>
  <si>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</si>
  <si>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</si>
  <si>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</si>
  <si>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</si>
  <si>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</si>
  <si>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</si>
  <si>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</si>
  <si>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</si>
  <si>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</si>
  <si>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</si>
  <si>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</si>
  <si>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</si>
  <si>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</si>
  <si>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</si>
  <si>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</si>
  <si>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</si>
  <si>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</si>
  <si>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</si>
  <si>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</si>
  <si>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</si>
  <si>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</si>
  <si>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</si>
  <si>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</si>
  <si>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</si>
  <si>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</si>
  <si>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</si>
  <si>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</si>
  <si>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</si>
  <si>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</si>
  <si>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</si>
  <si>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</si>
  <si>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</si>
  <si>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</si>
  <si>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</si>
  <si>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</si>
  <si>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</si>
  <si>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</si>
  <si>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</si>
  <si>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</si>
  <si>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</si>
  <si>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</si>
  <si>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</si>
  <si>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</si>
  <si>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</si>
  <si>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</si>
  <si>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</si>
  <si>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</si>
  <si>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</si>
  <si>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</si>
  <si>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</si>
  <si>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</si>
  <si>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</si>
  <si>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</si>
  <si>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</si>
  <si>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</si>
  <si>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</si>
  <si>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</si>
  <si>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</si>
  <si>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</si>
  <si>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</si>
  <si>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</si>
  <si>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</si>
  <si>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</si>
  <si>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</si>
  <si>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</si>
  <si>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</si>
  <si>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</si>
  <si>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</si>
  <si>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</si>
  <si>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</si>
  <si>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</si>
  <si>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</si>
  <si>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</si>
  <si>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</si>
  <si>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</si>
  <si>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</si>
  <si>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</si>
  <si>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</si>
  <si>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</si>
  <si>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</si>
  <si>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</si>
  <si>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</si>
  <si>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</si>
  <si>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</si>
  <si>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</si>
  <si>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</si>
  <si>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</si>
  <si>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</si>
  <si>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</si>
  <si>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</si>
  <si>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</si>
  <si>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</si>
  <si>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</si>
  <si>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</si>
  <si>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</si>
  <si>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</si>
  <si>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</si>
  <si>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</si>
  <si>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</si>
  <si>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</si>
  <si>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</si>
  <si>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</si>
  <si>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</si>
  <si>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</si>
  <si>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</si>
  <si>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</si>
  <si>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</si>
  <si>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</si>
  <si>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</si>
  <si>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</si>
  <si>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</si>
  <si>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</si>
  <si>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</si>
  <si>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</si>
  <si>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</si>
  <si>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</si>
  <si>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</si>
  <si>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</si>
  <si>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</si>
  <si>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</si>
  <si>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</si>
  <si>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</si>
  <si>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</si>
  <si>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</si>
  <si>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</si>
  <si>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</si>
  <si>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</si>
  <si>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</si>
  <si>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</si>
  <si>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</si>
  <si>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</si>
  <si>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</si>
  <si>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</si>
  <si>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</si>
  <si>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</si>
  <si>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</si>
  <si>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</si>
  <si>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</si>
  <si>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</si>
  <si>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</si>
  <si>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</si>
  <si>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</si>
  <si>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</si>
  <si>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</si>
  <si>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</si>
  <si>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</si>
  <si>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</si>
  <si>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</si>
  <si>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</si>
  <si>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</si>
  <si>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</si>
  <si>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</si>
  <si>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</si>
  <si>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</si>
  <si>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</si>
  <si>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</si>
  <si>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</si>
  <si>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</si>
  <si>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</si>
  <si>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</si>
  <si>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</si>
  <si>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</si>
  <si>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</si>
  <si>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</si>
  <si>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</si>
  <si>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</si>
  <si>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</si>
  <si>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</si>
  <si>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</si>
  <si>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</si>
  <si>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</si>
  <si>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</si>
  <si>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</si>
  <si>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</si>
  <si>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</si>
  <si>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</si>
  <si>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</si>
  <si>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</si>
  <si>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</si>
  <si>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</si>
  <si>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</si>
  <si>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</si>
  <si>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</si>
  <si>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</si>
  <si>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</si>
  <si>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</si>
  <si>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</si>
  <si>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</si>
  <si>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</si>
  <si>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</si>
  <si>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</si>
  <si>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</si>
  <si>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</si>
  <si>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</si>
  <si>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</si>
  <si>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</si>
  <si>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</si>
  <si>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</si>
  <si>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</si>
  <si>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</si>
  <si>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</si>
  <si>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</si>
  <si>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</si>
  <si>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</si>
  <si>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</si>
  <si>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</si>
  <si>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</si>
  <si>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</si>
  <si>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</si>
  <si>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</si>
  <si>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</si>
  <si>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</si>
  <si>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</si>
  <si>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</si>
  <si>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</si>
  <si>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</si>
  <si>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</si>
  <si>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</si>
  <si>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</si>
  <si>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</si>
  <si>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</si>
  <si>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</si>
  <si>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</si>
  <si>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</si>
  <si>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</si>
  <si>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</si>
  <si>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</si>
  <si>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</si>
  <si>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</si>
  <si>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</si>
  <si>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</si>
  <si>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</si>
  <si>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</si>
  <si>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</si>
  <si>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</si>
  <si>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</si>
  <si>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</si>
  <si>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</si>
  <si>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</si>
  <si>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</si>
  <si>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</si>
  <si>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</si>
  <si>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</si>
  <si>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</si>
  <si>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</si>
  <si>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</si>
  <si>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</si>
  <si>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</si>
  <si>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</si>
  <si>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</si>
  <si>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</si>
  <si>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</si>
  <si>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</si>
  <si>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</si>
  <si>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</si>
  <si>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</si>
  <si>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</si>
  <si>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</si>
  <si>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</si>
  <si>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</si>
  <si>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</si>
  <si>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</si>
  <si>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</si>
  <si>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</si>
  <si>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</si>
  <si>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</si>
  <si>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</si>
  <si>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</si>
  <si>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</si>
  <si>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</si>
  <si>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</si>
  <si>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</si>
  <si>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</si>
  <si>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</si>
  <si>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</si>
  <si>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</si>
  <si>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</si>
  <si>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</si>
  <si>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</si>
  <si>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</si>
  <si>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</si>
  <si>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</si>
  <si>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</si>
  <si>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</si>
  <si>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</si>
  <si>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</si>
  <si>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</si>
  <si>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</si>
  <si>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</si>
  <si>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</si>
  <si>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</si>
  <si>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</si>
  <si>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</si>
  <si>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</si>
  <si>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</si>
  <si>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</si>
  <si>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</si>
  <si>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</si>
  <si>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</si>
  <si>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</si>
  <si>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</si>
  <si>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</si>
  <si>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</si>
  <si>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</si>
  <si>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</si>
  <si>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</si>
  <si>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</si>
  <si>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</si>
  <si>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</si>
  <si>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</si>
  <si>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</si>
  <si>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</si>
  <si>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</si>
  <si>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</si>
  <si>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</si>
  <si>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</si>
  <si>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</si>
  <si>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</si>
  <si>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</si>
  <si>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</si>
  <si>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</si>
  <si>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</si>
  <si>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</si>
  <si>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</si>
  <si>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</si>
  <si>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</si>
  <si>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</si>
  <si>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</si>
  <si>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</si>
  <si>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</si>
  <si>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</si>
  <si>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</si>
  <si>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</si>
  <si>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</si>
  <si>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</si>
  <si>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</si>
  <si>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</si>
  <si>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</si>
  <si>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</si>
  <si>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</si>
  <si>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</si>
  <si>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</si>
  <si>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</si>
  <si>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</si>
  <si>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</si>
  <si>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</si>
  <si>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</si>
  <si>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</si>
  <si>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</si>
  <si>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</si>
  <si>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</si>
  <si>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</si>
  <si>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</si>
  <si>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</si>
  <si>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</si>
  <si>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</si>
  <si>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</si>
  <si>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</si>
  <si>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</si>
  <si>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</si>
  <si>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</si>
  <si>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</si>
  <si>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</si>
  <si>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</si>
  <si>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</si>
  <si>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</si>
  <si>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</si>
  <si>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</si>
  <si>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</si>
  <si>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</si>
  <si>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</si>
  <si>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</si>
  <si>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</si>
  <si>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</si>
  <si>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</si>
  <si>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</si>
  <si>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</si>
  <si>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</si>
  <si>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</si>
  <si>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</si>
  <si>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</si>
  <si>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</si>
  <si>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</si>
  <si>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</si>
  <si>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</si>
  <si>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</si>
  <si>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</si>
  <si>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</si>
  <si>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</si>
  <si>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</si>
  <si>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</si>
  <si>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</si>
  <si>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</si>
  <si>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</si>
  <si>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</si>
  <si>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</si>
  <si>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</si>
  <si>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</si>
  <si>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</si>
  <si>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</si>
  <si>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</si>
  <si>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</si>
  <si>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</si>
  <si>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</si>
  <si>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</si>
  <si>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</si>
  <si>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</si>
  <si>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</si>
  <si>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</si>
  <si>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</si>
  <si>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</si>
  <si>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</si>
  <si>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</si>
  <si>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</si>
  <si>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</si>
  <si>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</si>
  <si>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</si>
  <si>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</si>
  <si>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</si>
  <si>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</si>
  <si>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</si>
  <si>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</si>
  <si>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</si>
  <si>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</si>
  <si>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</si>
  <si>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</si>
  <si>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</si>
  <si>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</si>
  <si>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</si>
  <si>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</si>
  <si>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</si>
  <si>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</si>
  <si>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</si>
  <si>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</si>
  <si>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</si>
  <si>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</si>
  <si>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</si>
  <si>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</si>
  <si>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</si>
  <si>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</si>
  <si>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</si>
  <si>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</si>
  <si>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</si>
  <si>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</si>
  <si>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</si>
  <si>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</si>
  <si>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</si>
  <si>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</si>
  <si>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</si>
  <si>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</si>
  <si>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</si>
  <si>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</si>
  <si>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</si>
  <si>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</si>
  <si>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</si>
  <si>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</si>
  <si>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</si>
  <si>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</si>
  <si>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</si>
  <si>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</si>
  <si>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</si>
  <si>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</si>
  <si>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</si>
  <si>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</si>
  <si>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</si>
  <si>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</si>
  <si>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</si>
  <si>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</si>
  <si>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</si>
  <si>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</si>
  <si>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</si>
  <si>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</si>
  <si>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</si>
  <si>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</si>
  <si>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</si>
  <si>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</si>
  <si>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</si>
  <si>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</si>
  <si>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</si>
  <si>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</si>
  <si>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</si>
  <si>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</si>
  <si>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</si>
  <si>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</si>
  <si>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</si>
  <si>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</si>
  <si>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</si>
  <si>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</si>
  <si>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</si>
  <si>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</si>
  <si>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</si>
  <si>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</si>
  <si>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</si>
  <si>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</si>
  <si>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</si>
  <si>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</si>
  <si>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</si>
  <si>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</si>
  <si>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</si>
  <si>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</si>
  <si>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</si>
  <si>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</si>
  <si>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</si>
  <si>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</si>
  <si>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</si>
  <si>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</si>
  <si>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</si>
  <si>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</si>
  <si>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</si>
  <si>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</si>
  <si>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</si>
  <si>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</si>
  <si>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</si>
  <si>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</si>
  <si>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</si>
  <si>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</si>
  <si>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</si>
  <si>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</si>
  <si>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</si>
  <si>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</si>
  <si>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</si>
  <si>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</si>
  <si>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</si>
  <si>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</si>
  <si>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</si>
  <si>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</si>
  <si>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</si>
  <si>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</si>
  <si>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</si>
  <si>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</si>
  <si>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</si>
  <si>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</si>
  <si>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</si>
  <si>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</si>
  <si>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</si>
  <si>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</si>
  <si>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</si>
  <si>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</si>
  <si>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</si>
  <si>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</si>
  <si>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</si>
  <si>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</si>
  <si>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</si>
  <si>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</si>
  <si>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</si>
  <si>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</si>
  <si>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</si>
  <si>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</si>
  <si>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</si>
  <si>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</si>
  <si>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</si>
  <si>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</si>
  <si>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</si>
  <si>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</si>
  <si>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</si>
  <si>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</si>
  <si>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</si>
  <si>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</si>
  <si>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</si>
  <si>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</si>
  <si>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</si>
  <si>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</si>
  <si>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</si>
  <si>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</si>
  <si>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</si>
  <si>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</si>
  <si>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</si>
  <si>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</si>
  <si>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</si>
  <si>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</si>
  <si>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</si>
  <si>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</si>
  <si>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</si>
  <si>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</si>
  <si>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</si>
  <si>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</si>
  <si>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</si>
  <si>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</si>
  <si>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</si>
  <si>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</si>
  <si>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</si>
  <si>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</si>
  <si>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</si>
  <si>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</si>
  <si>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</si>
  <si>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</si>
  <si>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</si>
  <si>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</si>
  <si>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</si>
  <si>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</si>
  <si>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</si>
  <si>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</si>
  <si>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</si>
  <si>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</si>
  <si>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</si>
  <si>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</si>
  <si>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</si>
  <si>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</si>
  <si>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</si>
  <si>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</si>
  <si>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</si>
  <si>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</si>
  <si>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</si>
  <si>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</si>
  <si>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</si>
  <si>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</si>
  <si>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</si>
  <si>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</si>
  <si>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Z1_OLBV_T3PT_Ms2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</si>
</sst>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2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50.379999999999995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161.62437024659135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0.70843895652173916</v>
      </c>
      <c r="H5" s="143">
        <f>CdTrp1!C215+CdTrp2!C215+CdTrp3!C215+CdTrp4!C215</f>
        <v>0.70843895652173916</v>
      </c>
      <c r="I5" s="143">
        <f>CdTrp1!D215+CdTrp2!D215+CdTrp3!D215+CdTrp4!D215</f>
        <v>0.63988034782608705</v>
      </c>
      <c r="J5" s="143">
        <f>CdTrp1!E215+CdTrp2!E215+CdTrp3!E215+CdTrp4!E215</f>
        <v>0.63988034782608705</v>
      </c>
      <c r="K5" s="143">
        <f>CdTrp1!F215+CdTrp2!F215+CdTrp3!F215+CdTrp4!F215</f>
        <v>0</v>
      </c>
      <c r="L5" s="143">
        <f>CdTrp1!G215+CdTrp2!G215+CdTrp3!G215+CdTrp4!G215</f>
        <v>5.43085718852174</v>
      </c>
      <c r="M5" s="143">
        <f>CdTrp1!H215+CdTrp2!H215+CdTrp3!H215+CdTrp4!H215</f>
        <v>7.6314436617391337</v>
      </c>
      <c r="N5" s="143">
        <f>CdTrp1!I215+CdTrp2!I215+CdTrp3!I215+CdTrp4!I215</f>
        <v>7.6085906765217395</v>
      </c>
      <c r="O5" s="143">
        <f>CdTrp1!J215+CdTrp2!J215+CdTrp3!J215+CdTrp4!J215</f>
        <v>5.4266094229565223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3.4607655326086957</v>
      </c>
      <c r="U5" s="143">
        <f>CdTrp1!P215+CdTrp2!P215+CdTrp3!P215+CdTrp4!P215</f>
        <v>3.4607655326086957</v>
      </c>
      <c r="V5" s="143">
        <f>CdTrp1!Q215+CdTrp2!Q215+CdTrp3!Q215+CdTrp4!Q215</f>
        <v>3.4607655326086957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2.5483915950956533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0.70843895652173916</v>
      </c>
      <c r="AD5" s="143">
        <f>CdTrp1!Y215+CdTrp2!Y215+CdTrp3!Y215+CdTrp4!Y215</f>
        <v>0.70843895652173916</v>
      </c>
      <c r="AE5" s="153"/>
      <c r="AF5" s="144">
        <f>AF8+AF9</f>
        <v>149.29258497857393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1.286376</v>
      </c>
      <c r="L6" s="143">
        <f>CdTrp1!G216+CdTrp2!G216+CdTrp3!G216+CdTrp4!G216</f>
        <v>1.286376</v>
      </c>
      <c r="M6" s="143">
        <f>CdTrp1!H216+CdTrp2!H216+CdTrp3!H216+CdTrp4!H216</f>
        <v>1.24488</v>
      </c>
      <c r="N6" s="143">
        <f>CdTrp1!I216+CdTrp2!I216+CdTrp3!I216+CdTrp4!I216</f>
        <v>1.24488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3.5002275000000003</v>
      </c>
      <c r="R6" s="143">
        <f>CdTrp1!M216+CdTrp2!M216+CdTrp3!M216+CdTrp4!M216</f>
        <v>3.5002275000000003</v>
      </c>
      <c r="S6" s="143">
        <f>CdTrp1!N216+CdTrp2!N216+CdTrp3!N216+CdTrp4!N216</f>
        <v>3.6169017499999994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3.1635</v>
      </c>
      <c r="X6" s="143">
        <f>CdTrp1!S216+CdTrp2!S216+CdTrp3!S216+CdTrp4!S216</f>
        <v>3.1635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1.3979363999999999</v>
      </c>
      <c r="AB6" s="143">
        <f>CdTrp1!W216+CdTrp2!W216+CdTrp3!W216+CdTrp4!W216</f>
        <v>1.4252279999999999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149.69999999999999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2.5836367199999999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0.70843895652173916</v>
      </c>
      <c r="H8" s="143">
        <f t="shared" ref="H8:AD8" si="0">SUM(H5:H7)</f>
        <v>0.70843895652173916</v>
      </c>
      <c r="I8" s="143">
        <f t="shared" si="0"/>
        <v>0.63988034782608705</v>
      </c>
      <c r="J8" s="143">
        <f t="shared" si="0"/>
        <v>0.63988034782608705</v>
      </c>
      <c r="K8" s="143">
        <f t="shared" si="0"/>
        <v>1.994814956521739</v>
      </c>
      <c r="L8" s="143">
        <f t="shared" si="0"/>
        <v>7.4256721450434791</v>
      </c>
      <c r="M8" s="143">
        <f t="shared" si="0"/>
        <v>9.5619097486956566</v>
      </c>
      <c r="N8" s="143">
        <f t="shared" si="0"/>
        <v>9.5390567634782624</v>
      </c>
      <c r="O8" s="143">
        <f t="shared" si="0"/>
        <v>9.75195012947826</v>
      </c>
      <c r="P8" s="143">
        <f t="shared" si="0"/>
        <v>9.2066012780000008</v>
      </c>
      <c r="Q8" s="143">
        <f t="shared" si="0"/>
        <v>8.9096141400000022</v>
      </c>
      <c r="R8" s="143">
        <f t="shared" si="0"/>
        <v>4.594007934782609</v>
      </c>
      <c r="S8" s="143">
        <f t="shared" si="0"/>
        <v>4.747141532608695</v>
      </c>
      <c r="T8" s="143">
        <f t="shared" si="0"/>
        <v>4.7471415326086959</v>
      </c>
      <c r="U8" s="143">
        <f t="shared" si="0"/>
        <v>4.7471415326086959</v>
      </c>
      <c r="V8" s="143">
        <f t="shared" si="0"/>
        <v>4.7471415326086959</v>
      </c>
      <c r="W8" s="143">
        <f t="shared" si="0"/>
        <v>4.2572804347826088</v>
      </c>
      <c r="X8" s="143">
        <f t="shared" si="0"/>
        <v>4.2572804347826088</v>
      </c>
      <c r="Y8" s="143">
        <f t="shared" si="0"/>
        <v>5.1320283150956527</v>
      </c>
      <c r="Z8" s="143">
        <f t="shared" si="0"/>
        <v>6.3175624753043484</v>
      </c>
      <c r="AA8" s="143">
        <f t="shared" si="0"/>
        <v>3.3802724869565219</v>
      </c>
      <c r="AB8" s="143">
        <f t="shared" si="0"/>
        <v>3.3816290869565218</v>
      </c>
      <c r="AC8" s="143">
        <f t="shared" si="0"/>
        <v>0.70843895652173916</v>
      </c>
      <c r="AD8" s="143">
        <f t="shared" si="0"/>
        <v>0.70843895652173916</v>
      </c>
      <c r="AE8" s="153"/>
      <c r="AF8" s="144">
        <f>SUM(G8:AD8)</f>
        <v>110.81176298205219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15.9</v>
      </c>
      <c r="R14" s="145">
        <f>CdTrp1!AV54+CdTrp2!AV54+CdTrp3!AV54+CdTrp4!AV54</f>
        <v>0</v>
      </c>
      <c r="S14" s="145">
        <f>CdTrp1!AW54+CdTrp2!AW54+CdTrp3!AW54+CdTrp4!AW54</f>
        <v>2.9</v>
      </c>
      <c r="T14" s="145">
        <f>CdTrp1!AX54+CdTrp2!AX54+CdTrp3!AX54+CdTrp4!AX54</f>
        <v>7.3</v>
      </c>
      <c r="U14" s="145">
        <f>CdTrp1!AY54+CdTrp2!AY54+CdTrp3!AY54+CdTrp4!AY54</f>
        <v>5.5</v>
      </c>
      <c r="V14" s="145">
        <f>CdTrp1!AZ54+CdTrp2!AZ54+CdTrp3!AZ54+CdTrp4!AZ54</f>
        <v>2.2999999999999998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47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25.5</v>
      </c>
      <c r="H18" s="158">
        <f>G18/G17</f>
        <v>0.54255319148936165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12.5</v>
      </c>
      <c r="H19" s="158">
        <f>G19/G17</f>
        <v>0.26595744680851063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5.5</v>
      </c>
      <c r="H20" s="158">
        <f>G20/G17</f>
        <v>0.11702127659574468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15.9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2.9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7.3</v>
      </c>
    </row>
    <row r="25" spans="2:9" x14ac:dyDescent="0.25">
      <c r="B25" s="19" t="str">
        <f>[1]Conc!C19</f>
        <v>15 -concentré bovin allaitant</v>
      </c>
      <c r="C25" s="144">
        <f>U14</f>
        <v>5.5</v>
      </c>
    </row>
    <row r="26" spans="2:9" x14ac:dyDescent="0.25">
      <c r="B26" s="19" t="str">
        <f>[1]Conc!C20</f>
        <v>16 -correcteur N bovin allaitant</v>
      </c>
      <c r="C26" s="144">
        <f>V14</f>
        <v>2.2999999999999998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2" zoomScale="80" zoomScaleNormal="80" workbookViewId="0">
      <selection activeCell="R9" sqref="R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7" t="s">
        <v>250</v>
      </c>
      <c r="AT2" s="297"/>
      <c r="AU2" s="296" t="s">
        <v>251</v>
      </c>
      <c r="AV2" s="296"/>
      <c r="AW2" s="296" t="s">
        <v>252</v>
      </c>
      <c r="AX2" s="296"/>
      <c r="AY2" s="296" t="s">
        <v>253</v>
      </c>
      <c r="AZ2" s="296"/>
      <c r="BA2" s="296" t="s">
        <v>254</v>
      </c>
      <c r="BB2" s="296"/>
      <c r="BC2" s="296" t="s">
        <v>255</v>
      </c>
      <c r="BD2" s="296"/>
      <c r="BE2" s="296" t="s">
        <v>256</v>
      </c>
      <c r="BF2" s="296"/>
      <c r="BG2" s="296" t="s">
        <v>257</v>
      </c>
      <c r="BH2" s="296"/>
      <c r="BI2" s="296" t="s">
        <v>258</v>
      </c>
      <c r="BJ2" s="296"/>
      <c r="BK2" s="296" t="s">
        <v>259</v>
      </c>
      <c r="BL2" s="296"/>
      <c r="BM2" s="296" t="s">
        <v>260</v>
      </c>
      <c r="BN2" s="296"/>
      <c r="BO2" s="296" t="s">
        <v>261</v>
      </c>
      <c r="BP2" s="29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0.70843895652173916</v>
      </c>
      <c r="AT5" s="13">
        <f>'Conduite Trp'!H8</f>
        <v>0.70843895652173916</v>
      </c>
      <c r="AU5" s="13">
        <f>'Conduite Trp'!I8</f>
        <v>0.63988034782608705</v>
      </c>
      <c r="AV5" s="13">
        <f>'Conduite Trp'!J8</f>
        <v>0.63988034782608705</v>
      </c>
      <c r="AW5" s="13">
        <f>'Conduite Trp'!K8</f>
        <v>1.994814956521739</v>
      </c>
      <c r="AX5" s="13">
        <f>'Conduite Trp'!L8</f>
        <v>7.4256721450434791</v>
      </c>
      <c r="AY5" s="13">
        <f>'Conduite Trp'!M8</f>
        <v>9.5619097486956566</v>
      </c>
      <c r="AZ5" s="13">
        <f>'Conduite Trp'!N8</f>
        <v>9.5390567634782624</v>
      </c>
      <c r="BA5" s="13">
        <f>'Conduite Trp'!O8</f>
        <v>9.75195012947826</v>
      </c>
      <c r="BB5" s="13">
        <f>'Conduite Trp'!P8</f>
        <v>9.2066012780000008</v>
      </c>
      <c r="BC5" s="13">
        <f>'Conduite Trp'!Q8</f>
        <v>8.9096141400000022</v>
      </c>
      <c r="BD5" s="13">
        <f>'Conduite Trp'!R8</f>
        <v>4.594007934782609</v>
      </c>
      <c r="BE5" s="13">
        <f>'Conduite Trp'!S8</f>
        <v>4.747141532608695</v>
      </c>
      <c r="BF5" s="13">
        <f>'Conduite Trp'!T8</f>
        <v>4.7471415326086959</v>
      </c>
      <c r="BG5" s="13">
        <f>'Conduite Trp'!U8</f>
        <v>4.7471415326086959</v>
      </c>
      <c r="BH5" s="13">
        <f>'Conduite Trp'!V8</f>
        <v>4.7471415326086959</v>
      </c>
      <c r="BI5" s="13">
        <f>'Conduite Trp'!W8</f>
        <v>4.2572804347826088</v>
      </c>
      <c r="BJ5" s="13">
        <f>'Conduite Trp'!X8</f>
        <v>4.2572804347826088</v>
      </c>
      <c r="BK5" s="13">
        <f>'Conduite Trp'!Y8</f>
        <v>5.1320283150956527</v>
      </c>
      <c r="BL5" s="13">
        <f>'Conduite Trp'!Z8</f>
        <v>6.3175624753043484</v>
      </c>
      <c r="BM5" s="13">
        <f>'Conduite Trp'!AA8</f>
        <v>3.3802724869565219</v>
      </c>
      <c r="BN5" s="13">
        <f>'Conduite Trp'!AB8</f>
        <v>3.3816290869565218</v>
      </c>
      <c r="BO5" s="13">
        <f>'Conduite Trp'!AC8</f>
        <v>0.70843895652173916</v>
      </c>
      <c r="BP5" s="13">
        <f>'Conduite Trp'!AD8</f>
        <v>0.70843895652173916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2.5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8.25</v>
      </c>
      <c r="AF7" s="61">
        <f t="shared" ref="AF7:AF26" si="1">$R7*W7</f>
        <v>7.5</v>
      </c>
      <c r="AG7" s="61">
        <f t="shared" ref="AG7:AG26" si="2">$R7*X7</f>
        <v>5.75</v>
      </c>
      <c r="AH7" s="61">
        <f t="shared" ref="AH7:AH26" si="3">$R7*Y7</f>
        <v>1.25</v>
      </c>
      <c r="AI7" s="61">
        <f t="shared" ref="AI7:AI26" si="4">$R7*Z7</f>
        <v>1.75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9.5619097486956566</v>
      </c>
      <c r="AZ7" s="61">
        <f t="shared" si="7"/>
        <v>9.5390567634782624</v>
      </c>
      <c r="BA7" s="61">
        <f t="shared" si="7"/>
        <v>9.75195012947826</v>
      </c>
      <c r="BB7" s="61">
        <f t="shared" si="7"/>
        <v>9.2066012780000008</v>
      </c>
      <c r="BC7" s="61">
        <f t="shared" si="7"/>
        <v>8.9096141400000022</v>
      </c>
      <c r="BD7" s="61">
        <f t="shared" si="7"/>
        <v>4.594007934782609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51.563139994434792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50.379999999999995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18.700000000000003</v>
      </c>
      <c r="P8">
        <v>2</v>
      </c>
      <c r="Q8" s="39">
        <v>241</v>
      </c>
      <c r="R8" s="39">
        <v>9.1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13.649999999999999</v>
      </c>
      <c r="AF8" s="61">
        <f t="shared" si="1"/>
        <v>0</v>
      </c>
      <c r="AG8" s="61">
        <f t="shared" si="2"/>
        <v>6.8249999999999993</v>
      </c>
      <c r="AH8" s="61">
        <f t="shared" si="3"/>
        <v>6.8249999999999993</v>
      </c>
      <c r="AI8" s="61">
        <f t="shared" si="4"/>
        <v>9.1</v>
      </c>
      <c r="AJ8" s="61">
        <f t="shared" si="5"/>
        <v>0</v>
      </c>
      <c r="AK8" s="141"/>
      <c r="AL8" s="61">
        <f t="shared" si="6"/>
        <v>45.5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4.747141532608695</v>
      </c>
      <c r="BF8" s="61">
        <f t="shared" si="8"/>
        <v>4.7471415326086959</v>
      </c>
      <c r="BG8" s="61">
        <f t="shared" si="8"/>
        <v>4.7471415326086959</v>
      </c>
      <c r="BH8" s="61">
        <f t="shared" si="8"/>
        <v>4.7471415326086959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18.988566130434783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50.379999999999995</v>
      </c>
      <c r="G9" s="81"/>
      <c r="H9" s="61">
        <f>SUM(L34:L43)</f>
        <v>0</v>
      </c>
      <c r="I9" s="81"/>
      <c r="J9" s="81"/>
      <c r="K9" s="93">
        <f>H9-F9</f>
        <v>-50.379999999999995</v>
      </c>
      <c r="L9" s="81"/>
      <c r="M9" s="100"/>
      <c r="P9">
        <v>3</v>
      </c>
      <c r="Q9" s="39">
        <v>290</v>
      </c>
      <c r="R9" s="39"/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4.2572804347826088</v>
      </c>
      <c r="BJ9" s="61">
        <f t="shared" si="10"/>
        <v>4.2572804347826088</v>
      </c>
      <c r="BK9" s="61">
        <f t="shared" si="10"/>
        <v>5.1320283150956527</v>
      </c>
      <c r="BL9" s="61">
        <f t="shared" si="10"/>
        <v>6.3175624753043484</v>
      </c>
      <c r="BM9" s="61">
        <f t="shared" si="10"/>
        <v>3.3802724869565219</v>
      </c>
      <c r="BN9" s="61">
        <f t="shared" si="10"/>
        <v>3.3816290869565218</v>
      </c>
      <c r="BO9" s="61">
        <f t="shared" si="10"/>
        <v>0</v>
      </c>
      <c r="BP9" s="61">
        <f t="shared" si="10"/>
        <v>0</v>
      </c>
      <c r="BR9" s="61">
        <f t="shared" si="9"/>
        <v>26.726053233878261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0.70843895652173916</v>
      </c>
      <c r="AT10" s="61">
        <f t="shared" ref="AT10:BP10" si="11">IF(AT$4=4,AT$5,0)</f>
        <v>0.70843895652173916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0.70843895652173916</v>
      </c>
      <c r="BP10" s="61">
        <f t="shared" si="11"/>
        <v>0.70843895652173916</v>
      </c>
      <c r="BR10" s="61">
        <f t="shared" si="9"/>
        <v>2.8337558260869566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264</v>
      </c>
      <c r="R11" s="39">
        <v>2.1</v>
      </c>
      <c r="S11" s="291" t="str">
        <f>VLOOKUP($Q11,[1]MEP!$A$5:$D$300,3)</f>
        <v>PP EXCELLENTE 1  COUPE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1.8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3.8</v>
      </c>
      <c r="AE11" s="61">
        <f t="shared" si="0"/>
        <v>3.7800000000000002</v>
      </c>
      <c r="AF11" s="61">
        <f t="shared" si="1"/>
        <v>2.52</v>
      </c>
      <c r="AG11" s="61">
        <f t="shared" si="2"/>
        <v>3.7800000000000002</v>
      </c>
      <c r="AH11" s="61">
        <f t="shared" si="3"/>
        <v>1.05</v>
      </c>
      <c r="AI11" s="61">
        <f t="shared" si="4"/>
        <v>1.47</v>
      </c>
      <c r="AJ11" s="61">
        <f t="shared" si="5"/>
        <v>0</v>
      </c>
      <c r="AK11" s="141"/>
      <c r="AL11" s="61">
        <f t="shared" si="6"/>
        <v>7.9799999999999995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0.63988034782608705</v>
      </c>
      <c r="AV11" s="61">
        <f t="shared" si="12"/>
        <v>0.63988034782608705</v>
      </c>
      <c r="AW11" s="61">
        <f t="shared" si="12"/>
        <v>1.994814956521739</v>
      </c>
      <c r="AX11" s="61">
        <f t="shared" si="12"/>
        <v>7.4256721450434791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10.700247797217392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23.000000000000004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0.70843895652173916</v>
      </c>
      <c r="AT15" s="13">
        <f>'Conduite Trp'!H5</f>
        <v>0.70843895652173916</v>
      </c>
      <c r="AU15" s="13">
        <f>'Conduite Trp'!I5</f>
        <v>0.63988034782608705</v>
      </c>
      <c r="AV15" s="13">
        <f>'Conduite Trp'!J5</f>
        <v>0.63988034782608705</v>
      </c>
      <c r="AW15" s="13">
        <f>'Conduite Trp'!K5</f>
        <v>0</v>
      </c>
      <c r="AX15" s="13">
        <f>'Conduite Trp'!L5</f>
        <v>5.43085718852174</v>
      </c>
      <c r="AY15" s="13">
        <f>'Conduite Trp'!M5</f>
        <v>7.6314436617391337</v>
      </c>
      <c r="AZ15" s="13">
        <f>'Conduite Trp'!N5</f>
        <v>7.6085906765217395</v>
      </c>
      <c r="BA15" s="13">
        <f>'Conduite Trp'!O5</f>
        <v>5.4266094229565223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3.4607655326086957</v>
      </c>
      <c r="BG15" s="13">
        <f>'Conduite Trp'!U5</f>
        <v>3.4607655326086957</v>
      </c>
      <c r="BH15" s="13">
        <f>'Conduite Trp'!V5</f>
        <v>3.4607655326086957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2.5483915950956533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0.70843895652173916</v>
      </c>
      <c r="BP15" s="13">
        <f>'Conduite Trp'!AD5</f>
        <v>0.70843895652173916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1.286376</v>
      </c>
      <c r="AX16" s="13">
        <f>'Conduite Trp'!L6</f>
        <v>1.286376</v>
      </c>
      <c r="AY16" s="13">
        <f>'Conduite Trp'!M6</f>
        <v>1.24488</v>
      </c>
      <c r="AZ16" s="13">
        <f>'Conduite Trp'!N6</f>
        <v>1.24488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3.5002275000000003</v>
      </c>
      <c r="BD16" s="13">
        <f>'Conduite Trp'!R6</f>
        <v>3.5002275000000003</v>
      </c>
      <c r="BE16" s="13">
        <f>'Conduite Trp'!S6</f>
        <v>3.6169017499999994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3.1635</v>
      </c>
      <c r="BJ16" s="13">
        <f>'Conduite Trp'!X6</f>
        <v>3.1635</v>
      </c>
      <c r="BK16" s="13">
        <f>'Conduite Trp'!Y6</f>
        <v>0</v>
      </c>
      <c r="BL16" s="13">
        <f>'Conduite Trp'!Z6</f>
        <v>0</v>
      </c>
      <c r="BM16" s="13">
        <f>'Conduite Trp'!AA6</f>
        <v>1.3979363999999999</v>
      </c>
      <c r="BN16" s="13">
        <f>'Conduite Trp'!AB6</f>
        <v>1.4252279999999999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2.5836367199999999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7.6314436617391337</v>
      </c>
      <c r="AZ19" s="61">
        <f t="shared" si="15"/>
        <v>7.6085906765217395</v>
      </c>
      <c r="BA19" s="61">
        <f t="shared" si="15"/>
        <v>5.4266094229565223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32.759510364000008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3.4607655326086957</v>
      </c>
      <c r="BG20" s="61">
        <f t="shared" si="16"/>
        <v>3.4607655326086957</v>
      </c>
      <c r="BH20" s="61">
        <f t="shared" si="16"/>
        <v>3.4607655326086957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11.512536380434783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2.5483915950956533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11.579757543443479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0.70843895652173916</v>
      </c>
      <c r="AT22" s="61">
        <f t="shared" ref="AT22:BP22" si="19">IF(AT$4=4,AT$15,0)</f>
        <v>0.70843895652173916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0.70843895652173916</v>
      </c>
      <c r="BP22" s="61">
        <f t="shared" si="19"/>
        <v>0.70843895652173916</v>
      </c>
      <c r="BR22" s="61">
        <f t="shared" si="17"/>
        <v>2.8337558260869566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0.63988034782608705</v>
      </c>
      <c r="AV23" s="61">
        <f t="shared" si="20"/>
        <v>0.63988034782608705</v>
      </c>
      <c r="AW23" s="61">
        <f t="shared" si="20"/>
        <v>0</v>
      </c>
      <c r="AX23" s="61">
        <f t="shared" si="20"/>
        <v>5.43085718852174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6.7106178841739137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52.629999999999995</v>
      </c>
      <c r="E24" s="61">
        <f t="shared" si="21"/>
        <v>19.694999999999997</v>
      </c>
      <c r="F24" s="61">
        <f t="shared" si="21"/>
        <v>37.085000000000001</v>
      </c>
      <c r="G24" s="61">
        <f t="shared" si="21"/>
        <v>17.006</v>
      </c>
      <c r="H24" s="61">
        <f t="shared" si="21"/>
        <v>25.890999999999998</v>
      </c>
      <c r="I24" s="61">
        <f t="shared" si="21"/>
        <v>0</v>
      </c>
      <c r="J24" s="63"/>
      <c r="K24" s="61">
        <f>AL27+AL49+AL71</f>
        <v>103.58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51.563139994434792</v>
      </c>
      <c r="E25" s="61">
        <f>BR8</f>
        <v>18.988566130434783</v>
      </c>
      <c r="F25" s="61">
        <f>BR9</f>
        <v>26.726053233878261</v>
      </c>
      <c r="G25" s="61">
        <f>BR10</f>
        <v>2.8337558260869566</v>
      </c>
      <c r="H25" s="61">
        <f>BR11</f>
        <v>10.700247797217392</v>
      </c>
      <c r="I25" s="61">
        <f>BR12</f>
        <v>0</v>
      </c>
      <c r="J25" s="63"/>
      <c r="K25" s="76">
        <f>'Conduite Trp'!C7</f>
        <v>149.69999999999999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1.0668600055652036</v>
      </c>
      <c r="E27" s="93">
        <f t="shared" si="23"/>
        <v>0.70643386956521326</v>
      </c>
      <c r="F27" s="93">
        <f t="shared" si="23"/>
        <v>10.35894676612174</v>
      </c>
      <c r="G27" s="93">
        <f t="shared" si="23"/>
        <v>14.172244173913043</v>
      </c>
      <c r="H27" s="93">
        <f t="shared" si="23"/>
        <v>15.190752202782607</v>
      </c>
      <c r="I27" s="93">
        <f t="shared" si="23"/>
        <v>0</v>
      </c>
      <c r="J27" s="63"/>
      <c r="K27" s="93">
        <f>K24-K25</f>
        <v>-46.11999999999999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33.18</v>
      </c>
      <c r="AF27" s="75">
        <f t="shared" ref="AF27:AJ27" si="24">SUM(AF7:AF26)</f>
        <v>10.02</v>
      </c>
      <c r="AG27" s="75">
        <f t="shared" si="24"/>
        <v>20.105</v>
      </c>
      <c r="AH27" s="75">
        <f t="shared" si="24"/>
        <v>12.875</v>
      </c>
      <c r="AI27" s="75">
        <f t="shared" si="24"/>
        <v>17.619999999999997</v>
      </c>
      <c r="AJ27" s="75">
        <f t="shared" si="24"/>
        <v>0</v>
      </c>
      <c r="AK27"/>
      <c r="AL27" s="75">
        <f>SUM(AL7:AL26)</f>
        <v>69.83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1.24488</v>
      </c>
      <c r="AZ27" s="61">
        <f t="shared" si="25"/>
        <v>1.24488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3.5002275000000003</v>
      </c>
      <c r="BD27" s="61">
        <f t="shared" si="25"/>
        <v>3.5002275000000003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16.7240185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3.6169017499999994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7.4760297499999986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4.3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12.899999999999999</v>
      </c>
      <c r="AF29" s="61">
        <f t="shared" ref="AF29:AF48" si="29">$R29*W29</f>
        <v>8.6</v>
      </c>
      <c r="AG29" s="61">
        <f t="shared" ref="AG29:AG48" si="30">$R29*X29</f>
        <v>6.4499999999999993</v>
      </c>
      <c r="AH29" s="61">
        <f t="shared" ref="AH29:AH48" si="31">$R29*Y29</f>
        <v>2.15</v>
      </c>
      <c r="AI29" s="61">
        <f t="shared" ref="AI29:AI48" si="32">$R29*Z29</f>
        <v>2.15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3.1635</v>
      </c>
      <c r="BJ29" s="61">
        <f t="shared" si="35"/>
        <v>3.1635</v>
      </c>
      <c r="BK29" s="61">
        <f t="shared" si="35"/>
        <v>0</v>
      </c>
      <c r="BL29" s="61">
        <f t="shared" si="35"/>
        <v>0</v>
      </c>
      <c r="BM29" s="61">
        <f t="shared" si="35"/>
        <v>1.3979363999999999</v>
      </c>
      <c r="BN29" s="61">
        <f t="shared" si="35"/>
        <v>1.4252279999999999</v>
      </c>
      <c r="BO29" s="61">
        <f t="shared" si="35"/>
        <v>0</v>
      </c>
      <c r="BP29" s="61">
        <f t="shared" si="35"/>
        <v>0</v>
      </c>
      <c r="BR29" s="61">
        <f t="shared" si="27"/>
        <v>9.1501643999999995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/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1.286376</v>
      </c>
      <c r="AX31" s="61">
        <f t="shared" si="37"/>
        <v>1.286376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2.5727519999999999</v>
      </c>
    </row>
    <row r="32" spans="2:72" x14ac:dyDescent="0.25">
      <c r="D32" s="68" t="s">
        <v>267</v>
      </c>
      <c r="E32" s="68" t="s">
        <v>18</v>
      </c>
      <c r="F32" s="296" t="s">
        <v>276</v>
      </c>
      <c r="G32" s="296"/>
      <c r="H32" s="82"/>
      <c r="I32" s="68" t="s">
        <v>280</v>
      </c>
      <c r="J32" s="82" t="s">
        <v>280</v>
      </c>
      <c r="K32" s="296" t="s">
        <v>278</v>
      </c>
      <c r="L32" s="296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2.5836367199999999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5.9961312904347821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17.299999999999997</v>
      </c>
      <c r="AF49" s="75">
        <f t="shared" ref="AF49" si="50">SUM(AF29:AF48)</f>
        <v>8.6</v>
      </c>
      <c r="AG49" s="75">
        <f t="shared" ref="AG49" si="51">SUM(AG29:AG48)</f>
        <v>10.59</v>
      </c>
      <c r="AH49" s="75">
        <f t="shared" ref="AH49" si="52">SUM(AH29:AH48)</f>
        <v>3.1849999999999996</v>
      </c>
      <c r="AI49" s="75">
        <f t="shared" ref="AI49" si="53">SUM(AI29:AI48)</f>
        <v>7.3249999999999993</v>
      </c>
      <c r="AJ49" s="75">
        <f t="shared" ref="AJ49" si="54">SUM(AJ29:AJ48)</f>
        <v>0</v>
      </c>
      <c r="AK49"/>
      <c r="AL49" s="75">
        <f>SUM(AL29:AL48)</f>
        <v>33.75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33.18</v>
      </c>
      <c r="E72" s="61">
        <f t="shared" ref="E72:H72" si="69">AF27</f>
        <v>10.02</v>
      </c>
      <c r="F72" s="61">
        <f t="shared" si="69"/>
        <v>20.105</v>
      </c>
      <c r="G72" s="61">
        <f t="shared" si="69"/>
        <v>12.875</v>
      </c>
      <c r="H72" s="61">
        <f t="shared" si="69"/>
        <v>17.619999999999997</v>
      </c>
      <c r="I72" s="61">
        <f t="shared" ref="I72" si="70">AJ75+AJ97+AJ119</f>
        <v>0</v>
      </c>
      <c r="J72" s="63"/>
      <c r="K72" s="61">
        <f>+K24</f>
        <v>103.58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32.759510364000008</v>
      </c>
      <c r="E73" s="61">
        <f>BR20</f>
        <v>11.512536380434783</v>
      </c>
      <c r="F73" s="61">
        <f>BR21</f>
        <v>11.579757543443479</v>
      </c>
      <c r="G73" s="61">
        <f>BR22</f>
        <v>2.8337558260869566</v>
      </c>
      <c r="H73" s="61">
        <f>BR23</f>
        <v>6.7106178841739137</v>
      </c>
      <c r="I73" s="61">
        <f>BR60</f>
        <v>0</v>
      </c>
      <c r="J73" s="63"/>
      <c r="K73" s="76">
        <f>+K25</f>
        <v>149.69999999999999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0.42048963599999212</v>
      </c>
      <c r="E75" s="93">
        <f t="shared" ref="E75:I75" si="71">E72-E73</f>
        <v>-1.4925363804347835</v>
      </c>
      <c r="F75" s="93">
        <f t="shared" si="71"/>
        <v>8.525242456556521</v>
      </c>
      <c r="G75" s="93">
        <f t="shared" si="71"/>
        <v>10.041244173913043</v>
      </c>
      <c r="H75" s="93">
        <f t="shared" si="71"/>
        <v>10.909382115826084</v>
      </c>
      <c r="I75" s="93">
        <f t="shared" si="71"/>
        <v>0</v>
      </c>
      <c r="J75" s="63"/>
      <c r="K75" s="93">
        <f>+K27</f>
        <v>-46.11999999999999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17.299999999999997</v>
      </c>
      <c r="E82" s="61">
        <f t="shared" ref="E82:H82" si="72">AF49</f>
        <v>8.6</v>
      </c>
      <c r="F82" s="61">
        <f t="shared" si="72"/>
        <v>10.59</v>
      </c>
      <c r="G82" s="61">
        <f t="shared" si="72"/>
        <v>3.1849999999999996</v>
      </c>
      <c r="H82" s="61">
        <f t="shared" si="72"/>
        <v>7.3249999999999993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16.7240185</v>
      </c>
      <c r="E83" s="61">
        <f>BR28</f>
        <v>7.4760297499999986</v>
      </c>
      <c r="F83" s="61">
        <f>BR29</f>
        <v>9.1501643999999995</v>
      </c>
      <c r="G83" s="61">
        <f>BR30</f>
        <v>0</v>
      </c>
      <c r="H83" s="61">
        <f>BR31</f>
        <v>2.5727519999999999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0.57598149999999748</v>
      </c>
      <c r="E85" s="93">
        <f t="shared" ref="E85:H85" si="73">E82-E83</f>
        <v>1.1239702500000011</v>
      </c>
      <c r="F85" s="93">
        <f t="shared" si="73"/>
        <v>1.4398356000000003</v>
      </c>
      <c r="G85" s="93">
        <f t="shared" si="73"/>
        <v>3.1849999999999996</v>
      </c>
      <c r="H85" s="93">
        <f t="shared" si="73"/>
        <v>4.7522479999999998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5.9961312904347821</v>
      </c>
      <c r="G93" s="61">
        <f>BR38</f>
        <v>0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0.39386870956521758</v>
      </c>
      <c r="G95" s="93">
        <f t="shared" si="75"/>
        <v>0.94599999999999995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A7" sqref="A7:XFD7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topLeftCell="A3" zoomScale="80" workbookViewId="0">
      <selection activeCell="O17" sqref="O16:Q17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</v>
      </c>
      <c r="L2" s="8">
        <f t="shared" ref="L2:L33" si="0">IF(J2=$Y$6,K2*$AA$6,IF(J2=$Y$7,K2*$AA$7,IF(J2=$Y$8,K2*$AA$8,"")))</f>
        <v>0</v>
      </c>
      <c r="M2" s="10">
        <f>IF(I2=$Y$11,SQRT(L2*10000),SQRT(Parcellaire!L2*10000)/$AC$12)</f>
        <v>0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0</v>
      </c>
      <c r="U2" s="10">
        <f t="shared" ref="U2:U39" si="5">IF(C2=2,Q2*M2,0)</f>
        <v>0</v>
      </c>
      <c r="V2" s="27">
        <f t="shared" ref="V2:V39" si="6"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</v>
      </c>
      <c r="L3" s="8">
        <f t="shared" ref="L3:L24" si="8">IF(J3=$Y$6,K3*$AA$6,IF(J3=$Y$7,K3*$AA$7,IF(J3=$Y$8,K3*$AA$8,"")))</f>
        <v>0</v>
      </c>
      <c r="M3" s="10">
        <f>IF(I3=$Y$11,SQRT(L3*10000),SQRT(Parcellaire!L3*10000)/$AC$12)</f>
        <v>0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0</v>
      </c>
      <c r="L6" s="8">
        <f t="shared" si="8"/>
        <v>0</v>
      </c>
      <c r="M6" s="10">
        <f>IF(I6=$Y$11,SQRT(L6*10000),SQRT(Parcellaire!L6*10000)/$AC$12)</f>
        <v>0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2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0</v>
      </c>
      <c r="L7" s="8">
        <f t="shared" si="8"/>
        <v>0</v>
      </c>
      <c r="M7" s="10">
        <f>IF(I7=$Y$11,SQRT(L7*10000),SQRT(Parcellaire!L7*10000)/$AC$12)</f>
        <v>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0</v>
      </c>
      <c r="U7" s="10">
        <f t="shared" si="5"/>
        <v>0</v>
      </c>
      <c r="V7" s="27">
        <f t="shared" si="6"/>
        <v>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5457.8290163783731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f t="shared" ref="Q20:Q65" si="15">O20-P20</f>
        <v>6</v>
      </c>
      <c r="R20" s="10">
        <f t="shared" si="2"/>
        <v>0</v>
      </c>
      <c r="S20" s="10">
        <f t="shared" si="3"/>
        <v>0</v>
      </c>
      <c r="T20" s="10">
        <f t="shared" si="4"/>
        <v>505.39093778974706</v>
      </c>
      <c r="U20" s="10">
        <f t="shared" si="5"/>
        <v>1010.7818755794941</v>
      </c>
      <c r="V20" s="27">
        <f t="shared" si="6"/>
        <v>1010.7818755794941</v>
      </c>
      <c r="W20" s="3"/>
      <c r="X20" s="3"/>
      <c r="Z20" s="20"/>
      <c r="AA20" s="136">
        <f>AA18+AA19</f>
        <v>5457.8290163783731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f t="shared" si="15"/>
        <v>6</v>
      </c>
      <c r="R21" s="10">
        <f t="shared" si="2"/>
        <v>0</v>
      </c>
      <c r="S21" s="10">
        <f t="shared" si="3"/>
        <v>0</v>
      </c>
      <c r="T21" s="10">
        <f t="shared" si="4"/>
        <v>635.54700848953735</v>
      </c>
      <c r="U21" s="10">
        <f t="shared" si="5"/>
        <v>1271.0940169790747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2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0</v>
      </c>
      <c r="L22" s="8">
        <f t="shared" si="8"/>
        <v>0</v>
      </c>
      <c r="M22" s="10">
        <f>IF(I22=$Y$11,SQRT(L22*10000),SQRT(Parcellaire!L22*10000)/$AC$12)</f>
        <v>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0</v>
      </c>
      <c r="U22" s="10">
        <f t="shared" si="5"/>
        <v>0</v>
      </c>
      <c r="V22" s="27">
        <f t="shared" si="6"/>
        <v>0</v>
      </c>
      <c r="W22" s="3"/>
      <c r="X22" s="3"/>
    </row>
    <row r="23" spans="1:28" ht="15" customHeight="1" x14ac:dyDescent="0.25">
      <c r="A23" s="8">
        <v>22</v>
      </c>
      <c r="B23" s="9">
        <v>2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0</v>
      </c>
      <c r="L23" s="8">
        <f t="shared" si="8"/>
        <v>0</v>
      </c>
      <c r="M23" s="10">
        <f>IF(I23=$Y$11,SQRT(L23*10000),SQRT(Parcellaire!L23*10000)/$AC$12)</f>
        <v>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0</v>
      </c>
      <c r="U23" s="10">
        <f t="shared" si="5"/>
        <v>0</v>
      </c>
      <c r="V23" s="27">
        <f t="shared" si="6"/>
        <v>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si="15"/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29.8</v>
      </c>
      <c r="H66" s="170"/>
      <c r="I66" s="170">
        <f>SUMIF(Parcellaire!$B$2:$B$65,1,Parcellaire!I2:I65)</f>
        <v>34</v>
      </c>
      <c r="J66" s="170">
        <f>SUMIF(Parcellaire!$B$2:$B$65,1,Parcellaire!J2:J65)</f>
        <v>8</v>
      </c>
      <c r="K66" s="170">
        <f>SUMIF(Parcellaire!$B$2:$B$65,1,Parcellaire!K2:K65)</f>
        <v>32.010000000000005</v>
      </c>
      <c r="L66" s="170">
        <f>SUMIF(Parcellaire!$B$2:$B$65,1,Parcellaire!L2:L65)</f>
        <v>36.132000000000005</v>
      </c>
      <c r="M66" s="170">
        <f>SUMIF(Parcellaire!$B$2:$B$65,1,Parcellaire!M2:M65)</f>
        <v>1339.6217754484478</v>
      </c>
      <c r="N66" s="170">
        <f>SUMIF(Parcellaire!$B$2:$B$65,1,Parcellaire!N2:N65)</f>
        <v>78</v>
      </c>
      <c r="O66" s="170">
        <f>SUMIF(Parcellaire!$B$2:$B$65,1,Parcellaire!O2:O65)</f>
        <v>66</v>
      </c>
      <c r="P66" s="170">
        <f>SUMIF(Parcellaire!$B$2:$B$65,1,Parcellaire!P2:P65)</f>
        <v>0</v>
      </c>
      <c r="Q66" s="170">
        <f>SUMIF(Parcellaire!$B$2:$B$65,1,Parcellaire!Q2:Q65)</f>
        <v>39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5457.8290163783731</v>
      </c>
      <c r="U66" s="170">
        <f>SUMIF(Parcellaire!$B$2:$B$65,1,Parcellaire!U2:U65)</f>
        <v>5159.8032726246274</v>
      </c>
      <c r="V66" s="170">
        <f>SUMIF(Parcellaire!$B$2:$B$65,1,Parcellaire!V2:V65)</f>
        <v>8037.7306526906868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6" t="s">
        <v>2</v>
      </c>
      <c r="C64" s="296"/>
      <c r="D64" s="296" t="s">
        <v>0</v>
      </c>
      <c r="E64" s="296"/>
      <c r="F64" s="296" t="s">
        <v>1</v>
      </c>
      <c r="G64" s="296"/>
      <c r="H64" s="296" t="s">
        <v>3</v>
      </c>
      <c r="I64" s="296"/>
      <c r="J64" s="296" t="s">
        <v>4</v>
      </c>
      <c r="K64" s="296"/>
      <c r="L64" s="296" t="s">
        <v>5</v>
      </c>
      <c r="M64" s="296"/>
      <c r="N64" s="296" t="s">
        <v>6</v>
      </c>
      <c r="O64" s="296"/>
      <c r="P64" s="296" t="s">
        <v>7</v>
      </c>
      <c r="Q64" s="296"/>
      <c r="R64" s="296" t="s">
        <v>8</v>
      </c>
      <c r="S64" s="296"/>
      <c r="T64" s="296" t="s">
        <v>9</v>
      </c>
      <c r="U64" s="296"/>
      <c r="V64" s="296" t="s">
        <v>10</v>
      </c>
      <c r="W64" s="296"/>
      <c r="X64" s="296" t="s">
        <v>11</v>
      </c>
      <c r="Y64" s="296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6" t="s">
        <v>2</v>
      </c>
      <c r="C90" s="296"/>
      <c r="D90" s="296" t="s">
        <v>0</v>
      </c>
      <c r="E90" s="296"/>
      <c r="F90" s="296" t="s">
        <v>1</v>
      </c>
      <c r="G90" s="296"/>
      <c r="H90" s="296" t="s">
        <v>3</v>
      </c>
      <c r="I90" s="296"/>
      <c r="J90" s="296" t="s">
        <v>4</v>
      </c>
      <c r="K90" s="296"/>
      <c r="L90" s="296" t="s">
        <v>5</v>
      </c>
      <c r="M90" s="296"/>
      <c r="N90" s="296" t="s">
        <v>6</v>
      </c>
      <c r="O90" s="296"/>
      <c r="P90" s="296" t="s">
        <v>7</v>
      </c>
      <c r="Q90" s="296"/>
      <c r="R90" s="296" t="s">
        <v>8</v>
      </c>
      <c r="S90" s="296"/>
      <c r="T90" s="296" t="s">
        <v>9</v>
      </c>
      <c r="U90" s="296"/>
      <c r="V90" s="296" t="s">
        <v>10</v>
      </c>
      <c r="W90" s="296"/>
      <c r="X90" s="296" t="s">
        <v>11</v>
      </c>
      <c r="Y90" s="296"/>
      <c r="AC90" t="s">
        <v>429</v>
      </c>
      <c r="AD90" s="296" t="s">
        <v>2</v>
      </c>
      <c r="AE90" s="296"/>
      <c r="AF90" s="296" t="s">
        <v>0</v>
      </c>
      <c r="AG90" s="296"/>
      <c r="AH90" s="296" t="s">
        <v>1</v>
      </c>
      <c r="AI90" s="296"/>
      <c r="AJ90" s="296" t="s">
        <v>3</v>
      </c>
      <c r="AK90" s="296"/>
      <c r="AL90" s="296" t="s">
        <v>4</v>
      </c>
      <c r="AM90" s="296"/>
      <c r="AN90" s="296" t="s">
        <v>5</v>
      </c>
      <c r="AO90" s="296"/>
      <c r="AP90" s="296" t="s">
        <v>6</v>
      </c>
      <c r="AQ90" s="296"/>
      <c r="AR90" s="296" t="s">
        <v>7</v>
      </c>
      <c r="AS90" s="296"/>
      <c r="AT90" s="296" t="s">
        <v>8</v>
      </c>
      <c r="AU90" s="296"/>
      <c r="AV90" s="296" t="s">
        <v>9</v>
      </c>
      <c r="AW90" s="296"/>
      <c r="AX90" s="296" t="s">
        <v>10</v>
      </c>
      <c r="AY90" s="296"/>
      <c r="AZ90" s="296" t="s">
        <v>11</v>
      </c>
      <c r="BA90" s="296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6" t="s">
        <v>2</v>
      </c>
      <c r="C117" s="296"/>
      <c r="D117" s="296" t="s">
        <v>0</v>
      </c>
      <c r="E117" s="296"/>
      <c r="F117" s="296" t="s">
        <v>1</v>
      </c>
      <c r="G117" s="296"/>
      <c r="H117" s="296" t="s">
        <v>3</v>
      </c>
      <c r="I117" s="296"/>
      <c r="J117" s="296" t="s">
        <v>4</v>
      </c>
      <c r="K117" s="296"/>
      <c r="L117" s="296" t="s">
        <v>5</v>
      </c>
      <c r="M117" s="296"/>
      <c r="N117" s="296" t="s">
        <v>6</v>
      </c>
      <c r="O117" s="296"/>
      <c r="P117" s="296" t="s">
        <v>7</v>
      </c>
      <c r="Q117" s="296"/>
      <c r="R117" s="296" t="s">
        <v>8</v>
      </c>
      <c r="S117" s="296"/>
      <c r="T117" s="296" t="s">
        <v>9</v>
      </c>
      <c r="U117" s="296"/>
      <c r="V117" s="296" t="s">
        <v>10</v>
      </c>
      <c r="W117" s="296"/>
      <c r="X117" s="296" t="s">
        <v>11</v>
      </c>
      <c r="Y117" s="296"/>
      <c r="AD117" s="296" t="s">
        <v>2</v>
      </c>
      <c r="AE117" s="296"/>
      <c r="AF117" s="296" t="s">
        <v>0</v>
      </c>
      <c r="AG117" s="296"/>
      <c r="AH117" s="296" t="s">
        <v>1</v>
      </c>
      <c r="AI117" s="296"/>
      <c r="AJ117" s="296" t="s">
        <v>3</v>
      </c>
      <c r="AK117" s="296"/>
      <c r="AL117" s="296" t="s">
        <v>4</v>
      </c>
      <c r="AM117" s="296"/>
      <c r="AN117" s="296" t="s">
        <v>5</v>
      </c>
      <c r="AO117" s="296"/>
      <c r="AP117" s="296" t="s">
        <v>6</v>
      </c>
      <c r="AQ117" s="296"/>
      <c r="AR117" s="296" t="s">
        <v>7</v>
      </c>
      <c r="AS117" s="296"/>
      <c r="AT117" s="296" t="s">
        <v>8</v>
      </c>
      <c r="AU117" s="296"/>
      <c r="AV117" s="296" t="s">
        <v>9</v>
      </c>
      <c r="AW117" s="296"/>
      <c r="AX117" s="296" t="s">
        <v>10</v>
      </c>
      <c r="AY117" s="296"/>
      <c r="AZ117" s="296" t="s">
        <v>11</v>
      </c>
      <c r="BA117" s="296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72" zoomScale="80" zoomScaleNormal="80" workbookViewId="0">
      <selection activeCell="L91" sqref="L9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21.2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14.1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23.000000000000004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2.12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29.000000000000004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295">
        <v>1</v>
      </c>
      <c r="V76" s="295" t="s">
        <v>598</v>
      </c>
    </row>
    <row r="77" spans="10:22" x14ac:dyDescent="0.25">
      <c r="J77" s="14" t="s">
        <v>599</v>
      </c>
      <c r="K77" s="80"/>
      <c r="R77">
        <v>2</v>
      </c>
      <c r="U77" s="295">
        <v>2</v>
      </c>
      <c r="V77" s="295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2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2.5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2.5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2.5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9.1</v>
      </c>
      <c r="T165" s="173">
        <f>VLOOKUP(R165,[1]MEP!$A$4:$M$300,13)</f>
        <v>2</v>
      </c>
      <c r="U165" s="173">
        <f t="shared" ref="U165:U207" si="10">IF($T165&gt;0,$S165,0)</f>
        <v>9.1</v>
      </c>
      <c r="V165" s="173">
        <f t="shared" ref="V165:V207" si="11">IF($T165&gt;1,$S165,0)</f>
        <v>9.1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9.1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9.1</v>
      </c>
      <c r="AL165" s="5"/>
      <c r="AN165" s="32" t="s">
        <v>659</v>
      </c>
      <c r="AO165" s="173">
        <f>SUM(AD164:AD183)</f>
        <v>18.700000000000003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0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264</v>
      </c>
      <c r="S168" s="173">
        <f>Alim_Surf!R11</f>
        <v>2.1</v>
      </c>
      <c r="T168" s="173">
        <f>VLOOKUP(R168,[1]MEP!$A$4:$M$300,13)</f>
        <v>1</v>
      </c>
      <c r="U168" s="173">
        <f t="shared" si="10"/>
        <v>2.1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2.1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2.1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4.3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4.3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10"/>
        <v>0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28.000000000000004</v>
      </c>
      <c r="U228" s="62">
        <f>SUM(U164:U227)</f>
        <v>21.2</v>
      </c>
      <c r="V228" s="62">
        <f t="shared" ref="V228:W228" si="22">SUM(V164:V227)</f>
        <v>14.1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23.000000000000004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6.8</v>
      </c>
      <c r="AI228" s="62">
        <f t="shared" si="24"/>
        <v>7.1</v>
      </c>
      <c r="AJ228" s="62">
        <f t="shared" si="24"/>
        <v>9.1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1</v>
      </c>
      <c r="D3" s="177">
        <f t="shared" si="0"/>
        <v>1</v>
      </c>
      <c r="E3" s="177">
        <f t="shared" si="0"/>
        <v>1</v>
      </c>
      <c r="F3" s="177">
        <f t="shared" si="0"/>
        <v>2</v>
      </c>
      <c r="G3" s="177">
        <f t="shared" si="0"/>
        <v>1</v>
      </c>
      <c r="H3" s="177">
        <f t="shared" si="0"/>
        <v>1</v>
      </c>
      <c r="I3" s="177">
        <f t="shared" si="0"/>
        <v>1</v>
      </c>
      <c r="J3" s="177">
        <f t="shared" si="0"/>
        <v>1</v>
      </c>
      <c r="K3" s="177">
        <f t="shared" si="0"/>
        <v>1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1</v>
      </c>
      <c r="Z3" s="177">
        <f t="shared" si="0"/>
        <v>1</v>
      </c>
      <c r="AB3" s="32"/>
      <c r="AC3" s="5"/>
      <c r="AD3" s="276"/>
      <c r="AE3" s="276"/>
      <c r="AF3" s="276"/>
      <c r="AO3" s="14" t="s">
        <v>681</v>
      </c>
      <c r="AP3" s="30">
        <f>BG31</f>
        <v>1141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0</v>
      </c>
      <c r="D4" s="177">
        <f t="shared" ref="D4:Z4" si="1">COUNTIF(D81:D90,2)</f>
        <v>0</v>
      </c>
      <c r="E4" s="177">
        <f t="shared" si="1"/>
        <v>0</v>
      </c>
      <c r="F4" s="177">
        <f t="shared" si="1"/>
        <v>0</v>
      </c>
      <c r="G4" s="177">
        <f t="shared" si="1"/>
        <v>0</v>
      </c>
      <c r="H4" s="177">
        <f t="shared" si="1"/>
        <v>0</v>
      </c>
      <c r="I4" s="177">
        <f t="shared" si="1"/>
        <v>0</v>
      </c>
      <c r="J4" s="177">
        <f t="shared" si="1"/>
        <v>0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0</v>
      </c>
      <c r="W4" s="177">
        <f t="shared" si="1"/>
        <v>0</v>
      </c>
      <c r="X4" s="177">
        <f t="shared" si="1"/>
        <v>0</v>
      </c>
      <c r="Y4" s="177">
        <f t="shared" si="1"/>
        <v>0</v>
      </c>
      <c r="Z4" s="177">
        <f t="shared" si="1"/>
        <v>0</v>
      </c>
      <c r="AB4" s="32"/>
      <c r="AC4" s="5"/>
      <c r="AD4" s="276"/>
      <c r="AE4" s="276"/>
      <c r="AF4" s="276"/>
      <c r="AO4" s="14" t="s">
        <v>683</v>
      </c>
      <c r="AP4" s="30">
        <f>SUM(BG31:BI31)</f>
        <v>5458</v>
      </c>
      <c r="AQ4">
        <f>SUM(BJ31:BL31)</f>
        <v>29.799999999999997</v>
      </c>
      <c r="AV4" s="30">
        <f>Parcellaire!A2</f>
        <v>1</v>
      </c>
      <c r="AW4" s="30">
        <f>Parcellaire!B2</f>
        <v>2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0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6</v>
      </c>
      <c r="AO5" s="14" t="s">
        <v>685</v>
      </c>
      <c r="AP5" s="30">
        <f>BI31</f>
        <v>0</v>
      </c>
      <c r="AV5" s="30">
        <f>Parcellaire!A3</f>
        <v>2</v>
      </c>
      <c r="AW5" s="30">
        <f>Parcellaire!B3</f>
        <v>2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0</v>
      </c>
      <c r="BJ5" s="173">
        <f t="shared" si="6"/>
        <v>0</v>
      </c>
      <c r="BK5" s="173">
        <f t="shared" si="7"/>
        <v>0</v>
      </c>
      <c r="BL5" s="173">
        <f t="shared" si="8"/>
        <v>0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2</v>
      </c>
      <c r="H8" s="177">
        <f>(H3+H4)*[1]Protect!$B$12</f>
        <v>2</v>
      </c>
      <c r="I8" s="177">
        <f>(I3+I4)*[1]Protect!$B$12</f>
        <v>2</v>
      </c>
      <c r="J8" s="177">
        <f>(J3+J4)*[1]Protect!$B$12</f>
        <v>2</v>
      </c>
      <c r="K8" s="177">
        <f>(K3+K4)*[1]Protect!$B$12</f>
        <v>2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2</v>
      </c>
      <c r="W8" s="177">
        <f>(W3+W4)*[1]Protect!$B$12</f>
        <v>0</v>
      </c>
      <c r="X8" s="177">
        <f>(X3+X4)*[1]Protect!$B$12</f>
        <v>0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6</v>
      </c>
      <c r="AO8" s="14"/>
      <c r="AV8" s="30">
        <f>Parcellaire!A6</f>
        <v>5</v>
      </c>
      <c r="AW8" s="30">
        <f>Parcellaire!B6</f>
        <v>2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3">
        <f t="shared" si="11"/>
        <v>0</v>
      </c>
      <c r="BH8" s="173">
        <f t="shared" si="4"/>
        <v>0</v>
      </c>
      <c r="BI8" s="173">
        <f t="shared" si="5"/>
        <v>0</v>
      </c>
      <c r="BJ8" s="173">
        <f t="shared" si="6"/>
        <v>0</v>
      </c>
      <c r="BK8" s="173">
        <f t="shared" si="7"/>
        <v>0</v>
      </c>
      <c r="BL8" s="173">
        <f t="shared" si="8"/>
        <v>0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2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0</v>
      </c>
      <c r="BC9" s="30">
        <f>ROUND(Parcellaire!U7,0)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10"/>
        <v>AU</v>
      </c>
      <c r="BG9" s="173">
        <f t="shared" si="11"/>
        <v>0</v>
      </c>
      <c r="BH9" s="173">
        <f t="shared" si="4"/>
        <v>0</v>
      </c>
      <c r="BI9" s="173">
        <f t="shared" si="5"/>
        <v>0</v>
      </c>
      <c r="BJ9" s="173">
        <f t="shared" si="6"/>
        <v>0</v>
      </c>
      <c r="BK9" s="173">
        <f t="shared" si="7"/>
        <v>0</v>
      </c>
      <c r="BL9" s="173">
        <f t="shared" si="8"/>
        <v>0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5</v>
      </c>
      <c r="H11" s="177">
        <f t="shared" si="14"/>
        <v>5</v>
      </c>
      <c r="I11" s="177">
        <f t="shared" si="14"/>
        <v>5</v>
      </c>
      <c r="J11" s="177">
        <f t="shared" si="14"/>
        <v>5</v>
      </c>
      <c r="K11" s="177">
        <f t="shared" si="14"/>
        <v>5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5</v>
      </c>
      <c r="W11" s="177">
        <f t="shared" si="14"/>
        <v>3</v>
      </c>
      <c r="X11" s="177">
        <f t="shared" si="14"/>
        <v>3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5</v>
      </c>
      <c r="H13" s="177">
        <f t="shared" si="15"/>
        <v>5</v>
      </c>
      <c r="I13" s="177">
        <f t="shared" si="15"/>
        <v>5</v>
      </c>
      <c r="J13" s="177">
        <f t="shared" si="15"/>
        <v>5</v>
      </c>
      <c r="K13" s="177">
        <f t="shared" si="15"/>
        <v>5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5</v>
      </c>
      <c r="W13" s="177">
        <f t="shared" si="15"/>
        <v>3</v>
      </c>
      <c r="X13" s="177">
        <f t="shared" si="15"/>
        <v>3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1</v>
      </c>
      <c r="D17" s="173">
        <f t="shared" si="18"/>
        <v>1</v>
      </c>
      <c r="E17" s="173">
        <f t="shared" si="18"/>
        <v>1</v>
      </c>
      <c r="F17" s="173">
        <f t="shared" si="18"/>
        <v>2</v>
      </c>
      <c r="G17" s="173">
        <f t="shared" si="18"/>
        <v>2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2</v>
      </c>
      <c r="W17" s="173">
        <f t="shared" si="18"/>
        <v>1</v>
      </c>
      <c r="X17" s="173">
        <f t="shared" si="18"/>
        <v>1</v>
      </c>
      <c r="Y17" s="173">
        <f t="shared" si="18"/>
        <v>1</v>
      </c>
      <c r="Z17" s="173">
        <f t="shared" si="18"/>
        <v>1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5458</v>
      </c>
      <c r="AE20" s="64">
        <v>0</v>
      </c>
      <c r="AF20" s="64">
        <f>SUM(AD20:AE20)</f>
        <v>5458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5458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505</v>
      </c>
      <c r="BC22" s="30">
        <f>ROUND(Parcellaire!U20,0)</f>
        <v>1011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505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636</v>
      </c>
      <c r="BC23" s="30">
        <f>ROUND(Parcellaire!U21,0)</f>
        <v>1271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636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2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0</v>
      </c>
      <c r="BC24" s="30">
        <f>ROUND(Parcellaire!U22,0)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10"/>
        <v>AU</v>
      </c>
      <c r="BG24" s="173">
        <f t="shared" si="11"/>
        <v>0</v>
      </c>
      <c r="BH24" s="173">
        <f t="shared" si="4"/>
        <v>0</v>
      </c>
      <c r="BI24" s="173">
        <f t="shared" si="5"/>
        <v>0</v>
      </c>
      <c r="BJ24" s="173">
        <f t="shared" si="6"/>
        <v>0</v>
      </c>
      <c r="BK24" s="173">
        <f t="shared" si="7"/>
        <v>0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3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1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5458</v>
      </c>
      <c r="AV25" s="30">
        <f>Parcellaire!A23</f>
        <v>22</v>
      </c>
      <c r="AW25" s="30">
        <f>Parcellaire!B23</f>
        <v>2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0</v>
      </c>
      <c r="BC25" s="30">
        <f>ROUND(Parcellaire!U23,0)</f>
        <v>0</v>
      </c>
      <c r="BD25" s="30" t="str">
        <f>IF(AW25=2,"",VLOOKUP(AY25,[1]MEP!$X$5:$AA$250,4))</f>
        <v/>
      </c>
      <c r="BE25" s="30" t="str">
        <f>IF(AW25=2,"",VLOOKUP(BD25,[1]MEP!$AC$5:$AD$10,2))</f>
        <v/>
      </c>
      <c r="BF25" s="30" t="str">
        <f t="shared" si="10"/>
        <v>AU</v>
      </c>
      <c r="BG25" s="173">
        <f t="shared" si="11"/>
        <v>0</v>
      </c>
      <c r="BH25" s="173">
        <f t="shared" si="4"/>
        <v>0</v>
      </c>
      <c r="BI25" s="173">
        <f t="shared" si="5"/>
        <v>0</v>
      </c>
      <c r="BJ25" s="173">
        <f t="shared" si="6"/>
        <v>0</v>
      </c>
      <c r="BK25" s="173">
        <f t="shared" si="7"/>
        <v>0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2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29.799999999999997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6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2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6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1141</v>
      </c>
      <c r="BH31" s="62">
        <f t="shared" ref="BH31:BK31" si="27">SUM(BH3:BH30)</f>
        <v>4317</v>
      </c>
      <c r="BI31" s="62">
        <f t="shared" si="27"/>
        <v>0</v>
      </c>
      <c r="BJ31" s="62">
        <f t="shared" si="27"/>
        <v>11.1</v>
      </c>
      <c r="BK31" s="62">
        <f t="shared" si="27"/>
        <v>18.7</v>
      </c>
      <c r="BL31" s="62">
        <f>SUM(BL3:BL30)</f>
        <v>0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6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8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16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3</v>
      </c>
      <c r="N36" s="173">
        <f t="shared" si="30"/>
        <v>3</v>
      </c>
      <c r="O36" s="173">
        <f t="shared" si="30"/>
        <v>3</v>
      </c>
      <c r="P36" s="173">
        <f t="shared" si="30"/>
        <v>3</v>
      </c>
      <c r="Q36" s="173">
        <f t="shared" si="30"/>
        <v>3</v>
      </c>
      <c r="R36" s="173">
        <f t="shared" si="30"/>
        <v>3</v>
      </c>
      <c r="S36" s="173">
        <f t="shared" si="30"/>
        <v>3</v>
      </c>
      <c r="T36" s="173">
        <f t="shared" si="30"/>
        <v>3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1</v>
      </c>
      <c r="D82" s="173">
        <f>CdTrp1!C77</f>
        <v>1</v>
      </c>
      <c r="E82" s="173">
        <f>CdTrp1!D77</f>
        <v>1</v>
      </c>
      <c r="F82" s="173">
        <f>CdTrp1!E77</f>
        <v>1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1</v>
      </c>
      <c r="Z82" s="173">
        <f>CdTrp1!Y77</f>
        <v>1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1</v>
      </c>
      <c r="K123" s="30">
        <f>CdTrp2!J76</f>
        <v>2</v>
      </c>
      <c r="L123" s="30">
        <f>CdTrp2!K76</f>
        <v>2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2</v>
      </c>
      <c r="T123" s="30">
        <f>CdTrp2!S76</f>
        <v>2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3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5</v>
      </c>
      <c r="H201" s="173">
        <f>IF(Troupeau!$B$3="OL",H8+H9,0)</f>
        <v>5</v>
      </c>
      <c r="I201" s="173">
        <f>IF(Troupeau!$B$3="OL",I8+I9,0)</f>
        <v>5</v>
      </c>
      <c r="J201" s="173">
        <f>IF(Troupeau!$B$3="OL",J8+J9,0)</f>
        <v>5</v>
      </c>
      <c r="K201" s="173">
        <f>IF(Troupeau!$B$3="OL",K8+K9,0)</f>
        <v>5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5</v>
      </c>
      <c r="W201" s="173">
        <f>IF(Troupeau!$B$3="OL",W8+W9,0)</f>
        <v>3</v>
      </c>
      <c r="X201" s="173">
        <f>IF(Troupeau!$B$3="OL",X8+X9,0)</f>
        <v>3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5</v>
      </c>
      <c r="H203" s="173">
        <f t="shared" si="51"/>
        <v>5</v>
      </c>
      <c r="I203" s="173">
        <f t="shared" si="51"/>
        <v>5</v>
      </c>
      <c r="J203" s="173">
        <f t="shared" si="51"/>
        <v>5</v>
      </c>
      <c r="K203" s="173">
        <f t="shared" si="51"/>
        <v>5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5</v>
      </c>
      <c r="W203" s="173">
        <f t="shared" si="51"/>
        <v>3</v>
      </c>
      <c r="X203" s="173">
        <f t="shared" si="51"/>
        <v>3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5</v>
      </c>
      <c r="H212" s="173">
        <f t="shared" si="52"/>
        <v>5</v>
      </c>
      <c r="I212" s="173">
        <f t="shared" si="52"/>
        <v>5</v>
      </c>
      <c r="J212" s="173">
        <f t="shared" si="52"/>
        <v>5</v>
      </c>
      <c r="K212" s="173">
        <f t="shared" si="52"/>
        <v>5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5</v>
      </c>
      <c r="W212" s="173">
        <f t="shared" si="52"/>
        <v>3</v>
      </c>
      <c r="X212" s="173">
        <f t="shared" si="52"/>
        <v>3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5</v>
      </c>
      <c r="H214" s="173">
        <f t="shared" si="53"/>
        <v>5</v>
      </c>
      <c r="I214" s="173">
        <f t="shared" si="53"/>
        <v>5</v>
      </c>
      <c r="J214" s="173">
        <f t="shared" si="53"/>
        <v>5</v>
      </c>
      <c r="K214" s="173">
        <f t="shared" si="53"/>
        <v>5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5</v>
      </c>
      <c r="W214" s="173">
        <f t="shared" si="53"/>
        <v>3</v>
      </c>
      <c r="X214" s="173">
        <f t="shared" si="53"/>
        <v>3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532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35</v>
      </c>
      <c r="L5" s="173">
        <f t="shared" si="0"/>
        <v>35</v>
      </c>
      <c r="M5" s="173">
        <f t="shared" si="0"/>
        <v>35</v>
      </c>
      <c r="N5" s="173">
        <f t="shared" si="0"/>
        <v>35</v>
      </c>
      <c r="O5" s="173">
        <f t="shared" si="0"/>
        <v>35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35</v>
      </c>
      <c r="AA5" s="173">
        <f t="shared" si="0"/>
        <v>21</v>
      </c>
      <c r="AB5" s="173">
        <f t="shared" si="0"/>
        <v>21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19.25</v>
      </c>
      <c r="O6" s="173">
        <f t="shared" si="2"/>
        <v>22.75</v>
      </c>
      <c r="P6" s="173">
        <f t="shared" si="2"/>
        <v>22.75</v>
      </c>
      <c r="Q6" s="173">
        <f t="shared" si="2"/>
        <v>14</v>
      </c>
      <c r="R6" s="173">
        <f t="shared" si="2"/>
        <v>14</v>
      </c>
      <c r="S6" s="173">
        <f t="shared" si="2"/>
        <v>14</v>
      </c>
      <c r="T6" s="173">
        <f t="shared" si="2"/>
        <v>12.25</v>
      </c>
      <c r="U6" s="173">
        <f t="shared" si="2"/>
        <v>12.25</v>
      </c>
      <c r="V6" s="173">
        <f t="shared" si="2"/>
        <v>12.25</v>
      </c>
      <c r="W6" s="173">
        <f t="shared" si="2"/>
        <v>14</v>
      </c>
      <c r="X6" s="173">
        <f t="shared" si="2"/>
        <v>14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980.04139130434783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52.740434782608695</v>
      </c>
      <c r="M9" s="30">
        <f t="shared" si="4"/>
        <v>52.694173913043478</v>
      </c>
      <c r="N9" s="30">
        <f t="shared" si="4"/>
        <v>52.647913043478262</v>
      </c>
      <c r="O9" s="30">
        <f t="shared" si="4"/>
        <v>52.555391304347829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51.167565217391306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2331.0413913043481</v>
      </c>
      <c r="G13" s="30">
        <f>SUM(G5:G11)</f>
        <v>109.06426086956522</v>
      </c>
      <c r="H13" s="30">
        <f t="shared" ref="H13:AD13" si="8">SUM(H5:H11)</f>
        <v>108.97173913043478</v>
      </c>
      <c r="I13" s="30">
        <f t="shared" si="8"/>
        <v>114.12921739130435</v>
      </c>
      <c r="J13" s="30">
        <f t="shared" si="8"/>
        <v>128.08295652173913</v>
      </c>
      <c r="K13" s="30">
        <f t="shared" si="8"/>
        <v>135.0366956521739</v>
      </c>
      <c r="L13" s="30">
        <f t="shared" si="8"/>
        <v>138.4904347826087</v>
      </c>
      <c r="M13" s="30">
        <f t="shared" si="8"/>
        <v>127.94417391304347</v>
      </c>
      <c r="N13" s="30">
        <f t="shared" si="8"/>
        <v>127.89791304347827</v>
      </c>
      <c r="O13" s="30">
        <f t="shared" si="8"/>
        <v>131.30539130434784</v>
      </c>
      <c r="P13" s="30">
        <f t="shared" si="8"/>
        <v>102.33391304347826</v>
      </c>
      <c r="Q13" s="30">
        <f t="shared" si="8"/>
        <v>72.583913043478262</v>
      </c>
      <c r="R13" s="30">
        <f t="shared" si="8"/>
        <v>49.655565217391306</v>
      </c>
      <c r="S13" s="30">
        <f t="shared" si="8"/>
        <v>49.655565217391306</v>
      </c>
      <c r="T13" s="30">
        <f t="shared" si="8"/>
        <v>47.905565217391306</v>
      </c>
      <c r="U13" s="30">
        <f t="shared" si="8"/>
        <v>47.905565217391306</v>
      </c>
      <c r="V13" s="30">
        <f t="shared" si="8"/>
        <v>47.905565217391306</v>
      </c>
      <c r="W13" s="30">
        <f t="shared" si="8"/>
        <v>49.655565217391306</v>
      </c>
      <c r="X13" s="30">
        <f t="shared" si="8"/>
        <v>49.655565217391306</v>
      </c>
      <c r="Y13" s="30">
        <f t="shared" si="8"/>
        <v>102.33391304347826</v>
      </c>
      <c r="Z13" s="30">
        <f t="shared" si="8"/>
        <v>128.16756521739131</v>
      </c>
      <c r="AA13" s="30">
        <f t="shared" si="8"/>
        <v>121.16756521739131</v>
      </c>
      <c r="AB13" s="30">
        <f t="shared" si="8"/>
        <v>123.06426086956522</v>
      </c>
      <c r="AC13" s="30">
        <f t="shared" si="8"/>
        <v>109.06426086956522</v>
      </c>
      <c r="AD13" s="30">
        <f t="shared" si="8"/>
        <v>109.06426086956522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784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279</v>
      </c>
      <c r="C31" s="190">
        <f>IF(B31&gt;0,VLOOKUP(Troupeau!B3,[1]Trav!$A$96:$B$99,2),0)</f>
        <v>110</v>
      </c>
      <c r="D31" s="172"/>
      <c r="E31" s="172"/>
      <c r="F31" s="173">
        <f>B31*C31/60</f>
        <v>511.5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15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90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265</v>
      </c>
      <c r="D35" s="190">
        <f>IF(Troupeau!B3="OL",[1]Trav!$B$103,0)</f>
        <v>2.4900000000000002</v>
      </c>
      <c r="E35" s="172"/>
      <c r="F35" s="173">
        <f>B35+C35*D35</f>
        <v>879.85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1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2</v>
      </c>
      <c r="CM48" s="173">
        <f>IF(CdTrp2!M76=1,1,IF(CdTrp2!M76=2,2,IF(CdTrp2!M76=3,2,0)))</f>
        <v>2</v>
      </c>
      <c r="CN48" s="173">
        <f>IF(CdTrp2!N76=1,1,IF(CdTrp2!N76=2,2,IF(CdTrp2!N76=3,2,0)))</f>
        <v>2</v>
      </c>
      <c r="CO48" s="173">
        <f>IF(CdTrp2!O76=1,1,IF(CdTrp2!O76=2,2,IF(CdTrp2!O76=3,2,0)))</f>
        <v>1</v>
      </c>
      <c r="CP48" s="173">
        <f>IF(CdTrp2!P76=1,1,IF(CdTrp2!P76=2,2,IF(CdTrp2!P76=3,2,0)))</f>
        <v>1</v>
      </c>
      <c r="CQ48" s="173">
        <f>IF(CdTrp2!Q76=1,1,IF(CdTrp2!Q76=2,2,IF(CdTrp2!Q76=3,2,0)))</f>
        <v>1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1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1</v>
      </c>
      <c r="BS49" s="173">
        <f>IF(CdTrp1!Y77=1,1,IF(CdTrp1!Y77=2,2,IF(CdTrp1!Y77=3,2,0)))</f>
        <v>1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28.000000000000004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19.079999999999998</v>
      </c>
      <c r="C55" s="190">
        <f>IF(B55&gt;[1]Trav!E121,[1]Trav!C121,[1]Trav!B121)</f>
        <v>7.2</v>
      </c>
      <c r="D55"/>
      <c r="E55" s="172"/>
      <c r="F55" s="173">
        <f t="shared" si="32"/>
        <v>137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14.1</v>
      </c>
      <c r="C56" s="190">
        <f>IF(B56&gt;[1]Trav!E121,[1]Trav!C121,[1]Trav!B121)</f>
        <v>7.2</v>
      </c>
      <c r="D56"/>
      <c r="E56" s="172"/>
      <c r="F56" s="173">
        <f t="shared" si="32"/>
        <v>102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2.120000000000001</v>
      </c>
      <c r="C58" s="190">
        <f>IF(B58&gt;[1]Trav!E122,[1]Trav!C122,[1]Trav!B122)</f>
        <v>4.4000000000000004</v>
      </c>
      <c r="E58" s="172"/>
      <c r="F58" s="173">
        <f t="shared" si="32"/>
        <v>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221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212</v>
      </c>
      <c r="CM60" s="173">
        <f>IF(CM15=0,0,IF(CM37=3,0,VALUE(CONCATENATE(Travail!CM26,Travail!CM37,Travail!CM48))))</f>
        <v>212</v>
      </c>
      <c r="CN60" s="173">
        <f>IF(CN15=0,0,IF(CN37=3,0,VALUE(CONCATENATE(Travail!CN26,Travail!CN37,Travail!CN48))))</f>
        <v>212</v>
      </c>
      <c r="CO60" s="173">
        <f>IF(CO15=0,0,IF(CO37=3,0,VALUE(CONCATENATE(Travail!CO26,Travail!CO37,Travail!CO48))))</f>
        <v>211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211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221</v>
      </c>
      <c r="AW61" s="173">
        <f>IF(AW16=0,0,IF(AW38=3,0,VALUE(CONCATENATE(Travail!AW27,Travail!AW38,Travail!AW49))))</f>
        <v>221</v>
      </c>
      <c r="AX61" s="173">
        <f>IF(AX16=0,0,IF(AX38=3,0,VALUE(CONCATENATE(Travail!AX27,Travail!AX38,Travail!AX49))))</f>
        <v>221</v>
      </c>
      <c r="AY61" s="173">
        <f>IF(AY16=0,0,IF(AY38=3,0,VALUE(CONCATENATE(Travail!AY27,Travail!AY38,Travail!AY49))))</f>
        <v>221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221</v>
      </c>
      <c r="BS61" s="173">
        <f>IF(BS16=0,0,IF(BS38=3,0,VALUE(CONCATENATE(Travail!BS27,Travail!BS38,Travail!BS49))))</f>
        <v>221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170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278.5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8.5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12</v>
      </c>
      <c r="S77" s="46">
        <f t="shared" si="43"/>
        <v>12</v>
      </c>
      <c r="T77" s="46">
        <f t="shared" si="43"/>
        <v>12</v>
      </c>
      <c r="U77" s="46">
        <f t="shared" si="43"/>
        <v>12</v>
      </c>
      <c r="V77" s="46">
        <f t="shared" si="43"/>
        <v>12</v>
      </c>
      <c r="W77" s="46">
        <f t="shared" si="43"/>
        <v>12</v>
      </c>
      <c r="X77" s="46">
        <f t="shared" si="43"/>
        <v>12</v>
      </c>
      <c r="Y77" s="46">
        <f t="shared" si="43"/>
        <v>13.5</v>
      </c>
      <c r="Z77" s="46">
        <f t="shared" si="43"/>
        <v>13.5</v>
      </c>
      <c r="AA77" s="46">
        <f t="shared" si="43"/>
        <v>8.5</v>
      </c>
      <c r="AB77" s="46">
        <f t="shared" si="43"/>
        <v>8.5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0.86</v>
      </c>
      <c r="C81" s="190">
        <f>[1]Protect!$B$10</f>
        <v>4</v>
      </c>
      <c r="D81" s="172"/>
      <c r="E81" s="172"/>
      <c r="F81" s="173">
        <f>ROUND(C81*B81*8,0)</f>
        <v>28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3</v>
      </c>
      <c r="AW81" s="173">
        <f t="shared" ref="AW81:BS81" si="44">COUNTIF(AW$71:AW$80,23)</f>
        <v>3</v>
      </c>
      <c r="AX81" s="173">
        <f t="shared" si="44"/>
        <v>3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1</v>
      </c>
      <c r="BP81" s="173">
        <f t="shared" si="44"/>
        <v>2</v>
      </c>
      <c r="BQ81" s="173">
        <f t="shared" si="44"/>
        <v>3</v>
      </c>
      <c r="BR81" s="173">
        <f t="shared" si="44"/>
        <v>3</v>
      </c>
      <c r="BS81" s="173">
        <f t="shared" si="44"/>
        <v>3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5.4580000000000002</v>
      </c>
      <c r="C83" s="190">
        <f>[1]Protect!$B$24+[1]Protect!$B$26</f>
        <v>0.33</v>
      </c>
      <c r="D83" s="172"/>
      <c r="E83" s="172"/>
      <c r="F83" s="173">
        <f>ROUND(B83*C83,1)</f>
        <v>1.8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1</v>
      </c>
      <c r="AW83" s="173">
        <f t="shared" ref="AW83:BS83" si="50">COUNTIF(AW$71:AW$80,22)</f>
        <v>1</v>
      </c>
      <c r="AX83" s="173">
        <f t="shared" si="50"/>
        <v>1</v>
      </c>
      <c r="AY83" s="173">
        <f t="shared" si="50"/>
        <v>2</v>
      </c>
      <c r="AZ83" s="173">
        <f t="shared" si="50"/>
        <v>2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1</v>
      </c>
      <c r="BR83" s="173">
        <f t="shared" si="50"/>
        <v>1</v>
      </c>
      <c r="BS83" s="173">
        <f t="shared" si="50"/>
        <v>1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4.4000000000000004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3.5</v>
      </c>
      <c r="C86" s="176"/>
      <c r="D86" s="176"/>
      <c r="E86" s="176"/>
      <c r="F86" s="173">
        <f>B86*[1]Eco!$B$108*[1]Eco!$B$109</f>
        <v>840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1512.0413913043478</v>
      </c>
      <c r="C91" s="5"/>
      <c r="D91" s="202">
        <f>B91/Troupeau!$B$17</f>
        <v>4.9738203661327232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25.11304347826087</v>
      </c>
      <c r="AW91" s="173">
        <f t="shared" si="60"/>
        <v>25.11304347826087</v>
      </c>
      <c r="AX91" s="173">
        <f t="shared" si="60"/>
        <v>25.11304347826087</v>
      </c>
      <c r="AY91" s="173">
        <f t="shared" si="60"/>
        <v>25.11304347826087</v>
      </c>
      <c r="AZ91" s="173">
        <f t="shared" si="60"/>
        <v>25.11304347826087</v>
      </c>
      <c r="BA91" s="173">
        <f t="shared" si="60"/>
        <v>25.11304347826087</v>
      </c>
      <c r="BB91" s="173">
        <f t="shared" si="60"/>
        <v>25.11304347826087</v>
      </c>
      <c r="BC91" s="173">
        <f t="shared" si="60"/>
        <v>25.11304347826087</v>
      </c>
      <c r="BD91" s="173">
        <f t="shared" si="60"/>
        <v>25.11304347826087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25.11304347826087</v>
      </c>
      <c r="BP91" s="173">
        <f t="shared" si="60"/>
        <v>25.11304347826087</v>
      </c>
      <c r="BQ91" s="173">
        <f t="shared" si="60"/>
        <v>25.11304347826087</v>
      </c>
      <c r="BR91" s="173">
        <f t="shared" si="60"/>
        <v>25.11304347826087</v>
      </c>
      <c r="BS91" s="173">
        <f t="shared" si="60"/>
        <v>25.11304347826087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693</v>
      </c>
      <c r="C92" s="5"/>
      <c r="D92" s="202">
        <f>IF(B92=0,0,B92/Troupeau!$C$17)</f>
        <v>36.473684210526315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7.9304347826086961</v>
      </c>
      <c r="AW93" s="173">
        <f t="shared" si="60"/>
        <v>7.9304347826086961</v>
      </c>
      <c r="AX93" s="173">
        <f t="shared" si="60"/>
        <v>7.9304347826086961</v>
      </c>
      <c r="AY93" s="173">
        <f t="shared" si="60"/>
        <v>7.9304347826086961</v>
      </c>
      <c r="AZ93" s="173">
        <f t="shared" si="60"/>
        <v>7.9304347826086961</v>
      </c>
      <c r="BA93" s="173">
        <f t="shared" si="60"/>
        <v>7.9304347826086961</v>
      </c>
      <c r="BB93" s="173">
        <f t="shared" si="60"/>
        <v>7.9304347826086961</v>
      </c>
      <c r="BC93" s="173">
        <f t="shared" si="60"/>
        <v>7.9304347826086961</v>
      </c>
      <c r="BD93" s="173">
        <f t="shared" si="60"/>
        <v>7.9304347826086961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7.9304347826086961</v>
      </c>
      <c r="BP93" s="173">
        <f t="shared" si="60"/>
        <v>7.9304347826086961</v>
      </c>
      <c r="BQ93" s="173">
        <f t="shared" si="60"/>
        <v>7.9304347826086961</v>
      </c>
      <c r="BR93" s="173">
        <f t="shared" si="60"/>
        <v>7.9304347826086961</v>
      </c>
      <c r="BS93" s="173">
        <f t="shared" si="60"/>
        <v>7.9304347826086961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2205.0413913043476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784</v>
      </c>
      <c r="C95" s="5"/>
      <c r="D95" s="202">
        <f>B95/Troupeau!$B$17</f>
        <v>2.5789473684210527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784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1391.35</v>
      </c>
      <c r="C99" s="5"/>
      <c r="D99" s="202">
        <f>B99/Troupeau!$B$17</f>
        <v>4.5768092105263154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366.12173913043478</v>
      </c>
      <c r="AW99" s="62">
        <f t="shared" ref="AW99:BS99" si="68">SUM(AW90:AW98)</f>
        <v>363.47826086956525</v>
      </c>
      <c r="AX99" s="62">
        <f t="shared" si="68"/>
        <v>360.83478260869566</v>
      </c>
      <c r="AY99" s="62">
        <f t="shared" si="68"/>
        <v>359.5130434782609</v>
      </c>
      <c r="AZ99" s="62">
        <f t="shared" si="68"/>
        <v>358.19130434782608</v>
      </c>
      <c r="BA99" s="62">
        <f t="shared" si="68"/>
        <v>356.86956521739131</v>
      </c>
      <c r="BB99" s="62">
        <f t="shared" si="68"/>
        <v>355.54782608695655</v>
      </c>
      <c r="BC99" s="62">
        <f t="shared" si="68"/>
        <v>354.22608695652178</v>
      </c>
      <c r="BD99" s="62">
        <f t="shared" si="68"/>
        <v>351.5826086956522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311.9304347826087</v>
      </c>
      <c r="BP99" s="62">
        <f t="shared" si="68"/>
        <v>311.9304347826087</v>
      </c>
      <c r="BQ99" s="62">
        <f t="shared" si="68"/>
        <v>366.12173913043478</v>
      </c>
      <c r="BR99" s="62">
        <f t="shared" si="68"/>
        <v>366.12173913043478</v>
      </c>
      <c r="BS99" s="62">
        <f t="shared" si="68"/>
        <v>366.12173913043478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90</v>
      </c>
      <c r="C100" s="5"/>
      <c r="D100" s="202">
        <f>IF(B100=0,0,B100/Troupeau!$C$17)</f>
        <v>4.7368421052631575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7.3224347826086955</v>
      </c>
      <c r="AW100" s="173">
        <f t="shared" ref="AW100:BS100" si="71">IF($AT$2="OL",AW99/50,AW99/10)</f>
        <v>7.269565217391305</v>
      </c>
      <c r="AX100" s="173">
        <f t="shared" si="71"/>
        <v>7.2166956521739136</v>
      </c>
      <c r="AY100" s="173">
        <f t="shared" si="71"/>
        <v>7.1902608695652184</v>
      </c>
      <c r="AZ100" s="173">
        <f t="shared" si="71"/>
        <v>7.1638260869565213</v>
      </c>
      <c r="BA100" s="173">
        <f t="shared" si="71"/>
        <v>7.1373913043478261</v>
      </c>
      <c r="BB100" s="173">
        <f t="shared" si="71"/>
        <v>7.1109565217391308</v>
      </c>
      <c r="BC100" s="173">
        <f t="shared" si="71"/>
        <v>7.0845217391304356</v>
      </c>
      <c r="BD100" s="173">
        <f t="shared" si="71"/>
        <v>7.0316521739130442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6.2386086956521742</v>
      </c>
      <c r="BP100" s="173">
        <f t="shared" si="71"/>
        <v>6.2386086956521742</v>
      </c>
      <c r="BQ100" s="173">
        <f t="shared" si="71"/>
        <v>7.3224347826086955</v>
      </c>
      <c r="BR100" s="173">
        <f t="shared" si="71"/>
        <v>7.3224347826086955</v>
      </c>
      <c r="BS100" s="173">
        <f t="shared" si="71"/>
        <v>7.3224347826086955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6.3224347826086955</v>
      </c>
      <c r="AW101" s="173">
        <f t="shared" ref="AW101:BS101" si="74">IF(AW100&gt;1,AW100-1,0)</f>
        <v>6.269565217391305</v>
      </c>
      <c r="AX101" s="173">
        <f t="shared" si="74"/>
        <v>6.2166956521739136</v>
      </c>
      <c r="AY101" s="173">
        <f t="shared" si="74"/>
        <v>6.1902608695652184</v>
      </c>
      <c r="AZ101" s="173">
        <f t="shared" si="74"/>
        <v>6.1638260869565213</v>
      </c>
      <c r="BA101" s="173">
        <f t="shared" si="74"/>
        <v>6.1373913043478261</v>
      </c>
      <c r="BB101" s="173">
        <f t="shared" si="74"/>
        <v>6.1109565217391308</v>
      </c>
      <c r="BC101" s="173">
        <f t="shared" si="74"/>
        <v>6.0845217391304356</v>
      </c>
      <c r="BD101" s="173">
        <f t="shared" si="74"/>
        <v>6.0316521739130442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5.2386086956521742</v>
      </c>
      <c r="BP101" s="173">
        <f t="shared" si="74"/>
        <v>5.2386086956521742</v>
      </c>
      <c r="BQ101" s="173">
        <f t="shared" si="74"/>
        <v>6.3224347826086955</v>
      </c>
      <c r="BR101" s="173">
        <f t="shared" si="74"/>
        <v>6.3224347826086955</v>
      </c>
      <c r="BS101" s="173">
        <f t="shared" si="74"/>
        <v>6.3224347826086955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1481.35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53.064260869565217</v>
      </c>
      <c r="AW102" s="62">
        <f t="shared" ref="AW102:BS102" si="77">AW86+AW87*AW101</f>
        <v>52.971739130434784</v>
      </c>
      <c r="AX102" s="62">
        <f t="shared" si="77"/>
        <v>52.879217391304351</v>
      </c>
      <c r="AY102" s="62">
        <f t="shared" si="77"/>
        <v>52.832956521739135</v>
      </c>
      <c r="AZ102" s="62">
        <f t="shared" si="77"/>
        <v>52.786695652173911</v>
      </c>
      <c r="BA102" s="62">
        <f t="shared" si="77"/>
        <v>52.740434782608695</v>
      </c>
      <c r="BB102" s="62">
        <f t="shared" si="77"/>
        <v>52.694173913043478</v>
      </c>
      <c r="BC102" s="62">
        <f t="shared" si="77"/>
        <v>52.647913043478262</v>
      </c>
      <c r="BD102" s="62">
        <f t="shared" si="77"/>
        <v>52.555391304347829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51.167565217391306</v>
      </c>
      <c r="BP102" s="62">
        <f t="shared" si="77"/>
        <v>51.167565217391306</v>
      </c>
      <c r="BQ102" s="62">
        <f t="shared" si="77"/>
        <v>53.064260869565217</v>
      </c>
      <c r="BR102" s="62">
        <f t="shared" si="77"/>
        <v>53.064260869565217</v>
      </c>
      <c r="BS102" s="62">
        <f t="shared" si="77"/>
        <v>53.064260869565217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10.5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5.25</v>
      </c>
      <c r="CM106" s="190">
        <f>IF(CM60&gt;0,HLOOKUP(CM60,[1]Trav!$C$11:$O$31,$CA$105),0)</f>
        <v>5.25</v>
      </c>
      <c r="CN106" s="190">
        <f>IF(CN60&gt;0,HLOOKUP(CN60,[1]Trav!$C$11:$O$31,$CA$105),0)</f>
        <v>5.25</v>
      </c>
      <c r="CO106" s="190">
        <f>IF(CO60&gt;0,HLOOKUP(CO60,[1]Trav!$C$11:$O$31,$CA$105),0)</f>
        <v>3.5</v>
      </c>
      <c r="CP106" s="190">
        <f>IF(CP60&gt;0,HLOOKUP(CP60,[1]Trav!$C$11:$O$31,$CA$105),0)</f>
        <v>3.5</v>
      </c>
      <c r="CQ106" s="190">
        <f>IF(CQ60&gt;0,HLOOKUP(CQ60,[1]Trav!$C$11:$O$31,$CA$105),0)</f>
        <v>3.5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14</v>
      </c>
      <c r="AW107" s="190">
        <f>IF(AW61&gt;0,HLOOKUP(AW61,[1]Trav!$C$11:$O$31,$AU$105),0)</f>
        <v>14</v>
      </c>
      <c r="AX107" s="190">
        <f>IF(AX61&gt;0,HLOOKUP(AX61,[1]Trav!$C$11:$O$31,$AU$105),0)</f>
        <v>14</v>
      </c>
      <c r="AY107" s="190">
        <f>IF(AY61&gt;0,HLOOKUP(AY61,[1]Trav!$C$11:$O$31,$AU$105),0)</f>
        <v>14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14</v>
      </c>
      <c r="BS107" s="190">
        <f>IF(BS61&gt;0,HLOOKUP(BS61,[1]Trav!$C$11:$O$31,$AU$105),0)</f>
        <v>14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304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170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170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28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6.2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840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35</v>
      </c>
      <c r="BA117" s="173">
        <f t="shared" si="83"/>
        <v>35</v>
      </c>
      <c r="BB117" s="173">
        <f t="shared" si="83"/>
        <v>35</v>
      </c>
      <c r="BC117" s="173">
        <f t="shared" si="83"/>
        <v>35</v>
      </c>
      <c r="BD117" s="173">
        <f t="shared" si="83"/>
        <v>35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35</v>
      </c>
      <c r="BP117" s="173">
        <f t="shared" si="83"/>
        <v>21</v>
      </c>
      <c r="BQ117" s="173">
        <f t="shared" si="83"/>
        <v>21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19.25</v>
      </c>
      <c r="CJ117" s="173">
        <f t="shared" si="84"/>
        <v>22.75</v>
      </c>
      <c r="CK117" s="173">
        <f t="shared" si="84"/>
        <v>22.75</v>
      </c>
      <c r="CL117" s="173">
        <f t="shared" si="84"/>
        <v>14</v>
      </c>
      <c r="CM117" s="173">
        <f t="shared" si="84"/>
        <v>14</v>
      </c>
      <c r="CN117" s="173">
        <f t="shared" si="84"/>
        <v>14</v>
      </c>
      <c r="CO117" s="173">
        <f t="shared" si="84"/>
        <v>12.25</v>
      </c>
      <c r="CP117" s="173">
        <f t="shared" si="84"/>
        <v>12.25</v>
      </c>
      <c r="CQ117" s="173">
        <f t="shared" si="84"/>
        <v>12.25</v>
      </c>
      <c r="CR117" s="173">
        <f t="shared" si="84"/>
        <v>14</v>
      </c>
      <c r="CS117" s="173">
        <f t="shared" si="84"/>
        <v>14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3687.3913913043475</v>
      </c>
      <c r="D118" s="202">
        <f>B118/Troupeau!$B$17</f>
        <v>12.129576945080091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783</v>
      </c>
      <c r="D119" s="202">
        <f>IF(B119=0,0,B119/Troupeau!$C$17)</f>
        <v>41.210526315789473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4470.3913913043471</v>
      </c>
    </row>
    <row r="123" spans="1:132" x14ac:dyDescent="0.25">
      <c r="A123" s="2" t="s">
        <v>856</v>
      </c>
      <c r="B123" s="30">
        <f>B108</f>
        <v>304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194.5</v>
      </c>
    </row>
    <row r="126" spans="1:132" x14ac:dyDescent="0.25">
      <c r="A126" s="2" t="s">
        <v>872</v>
      </c>
      <c r="B126" s="30">
        <f>B114+B115+B116</f>
        <v>874.2</v>
      </c>
    </row>
    <row r="128" spans="1:132" x14ac:dyDescent="0.25">
      <c r="A128" s="2" t="s">
        <v>873</v>
      </c>
      <c r="B128" s="201">
        <f>SUM(B122:B126)</f>
        <v>6443.0913913043469</v>
      </c>
    </row>
    <row r="129" spans="1:2" x14ac:dyDescent="0.25">
      <c r="A129" s="2" t="s">
        <v>874</v>
      </c>
      <c r="B129" s="30">
        <f>IF(Scénario!K129=1,Travail!F77+Travail!F86,F86)</f>
        <v>1118.5</v>
      </c>
    </row>
    <row r="130" spans="1:2" x14ac:dyDescent="0.25">
      <c r="A130" s="2" t="s">
        <v>875</v>
      </c>
      <c r="B130" s="201">
        <f>ROUND((B128-B129)/(Scénario!K4+Scénario!K6),0)</f>
        <v>3550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40280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42858</v>
      </c>
      <c r="K5" s="173">
        <f>ROUND(B5*F5/1000,0)</f>
        <v>42858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40280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139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11100</v>
      </c>
      <c r="K9" s="173">
        <f>ROUND(B9*F9,0)</f>
        <v>5414</v>
      </c>
      <c r="L9" s="173">
        <f t="shared" ref="L9:M16" si="5">ROUND(C9*G9,0)</f>
        <v>5686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70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4470</v>
      </c>
      <c r="K10" s="173">
        <f t="shared" ref="K10:K16" si="7">ROUND(B10*F10,0)</f>
        <v>2727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39</v>
      </c>
      <c r="U11" s="173">
        <f>Troupeau!C37</f>
        <v>4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39</v>
      </c>
      <c r="C13" s="173">
        <f>U11-C14</f>
        <v>4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5146</v>
      </c>
      <c r="K13" s="173">
        <f t="shared" si="7"/>
        <v>1034</v>
      </c>
      <c r="L13" s="173">
        <f t="shared" si="5"/>
        <v>4112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-1750</v>
      </c>
      <c r="K16" s="173">
        <f t="shared" si="7"/>
        <v>-1750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-9.8000000000000007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0.73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94.88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94.88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94.88</v>
      </c>
      <c r="C42" s="215">
        <f>[1]Eco!$B$24</f>
        <v>97</v>
      </c>
      <c r="J42" s="173">
        <f>B42*C42</f>
        <v>9203.3599999999988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94.88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6356.96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59.22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12500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94.88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23.149999999999995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23.149999999999995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119023.52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55.131999999999998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55.131999999999998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70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126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59.22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9.8000000000000007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1960.0000000000002</v>
      </c>
      <c r="K82" s="173">
        <f>$C82*D82</f>
        <v>1960.0000000000002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9.8000000000000007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15.9</v>
      </c>
      <c r="E92" s="173">
        <f t="shared" si="33"/>
        <v>0</v>
      </c>
      <c r="F92" s="173">
        <f t="shared" si="33"/>
        <v>0</v>
      </c>
      <c r="J92" s="173">
        <f t="shared" si="36"/>
        <v>6614.4000000000005</v>
      </c>
      <c r="K92" s="173">
        <f t="shared" si="37"/>
        <v>6614.4000000000005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2.9</v>
      </c>
      <c r="E94" s="173">
        <f t="shared" si="33"/>
        <v>0</v>
      </c>
      <c r="F94" s="173">
        <f t="shared" si="33"/>
        <v>0</v>
      </c>
      <c r="J94" s="173">
        <f t="shared" si="36"/>
        <v>893.19999999999993</v>
      </c>
      <c r="K94" s="173">
        <f t="shared" si="37"/>
        <v>893.19999999999993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7.3</v>
      </c>
      <c r="E95" s="173">
        <f t="shared" si="33"/>
        <v>0</v>
      </c>
      <c r="F95" s="173">
        <f t="shared" si="33"/>
        <v>0</v>
      </c>
      <c r="J95" s="173">
        <f t="shared" si="36"/>
        <v>1971</v>
      </c>
      <c r="K95" s="173">
        <f t="shared" si="37"/>
        <v>1971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5.5</v>
      </c>
      <c r="F96" s="173">
        <f t="shared" si="33"/>
        <v>0</v>
      </c>
      <c r="J96" s="173">
        <f t="shared" si="36"/>
        <v>1567.5</v>
      </c>
      <c r="K96" s="173">
        <f t="shared" si="37"/>
        <v>0</v>
      </c>
      <c r="L96" s="173">
        <f t="shared" si="34"/>
        <v>1567.5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2.2999999999999998</v>
      </c>
      <c r="F97" s="173">
        <f t="shared" si="33"/>
        <v>0</v>
      </c>
      <c r="J97" s="173">
        <f t="shared" si="36"/>
        <v>972.9</v>
      </c>
      <c r="K97" s="173">
        <f t="shared" si="37"/>
        <v>0</v>
      </c>
      <c r="L97" s="173">
        <f t="shared" si="34"/>
        <v>972.9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15.9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2.9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7.3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5.5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2.2999999999999998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4541</v>
      </c>
      <c r="K110" s="177">
        <f t="shared" ref="K110:K115" si="55">ROUND(T132*U132,0)</f>
        <v>2432</v>
      </c>
      <c r="L110" s="177">
        <f>ROUND(V132*W132,0)</f>
        <v>2109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11438.600000000002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8625</v>
      </c>
      <c r="K111" s="177">
        <f t="shared" si="55"/>
        <v>5718</v>
      </c>
      <c r="L111" s="177">
        <f>ROUND(V133*W133,0)</f>
        <v>2907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2540.4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1292</v>
      </c>
      <c r="K113" s="177">
        <f t="shared" si="55"/>
        <v>912</v>
      </c>
      <c r="L113" s="177">
        <f>ROUND(V135*W135,0)</f>
        <v>380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646</v>
      </c>
      <c r="K114" s="177">
        <f t="shared" si="55"/>
        <v>608</v>
      </c>
      <c r="L114" s="177">
        <f>ROUND(U136*V136,0)</f>
        <v>38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21108.600000000002</v>
      </c>
      <c r="L116" s="62">
        <f t="shared" ref="L116:M116" si="57">SUM(L110:L115)+SUM(L82:L106)</f>
        <v>7974.4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46.11999999999999</v>
      </c>
      <c r="C118" s="190">
        <f>IF(Scénario!$K$12="BV",[1]Eco!$B$78,IF(Scénario!$K$12="BL",[1]Eco!$B$77,[1]Eco!$B$76))</f>
        <v>223</v>
      </c>
      <c r="J118" s="173">
        <f>B118*C118</f>
        <v>10284.759999999998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50.379999999999995</v>
      </c>
      <c r="C119" s="190">
        <f>[1]Eco!$B$79</f>
        <v>80</v>
      </c>
      <c r="J119" s="173">
        <f>B119*C119</f>
        <v>4030.3999999999996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4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40.28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4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45.96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139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1345.5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70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6.8</v>
      </c>
      <c r="D132" s="190">
        <f>HLOOKUP(Troupeau!$J$17,[1]Anx!$D$170:$CN$186,'Calcul éco'!O132)</f>
        <v>27</v>
      </c>
      <c r="E132" s="236"/>
      <c r="F132" s="236"/>
      <c r="G132" s="18"/>
      <c r="J132" s="173">
        <f>D132*C132</f>
        <v>183.6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7.1</v>
      </c>
      <c r="D133" s="190">
        <f>HLOOKUP(Troupeau!$J$17,[1]Anx!$D$170:$CN$186,'Calcul éco'!O133)</f>
        <v>46.62</v>
      </c>
      <c r="E133" s="236"/>
      <c r="F133" s="236"/>
      <c r="G133" s="18"/>
      <c r="J133" s="173">
        <f t="shared" ref="J133:J138" si="61">D133*C133</f>
        <v>331.00199999999995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18.809999999999999</v>
      </c>
      <c r="V133" s="171">
        <f>$U$127</f>
        <v>19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9.1</v>
      </c>
      <c r="D134" s="190">
        <f>HLOOKUP(Troupeau!$J$17,[1]Anx!$D$170:$CN$186,'Calcul éco'!O134)</f>
        <v>50.13</v>
      </c>
      <c r="E134" s="236"/>
      <c r="F134" s="236"/>
      <c r="G134" s="18"/>
      <c r="J134" s="173">
        <f t="shared" si="61"/>
        <v>456.18299999999999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88.92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2</v>
      </c>
      <c r="V136" s="171">
        <f>$U$127</f>
        <v>19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112.68</v>
      </c>
      <c r="E137" s="5"/>
      <c r="F137" s="5"/>
      <c r="G137" s="18"/>
      <c r="J137" s="173">
        <f t="shared" si="61"/>
        <v>563.40000000000009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69</v>
      </c>
      <c r="U137" s="190">
        <f>HLOOKUP($T$123,[1]Anx!$D$170:$CN$1177,$AB137)</f>
        <v>0</v>
      </c>
      <c r="V137" s="171">
        <f>Troupeau!C22</f>
        <v>4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175.5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39</v>
      </c>
      <c r="AG138" s="30">
        <f>C13</f>
        <v>4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2800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5426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691.22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51513.564999999995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4595.5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29.000000000000004</v>
      </c>
      <c r="C149" s="190">
        <f>HLOOKUP(Troupeau!J$17,[1]Anx!$A$170:$CN$220,'Calcul éco'!O149)</f>
        <v>86.5</v>
      </c>
      <c r="D149" s="5"/>
      <c r="G149" s="171"/>
      <c r="J149" s="173">
        <f t="shared" ref="J149:J154" si="67">B149*C149</f>
        <v>2508.5000000000005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21.2</v>
      </c>
      <c r="X153" t="s">
        <v>52</v>
      </c>
      <c r="Y153" s="173">
        <f>W153-Scénario!K28</f>
        <v>-2.3000000000000007</v>
      </c>
      <c r="Z153" s="173">
        <f>Y153-Y156</f>
        <v>-2.0700000000000007</v>
      </c>
    </row>
    <row r="154" spans="1:39" x14ac:dyDescent="0.25">
      <c r="A154" t="s">
        <v>1076</v>
      </c>
      <c r="B154" s="173">
        <f>Scénario!K48</f>
        <v>29.000000000000004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8430.3000000000011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14.1</v>
      </c>
      <c r="X154" t="s">
        <v>52</v>
      </c>
      <c r="Y154" s="173">
        <f>W154-Scénario!K29</f>
        <v>-1.9000000000000004</v>
      </c>
      <c r="Z154" s="173">
        <f>Y154</f>
        <v>-1.9000000000000004</v>
      </c>
    </row>
    <row r="155" spans="1:39" x14ac:dyDescent="0.25">
      <c r="A155" s="17" t="s">
        <v>1078</v>
      </c>
      <c r="B155" s="239">
        <f>B154</f>
        <v>29.000000000000004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1740.0000000000002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-0.23000000000000007</v>
      </c>
      <c r="Z156" s="173">
        <f t="shared" si="68"/>
        <v>-0.23000000000000007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-2.0700000000000007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-74.934000000000026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-1.9000000000000004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-57.000000000000014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-0.23000000000000007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-35.742000000000012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2.5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2.5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2.5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9.1</v>
      </c>
      <c r="T165" s="173">
        <f>VLOOKUP(R165,[1]MEP!$A$4:$M$300,13)</f>
        <v>2</v>
      </c>
      <c r="U165" s="173">
        <f t="shared" ref="U165:U207" si="72">IF($T165&gt;0,$S165,0)</f>
        <v>9.1</v>
      </c>
      <c r="V165" s="173">
        <f t="shared" ref="V165:V207" si="73">IF($T165&gt;1,$S165,0)</f>
        <v>9.1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9.1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9.1</v>
      </c>
      <c r="AN165" s="32" t="s">
        <v>659</v>
      </c>
      <c r="AO165" s="173">
        <f>SUM(AD164:AD183)</f>
        <v>18.700000000000003</v>
      </c>
    </row>
    <row r="166" spans="1:41" x14ac:dyDescent="0.25">
      <c r="A166" s="5" t="s">
        <v>1423</v>
      </c>
      <c r="B166" s="30">
        <f>T246*[1]Eco!$B$108*[1]Eco!$B$109</f>
        <v>840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8929.2000000000007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0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288.2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3063.5660000000003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264</v>
      </c>
      <c r="S168" s="173">
        <f>Alim_Surf!R11</f>
        <v>2.1</v>
      </c>
      <c r="T168" s="173">
        <f>VLOOKUP(R168,[1]MEP!$A$4:$M$300,13)</f>
        <v>1</v>
      </c>
      <c r="U168" s="173">
        <f t="shared" si="72"/>
        <v>2.1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2.1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2.1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41877.890000000007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25632.06500000001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17088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11400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2373.104096466468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11858.960903533542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7906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4.3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4.3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72"/>
        <v>0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28.000000000000004</v>
      </c>
      <c r="U228" s="62">
        <f>SUM(U164:U227)</f>
        <v>21.2</v>
      </c>
      <c r="V228" s="62">
        <f t="shared" ref="V228:W228" si="84">SUM(V164:V227)</f>
        <v>14.1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23.000000000000004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6.8</v>
      </c>
      <c r="AI228" s="62">
        <f t="shared" si="86"/>
        <v>7.1</v>
      </c>
      <c r="AJ228" s="62">
        <f t="shared" si="86"/>
        <v>9.1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5458</v>
      </c>
      <c r="U234" t="s">
        <v>1101</v>
      </c>
      <c r="V234" s="173"/>
      <c r="W234" s="173">
        <f>[1]Protect!$B$4</f>
        <v>6</v>
      </c>
      <c r="X234" s="173">
        <f>T234*W234</f>
        <v>32748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1</v>
      </c>
      <c r="W235" s="173">
        <f>[1]Protect!$B$83</f>
        <v>2000</v>
      </c>
      <c r="X235" s="173">
        <f t="shared" ref="X235:X236" si="87">T235*W235</f>
        <v>2000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34748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19248</v>
      </c>
      <c r="AB237" s="30">
        <f>(Scénario!K127/100)*AA237</f>
        <v>0</v>
      </c>
      <c r="AC237" s="30">
        <f>AA237-AB237</f>
        <v>19248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2373.104096466468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6</v>
      </c>
      <c r="X245" s="173">
        <f>ROUND((([1]Protect!$B$5/[1]Protect!$B$11)+[1]Protect!$B$8)*T245,0)</f>
        <v>5426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3.5</v>
      </c>
      <c r="W246" s="173">
        <f>[1]Eco!$B$106*[1]Eco!$B$108*[1]Eco!$B$109</f>
        <v>2551.2000000000003</v>
      </c>
      <c r="X246" s="173">
        <f>T246*W246</f>
        <v>8929.2000000000007</v>
      </c>
    </row>
    <row r="247" spans="17:31" x14ac:dyDescent="0.25">
      <c r="S247" s="14" t="s">
        <v>1116</v>
      </c>
      <c r="T247" s="30">
        <f>Travail!F16/8</f>
        <v>98</v>
      </c>
      <c r="W247" s="173">
        <f>[1]Eco!$B$111</f>
        <v>28.3</v>
      </c>
      <c r="X247" s="173">
        <f>T247*W247</f>
        <v>2773.4</v>
      </c>
    </row>
    <row r="248" spans="17:31" x14ac:dyDescent="0.25">
      <c r="W248" s="14" t="s">
        <v>1117</v>
      </c>
      <c r="X248" s="173">
        <f>SUM(X245:X247)</f>
        <v>17128.600000000002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17128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240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1</v>
      </c>
      <c r="U257" s="173">
        <f>IF(T257=0,0,[1]Protect!$B77)</f>
        <v>12500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12500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12500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10000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81.87</v>
      </c>
      <c r="U272" s="173"/>
      <c r="V272" s="173"/>
      <c r="W272" s="173">
        <f>W234</f>
        <v>6</v>
      </c>
      <c r="X272" s="173">
        <f>T272*W272</f>
        <v>491.22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2</v>
      </c>
      <c r="U274" s="173"/>
      <c r="V274" s="173"/>
      <c r="W274" s="173">
        <f>W271</f>
        <v>100</v>
      </c>
      <c r="X274" s="173">
        <f>T274*W274</f>
        <v>200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Z1_OLBV_T3PT_Ms2</v>
      </c>
      <c r="D1" s="275" t="str">
        <f>CONCATENATE(C1,"_corr")</f>
        <v>Z1_OLBV_T3PT_Ms2_corr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2</v>
      </c>
      <c r="D51" s="177">
        <f t="shared" si="0"/>
        <v>2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18.700000000000003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21.2</v>
      </c>
      <c r="D85" s="261">
        <f>ROUND(C85*$D$82/$C$82,3)</f>
        <v>20.353999999999999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14.1</v>
      </c>
      <c r="D86" s="261">
        <f t="shared" ref="D86:D97" si="14">ROUND(C86*$D$82/$C$82,3)</f>
        <v>13.537000000000001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2.12</v>
      </c>
      <c r="D88" s="261">
        <f t="shared" si="14"/>
        <v>2.0350000000000001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1</v>
      </c>
      <c r="AE95" s="30">
        <f>CdTrp1!Y77</f>
        <v>1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5</v>
      </c>
      <c r="D101" s="173">
        <f t="shared" si="25"/>
        <v>5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1</v>
      </c>
      <c r="P105" s="30">
        <f>CdTrp2!J76</f>
        <v>2</v>
      </c>
      <c r="Q105" s="30">
        <f>CdTrp2!K76</f>
        <v>2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2</v>
      </c>
      <c r="Y105" s="30">
        <f>CdTrp2!S76</f>
        <v>2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20.5</v>
      </c>
      <c r="D106" s="173">
        <f t="shared" si="25"/>
        <v>20.5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3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47</v>
      </c>
      <c r="D109" s="173">
        <f t="shared" si="25"/>
        <v>47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1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2</v>
      </c>
      <c r="CM109" s="173">
        <f>IF(CdTrp2!M76=1,1,IF(CdTrp2!M76=2,2,IF(CdTrp2!M76=3,2,IF(CdTrp2!M76=4,4,0))))</f>
        <v>2</v>
      </c>
      <c r="CN109" s="173">
        <f>IF(CdTrp2!N76=1,1,IF(CdTrp2!N76=2,2,IF(CdTrp2!N76=3,2,IF(CdTrp2!N76=4,4,0))))</f>
        <v>2</v>
      </c>
      <c r="CO109" s="173">
        <f>IF(CdTrp2!O76=1,1,IF(CdTrp2!O76=2,2,IF(CdTrp2!O76=3,2,IF(CdTrp2!O76=4,4,0))))</f>
        <v>1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1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13</v>
      </c>
      <c r="D110" s="173">
        <f t="shared" si="25"/>
        <v>13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1</v>
      </c>
      <c r="AW110" s="173">
        <f>IF(CdTrp1!C77=1,1,IF(CdTrp1!C77=2,2,IF(CdTrp1!C77=3,2,IF(CdTrp1!C77=4,4,0))))</f>
        <v>1</v>
      </c>
      <c r="AX110" s="173">
        <f>IF(CdTrp1!D77=1,1,IF(CdTrp1!D77=2,2,IF(CdTrp1!D77=3,2,IF(CdTrp1!D77=4,4,0))))</f>
        <v>1</v>
      </c>
      <c r="AY110" s="173">
        <f>IF(CdTrp1!E77=1,1,IF(CdTrp1!E77=2,2,IF(CdTrp1!E77=3,2,IF(CdTrp1!E77=4,4,0))))</f>
        <v>1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1</v>
      </c>
      <c r="BS110" s="173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12.5</v>
      </c>
      <c r="D111" s="173">
        <f t="shared" si="25"/>
        <v>12.5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0</v>
      </c>
      <c r="D113" s="173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12.5</v>
      </c>
      <c r="D114" s="173">
        <f t="shared" si="25"/>
        <v>12.5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</v>
      </c>
      <c r="D116" s="173">
        <f t="shared" si="25"/>
        <v>4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1.5</v>
      </c>
      <c r="D117" s="173">
        <f t="shared" si="25"/>
        <v>1.5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221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212</v>
      </c>
      <c r="CM121" s="173">
        <f>IF(CM75=0,0,VALUE(CONCATENATE(Travail!CM26,Travail!CM37,Travail!CM48)))</f>
        <v>212</v>
      </c>
      <c r="CN121" s="173">
        <f>IF(CN75=0,0,VALUE(CONCATENATE(Travail!CN26,Travail!CN37,Travail!CN48)))</f>
        <v>212</v>
      </c>
      <c r="CO121" s="173">
        <f>IF(CO75=0,0,VALUE(CONCATENATE(Travail!CO26,Travail!CO37,Travail!CO48)))</f>
        <v>211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211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221</v>
      </c>
      <c r="AW122" s="173">
        <f>IF(AW76=0,0,IF(AW99=3,0,VALUE(CONCATENATE(Travail!AW27,Travail!AW38,Travail!AW49))))</f>
        <v>221</v>
      </c>
      <c r="AX122" s="173">
        <f>IF(AX76=0,0,IF(AX99=3,0,VALUE(CONCATENATE(Travail!AX27,Travail!AX38,Travail!AX49))))</f>
        <v>221</v>
      </c>
      <c r="AY122" s="173">
        <f>IF(AY76=0,0,IF(AY99=3,0,VALUE(CONCATENATE(Travail!AY27,Travail!AY38,Travail!AY49))))</f>
        <v>221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221</v>
      </c>
      <c r="BS122" s="173">
        <f>IF(BS76=0,0,IF(BS99=3,0,VALUE(CONCATENATE(Travail!BS27,Travail!BS38,Travail!BS49))))</f>
        <v>221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3.5</v>
      </c>
      <c r="D128" s="173">
        <f t="shared" si="25"/>
        <v>3.5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0.76470588235294112</v>
      </c>
      <c r="D133" s="262">
        <f t="shared" si="25"/>
        <v>0.76470588235294112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0.47169811320754718</v>
      </c>
      <c r="D134" s="262">
        <f t="shared" si="25"/>
        <v>0.47169811320754718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0.58620689655172409</v>
      </c>
      <c r="D136" s="262">
        <f t="shared" si="25"/>
        <v>0.58620689655172409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209</v>
      </c>
      <c r="D137" s="263">
        <f>C137*$D$82/$C$82</f>
        <v>200.66084788029926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39</v>
      </c>
      <c r="D138" s="263">
        <f t="shared" ref="D138:D174" si="50">C138*$D$82/$C$82</f>
        <v>37.443890274314214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9</v>
      </c>
      <c r="D142" s="263">
        <f t="shared" si="50"/>
        <v>8.6408977556109718</v>
      </c>
      <c r="AT142" s="19" t="s">
        <v>817</v>
      </c>
      <c r="AV142" s="173">
        <f>COUNTIF(AV$132:AV$141,23)</f>
        <v>3</v>
      </c>
      <c r="AW142" s="173">
        <f t="shared" ref="AW142:BS142" si="58">COUNTIF(AW$132:AW$141,23)</f>
        <v>3</v>
      </c>
      <c r="AX142" s="173">
        <f t="shared" si="58"/>
        <v>3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1</v>
      </c>
      <c r="BP142" s="173">
        <f t="shared" si="58"/>
        <v>2</v>
      </c>
      <c r="BQ142" s="173">
        <f t="shared" si="58"/>
        <v>3</v>
      </c>
      <c r="BR142" s="173">
        <f t="shared" si="58"/>
        <v>3</v>
      </c>
      <c r="BS142" s="173">
        <f t="shared" si="58"/>
        <v>3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4</v>
      </c>
      <c r="D143" s="263">
        <f t="shared" si="50"/>
        <v>3.8403990024937653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1</v>
      </c>
      <c r="AW144" s="173">
        <f t="shared" ref="AW144:BS144" si="64">COUNTIF(AW$132:AW$141,22)</f>
        <v>1</v>
      </c>
      <c r="AX144" s="173">
        <f t="shared" si="64"/>
        <v>1</v>
      </c>
      <c r="AY144" s="173">
        <f t="shared" si="64"/>
        <v>2</v>
      </c>
      <c r="AZ144" s="173">
        <f t="shared" si="64"/>
        <v>2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2</v>
      </c>
      <c r="BP144" s="173">
        <f t="shared" si="64"/>
        <v>1</v>
      </c>
      <c r="BQ144" s="173">
        <f t="shared" si="64"/>
        <v>1</v>
      </c>
      <c r="BR144" s="173">
        <f t="shared" si="64"/>
        <v>1</v>
      </c>
      <c r="BS144" s="173">
        <f t="shared" si="64"/>
        <v>1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40280</v>
      </c>
      <c r="D148" s="263">
        <f t="shared" si="50"/>
        <v>38672.817955112216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24.1110267808739</v>
      </c>
      <c r="AW152" s="173">
        <f t="shared" si="74"/>
        <v>24.1110267808739</v>
      </c>
      <c r="AX152" s="173">
        <f t="shared" si="74"/>
        <v>24.1110267808739</v>
      </c>
      <c r="AY152" s="173">
        <f t="shared" si="74"/>
        <v>24.1110267808739</v>
      </c>
      <c r="AZ152" s="173">
        <f t="shared" si="74"/>
        <v>24.1110267808739</v>
      </c>
      <c r="BA152" s="173">
        <f t="shared" si="74"/>
        <v>24.1110267808739</v>
      </c>
      <c r="BB152" s="173">
        <f t="shared" si="74"/>
        <v>24.1110267808739</v>
      </c>
      <c r="BC152" s="173">
        <f t="shared" si="74"/>
        <v>24.1110267808739</v>
      </c>
      <c r="BD152" s="173">
        <f t="shared" si="74"/>
        <v>24.1110267808739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24.1110267808739</v>
      </c>
      <c r="BP152" s="173">
        <f t="shared" si="74"/>
        <v>24.1110267808739</v>
      </c>
      <c r="BQ152" s="173">
        <f t="shared" si="74"/>
        <v>24.1110267808739</v>
      </c>
      <c r="BR152" s="173">
        <f t="shared" si="74"/>
        <v>24.1110267808739</v>
      </c>
      <c r="BS152" s="173">
        <f t="shared" si="74"/>
        <v>24.1110267808739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4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7.6140084571180742</v>
      </c>
      <c r="AW154" s="173">
        <f t="shared" si="74"/>
        <v>7.6140084571180742</v>
      </c>
      <c r="AX154" s="173">
        <f t="shared" si="74"/>
        <v>7.6140084571180742</v>
      </c>
      <c r="AY154" s="173">
        <f t="shared" si="74"/>
        <v>7.6140084571180742</v>
      </c>
      <c r="AZ154" s="173">
        <f t="shared" si="74"/>
        <v>7.6140084571180742</v>
      </c>
      <c r="BA154" s="173">
        <f t="shared" si="74"/>
        <v>7.6140084571180742</v>
      </c>
      <c r="BB154" s="173">
        <f t="shared" si="74"/>
        <v>7.6140084571180742</v>
      </c>
      <c r="BC154" s="173">
        <f t="shared" si="74"/>
        <v>7.6140084571180742</v>
      </c>
      <c r="BD154" s="173">
        <f t="shared" si="74"/>
        <v>7.6140084571180742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7.6140084571180742</v>
      </c>
      <c r="BP154" s="173">
        <f t="shared" si="74"/>
        <v>7.6140084571180742</v>
      </c>
      <c r="BQ154" s="173">
        <f t="shared" si="74"/>
        <v>7.6140084571180742</v>
      </c>
      <c r="BR154" s="173">
        <f t="shared" si="74"/>
        <v>7.6140084571180742</v>
      </c>
      <c r="BS154" s="173">
        <f t="shared" si="74"/>
        <v>7.6140084571180742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351.51339043695106</v>
      </c>
      <c r="AW160" s="62">
        <f t="shared" ref="AW160:BS160" si="83">SUM(AW151:AW159)</f>
        <v>348.97538761791174</v>
      </c>
      <c r="AX160" s="62">
        <f t="shared" si="83"/>
        <v>346.43738479887236</v>
      </c>
      <c r="AY160" s="62">
        <f t="shared" si="83"/>
        <v>345.1683833893527</v>
      </c>
      <c r="AZ160" s="62">
        <f t="shared" si="83"/>
        <v>343.89938197983298</v>
      </c>
      <c r="BA160" s="62">
        <f t="shared" si="83"/>
        <v>342.63038057031332</v>
      </c>
      <c r="BB160" s="62">
        <f t="shared" si="83"/>
        <v>341.36137916079366</v>
      </c>
      <c r="BC160" s="62">
        <f t="shared" si="83"/>
        <v>340.09237775127394</v>
      </c>
      <c r="BD160" s="62">
        <f t="shared" si="83"/>
        <v>337.55437493223462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299.48433264664425</v>
      </c>
      <c r="BP160" s="62">
        <f t="shared" si="83"/>
        <v>299.48433264664425</v>
      </c>
      <c r="BQ160" s="62">
        <f t="shared" si="83"/>
        <v>351.51339043695106</v>
      </c>
      <c r="BR160" s="62">
        <f t="shared" si="83"/>
        <v>351.51339043695106</v>
      </c>
      <c r="BS160" s="62">
        <f t="shared" si="83"/>
        <v>351.51339043695106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91.785440018573851</v>
      </c>
      <c r="D161" s="263">
        <f t="shared" si="50"/>
        <v>88.123178072695595</v>
      </c>
      <c r="AT161" s="189" t="s">
        <v>844</v>
      </c>
      <c r="AV161" s="173">
        <f>IF($AT$62="OL",AV160/50,AV160/10)</f>
        <v>7.0302678087390209</v>
      </c>
      <c r="AW161" s="173">
        <f t="shared" ref="AW161:BS161" si="86">IF($AT$62="OL",AW160/50,AW160/10)</f>
        <v>6.9795077523582343</v>
      </c>
      <c r="AX161" s="173">
        <f t="shared" si="86"/>
        <v>6.9287476959774468</v>
      </c>
      <c r="AY161" s="173">
        <f t="shared" si="86"/>
        <v>6.9033676677870544</v>
      </c>
      <c r="AZ161" s="173">
        <f t="shared" si="86"/>
        <v>6.8779876395966593</v>
      </c>
      <c r="BA161" s="173">
        <f t="shared" si="86"/>
        <v>6.8526076114062668</v>
      </c>
      <c r="BB161" s="173">
        <f t="shared" si="86"/>
        <v>6.8272275832158735</v>
      </c>
      <c r="BC161" s="173">
        <f t="shared" si="86"/>
        <v>6.8018475550254784</v>
      </c>
      <c r="BD161" s="173">
        <f t="shared" si="86"/>
        <v>6.7510874986446927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5.9896866529328854</v>
      </c>
      <c r="BP161" s="173">
        <f t="shared" si="86"/>
        <v>5.9896866529328854</v>
      </c>
      <c r="BQ161" s="173">
        <f t="shared" si="86"/>
        <v>7.0302678087390209</v>
      </c>
      <c r="BR161" s="173">
        <f t="shared" si="86"/>
        <v>7.0302678087390209</v>
      </c>
      <c r="BS161" s="173">
        <f t="shared" si="86"/>
        <v>7.0302678087390209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124.20535979035137</v>
      </c>
      <c r="D162" s="263">
        <f t="shared" si="50"/>
        <v>119.24953496081115</v>
      </c>
      <c r="AT162" s="189" t="s">
        <v>846</v>
      </c>
      <c r="AV162" s="173">
        <f>IF(AV161&gt;1,AV161-1,0)</f>
        <v>6.0302678087390209</v>
      </c>
      <c r="AW162" s="173">
        <f t="shared" ref="AW162:BS162" si="89">IF(AW161&gt;1,AW161-1,0)</f>
        <v>5.9795077523582343</v>
      </c>
      <c r="AX162" s="173">
        <f t="shared" si="89"/>
        <v>5.9287476959774468</v>
      </c>
      <c r="AY162" s="173">
        <f t="shared" si="89"/>
        <v>5.9033676677870544</v>
      </c>
      <c r="AZ162" s="173">
        <f t="shared" si="89"/>
        <v>5.8779876395966593</v>
      </c>
      <c r="BA162" s="173">
        <f t="shared" si="89"/>
        <v>5.8526076114062668</v>
      </c>
      <c r="BB162" s="173">
        <f t="shared" si="89"/>
        <v>5.8272275832158735</v>
      </c>
      <c r="BC162" s="173">
        <f t="shared" si="89"/>
        <v>5.8018475550254784</v>
      </c>
      <c r="BD162" s="173">
        <f t="shared" si="89"/>
        <v>5.7510874986446927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4.9896866529328854</v>
      </c>
      <c r="BP162" s="173">
        <f t="shared" si="89"/>
        <v>4.9896866529328854</v>
      </c>
      <c r="BQ162" s="173">
        <f t="shared" si="89"/>
        <v>6.0302678087390209</v>
      </c>
      <c r="BR162" s="173">
        <f t="shared" si="89"/>
        <v>6.0302678087390209</v>
      </c>
      <c r="BS162" s="173">
        <f t="shared" si="89"/>
        <v>6.0302678087390209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52.552968665293285</v>
      </c>
      <c r="AW163" s="62">
        <f t="shared" ref="AW163:BS163" si="92">AW147+AW148*AW162</f>
        <v>52.464138566626914</v>
      </c>
      <c r="AX163" s="62">
        <f t="shared" si="92"/>
        <v>52.375308467960529</v>
      </c>
      <c r="AY163" s="62">
        <f t="shared" si="92"/>
        <v>52.330893418627348</v>
      </c>
      <c r="AZ163" s="62">
        <f t="shared" si="92"/>
        <v>52.286478369294151</v>
      </c>
      <c r="BA163" s="62">
        <f t="shared" si="92"/>
        <v>52.242063319960963</v>
      </c>
      <c r="BB163" s="62">
        <f t="shared" si="92"/>
        <v>52.197648270627781</v>
      </c>
      <c r="BC163" s="62">
        <f t="shared" si="92"/>
        <v>52.153233221294585</v>
      </c>
      <c r="BD163" s="62">
        <f t="shared" si="92"/>
        <v>52.064403122628214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50.731951642632552</v>
      </c>
      <c r="BP163" s="62">
        <f t="shared" si="92"/>
        <v>50.731951642632552</v>
      </c>
      <c r="BQ163" s="62">
        <f t="shared" si="92"/>
        <v>52.552968665293285</v>
      </c>
      <c r="BR163" s="62">
        <f t="shared" si="92"/>
        <v>52.552968665293285</v>
      </c>
      <c r="BS163" s="62">
        <f t="shared" si="92"/>
        <v>52.552968665293285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37.419010456239995</v>
      </c>
      <c r="D166" s="263">
        <f t="shared" si="50"/>
        <v>35.925982607611964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14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28</v>
      </c>
      <c r="CM167" s="190">
        <f>IF(CM121&gt;0,HLOOKUP(CM121,[1]Trav!$C$11:$O$31,$AU$166),0)</f>
        <v>28</v>
      </c>
      <c r="CN167" s="190">
        <f>IF(CN121&gt;0,HLOOKUP(CN121,[1]Trav!$C$11:$O$31,$AU$166),0)</f>
        <v>28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21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14</v>
      </c>
      <c r="AW168" s="190">
        <f>IF(AW122&gt;0,HLOOKUP(AW122,[1]Trav!$C$11:$O$31,$AU$166),0)</f>
        <v>14</v>
      </c>
      <c r="AX168" s="190">
        <f>IF(AX122&gt;0,HLOOKUP(AX122,[1]Trav!$C$11:$O$31,$AU$166),0)</f>
        <v>14</v>
      </c>
      <c r="AY168" s="190">
        <f>IF(AY122&gt;0,HLOOKUP(AY122,[1]Trav!$C$11:$O$31,$AU$166),0)</f>
        <v>14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14</v>
      </c>
      <c r="BS168" s="190">
        <f>IF(BS122&gt;0,HLOOKUP(BS122,[1]Trav!$C$11:$O$31,$AU$166),0)</f>
        <v>14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152.30699999999999</v>
      </c>
      <c r="D169" s="263">
        <f t="shared" si="50"/>
        <v>146.22991271820447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110.81176298205219</v>
      </c>
      <c r="D170" s="263">
        <f t="shared" si="50"/>
        <v>106.39034600521219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103.58</v>
      </c>
      <c r="D171" s="263">
        <f t="shared" si="50"/>
        <v>99.447132169576051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149.69999999999999</v>
      </c>
      <c r="D172" s="263">
        <f t="shared" si="50"/>
        <v>143.72693266832917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41.495237017947801</v>
      </c>
      <c r="D173" s="263">
        <f t="shared" si="50"/>
        <v>39.83956671299228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72.8</v>
      </c>
      <c r="D174" s="263">
        <f t="shared" si="50"/>
        <v>69.895261845386528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-46.11999999999999</v>
      </c>
      <c r="D175" s="263">
        <f>C175*$D$82/$C$82</f>
        <v>-44.279800498753104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46.11999999999999</v>
      </c>
      <c r="D176" s="263">
        <f>C176*$D$82/$C$82</f>
        <v>44.279800498753104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82</v>
      </c>
      <c r="D178" s="173">
        <f>ROUND((D170+D171)/(D170+D172),2)*100</f>
        <v>82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35</v>
      </c>
      <c r="BA178" s="173">
        <f t="shared" si="98"/>
        <v>35</v>
      </c>
      <c r="BB178" s="173">
        <f t="shared" si="98"/>
        <v>35</v>
      </c>
      <c r="BC178" s="173">
        <f t="shared" si="98"/>
        <v>35</v>
      </c>
      <c r="BD178" s="173">
        <f t="shared" si="98"/>
        <v>35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35</v>
      </c>
      <c r="BP178" s="173">
        <f t="shared" si="98"/>
        <v>21</v>
      </c>
      <c r="BQ178" s="173">
        <f t="shared" si="98"/>
        <v>21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42</v>
      </c>
      <c r="CJ178" s="173">
        <f t="shared" si="99"/>
        <v>49</v>
      </c>
      <c r="CK178" s="173">
        <f t="shared" si="99"/>
        <v>49</v>
      </c>
      <c r="CL178" s="173">
        <f t="shared" si="99"/>
        <v>56</v>
      </c>
      <c r="CM178" s="173">
        <f t="shared" si="99"/>
        <v>56</v>
      </c>
      <c r="CN178" s="173">
        <f t="shared" si="99"/>
        <v>56</v>
      </c>
      <c r="CO178" s="173">
        <f t="shared" si="99"/>
        <v>49</v>
      </c>
      <c r="CP178" s="173">
        <f t="shared" si="99"/>
        <v>49</v>
      </c>
      <c r="CQ178" s="173">
        <f t="shared" si="99"/>
        <v>49</v>
      </c>
      <c r="CR178" s="173">
        <f t="shared" si="99"/>
        <v>56</v>
      </c>
      <c r="CS178" s="173">
        <f t="shared" si="99"/>
        <v>56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43.699999999999996</v>
      </c>
      <c r="D179" s="263">
        <f>C179*$D$82/$C$82</f>
        <v>41.956359102244384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5458</v>
      </c>
      <c r="D183" s="264">
        <f>ROUND(D184*D185,0)</f>
        <v>5236</v>
      </c>
      <c r="E183" s="17" t="s">
        <v>1295</v>
      </c>
    </row>
    <row r="184" spans="1:132" x14ac:dyDescent="0.25">
      <c r="B184" s="14" t="s">
        <v>1296</v>
      </c>
      <c r="C184" s="173">
        <f>Protection!AK26</f>
        <v>29.799999999999997</v>
      </c>
      <c r="D184" s="265">
        <f>C184*D82/C82</f>
        <v>28.61097256857855</v>
      </c>
    </row>
    <row r="185" spans="1:132" x14ac:dyDescent="0.25">
      <c r="B185" s="14" t="s">
        <v>1297</v>
      </c>
      <c r="C185" s="173">
        <f>IF(C183=0,0,ROUND(C183/C184,0))</f>
        <v>183</v>
      </c>
      <c r="D185" s="173">
        <f>C185</f>
        <v>183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1</v>
      </c>
      <c r="D187" s="173">
        <f>C187</f>
        <v>1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6</v>
      </c>
      <c r="D189" s="173">
        <f t="shared" si="101"/>
        <v>6</v>
      </c>
      <c r="AH189" s="15"/>
      <c r="AJ189" s="14" t="s">
        <v>1114</v>
      </c>
      <c r="AK189" s="30">
        <f>D189</f>
        <v>6</v>
      </c>
      <c r="AO189" s="173">
        <f>ROUND((([1]Protect!$B$5/[1]Protect!$B$11)+[1]Protect!$B$8)*AK189,0)</f>
        <v>5426</v>
      </c>
    </row>
    <row r="190" spans="1:132" x14ac:dyDescent="0.25">
      <c r="B190" s="14" t="s">
        <v>1302</v>
      </c>
      <c r="C190" s="173">
        <f>'Calcul éco'!T246*(30)</f>
        <v>105</v>
      </c>
      <c r="D190" s="173">
        <f>C190</f>
        <v>105</v>
      </c>
      <c r="AH190" s="15"/>
      <c r="AJ190" s="14" t="s">
        <v>1115</v>
      </c>
      <c r="AK190" s="30">
        <f>D190/30</f>
        <v>3.5</v>
      </c>
      <c r="AN190" s="173">
        <f>[1]Eco!$B$106*[1]Eco!$B$108*[1]Eco!$B$109</f>
        <v>2551.2000000000003</v>
      </c>
      <c r="AO190" s="173">
        <f>AK190*AN190</f>
        <v>8929.2000000000007</v>
      </c>
    </row>
    <row r="191" spans="1:132" x14ac:dyDescent="0.25">
      <c r="B191" s="14" t="s">
        <v>1303</v>
      </c>
      <c r="C191" s="198">
        <f>ROUND(SUM(Travail!F69:F74)/8,1)</f>
        <v>21.3</v>
      </c>
      <c r="D191" s="173">
        <f>C191</f>
        <v>21.3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98</v>
      </c>
      <c r="AN191" s="173">
        <f>[1]Eco!$B$111</f>
        <v>28.3</v>
      </c>
      <c r="AO191" s="173">
        <f>AK191*AN191</f>
        <v>2773.4</v>
      </c>
    </row>
    <row r="192" spans="1:132" x14ac:dyDescent="0.25">
      <c r="B192" s="14" t="s">
        <v>1307</v>
      </c>
      <c r="C192" s="173">
        <f>(Travail!F83+Travail!F84)/8</f>
        <v>0.77500000000000002</v>
      </c>
      <c r="D192" s="266">
        <f>ROUND((D183/1000)*([1]Protect!$B$25*8/10+[1]Protect!$B$26),2)/8</f>
        <v>0.74</v>
      </c>
      <c r="E192" s="17" t="s">
        <v>1308</v>
      </c>
      <c r="I192" s="5"/>
      <c r="AN192" s="14" t="s">
        <v>1117</v>
      </c>
      <c r="AO192" s="173">
        <f>SUM(AO189:AO191)</f>
        <v>17128.600000000002</v>
      </c>
    </row>
    <row r="193" spans="1:43" x14ac:dyDescent="0.25">
      <c r="B193" s="14" t="s">
        <v>1309</v>
      </c>
      <c r="C193" s="173">
        <f>(Travail!F75+Travail!F76+Travail!F81)/8</f>
        <v>17.0625</v>
      </c>
      <c r="D193" s="173">
        <f>C193</f>
        <v>17.0625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61917</v>
      </c>
      <c r="D194" s="261">
        <f>ROUND(C194*D$82/C$82,0)</f>
        <v>59446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42858</v>
      </c>
      <c r="D195" s="261">
        <f t="shared" ref="D195:D200" si="102">ROUND(C195*D$82/C$82,0)</f>
        <v>41148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11018</v>
      </c>
      <c r="D197" s="261">
        <f t="shared" si="102"/>
        <v>10578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230.42394014962593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11542</v>
      </c>
      <c r="D199" s="261">
        <f t="shared" si="102"/>
        <v>11081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1</v>
      </c>
      <c r="AK201" s="173">
        <f>IF(AJ201=0,0,[1]Protect!B77)</f>
        <v>12500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9203</v>
      </c>
      <c r="D206" s="261">
        <f>ROUND(C206*D$82/C$82,0)</f>
        <v>8836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10000</v>
      </c>
      <c r="AQ207" s="5"/>
    </row>
    <row r="208" spans="1:43" x14ac:dyDescent="0.25">
      <c r="B208" s="211" t="s">
        <v>987</v>
      </c>
      <c r="C208" s="173">
        <f>ROUND('Calcul éco'!J44,0)</f>
        <v>6357</v>
      </c>
      <c r="D208" s="261">
        <f>ROUND(C208*D$82/C$82,0)</f>
        <v>6103</v>
      </c>
      <c r="S208" s="14" t="s">
        <v>978</v>
      </c>
      <c r="T208" s="30">
        <f>L212</f>
        <v>91.094307231920197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12500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10000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12500</v>
      </c>
      <c r="D210" s="264">
        <f>ROUND(AL207,0)</f>
        <v>10000</v>
      </c>
      <c r="E210" s="17" t="s">
        <v>1329</v>
      </c>
      <c r="K210" s="14" t="s">
        <v>990</v>
      </c>
      <c r="L210" s="173">
        <f>J221</f>
        <v>56.857107231920189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57106.2</v>
      </c>
      <c r="D211" s="264">
        <f>ROUND(SUM(D201:D210),0)</f>
        <v>53564</v>
      </c>
      <c r="E211" s="17" t="s">
        <v>1331</v>
      </c>
      <c r="K211" s="40" t="s">
        <v>995</v>
      </c>
      <c r="L211" s="62">
        <f>L209+L210</f>
        <v>91.094307231920197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21108.600000000002</v>
      </c>
      <c r="D212" s="261">
        <f>ROUND(C212*D$82/C$82,0)</f>
        <v>20266</v>
      </c>
      <c r="K212" s="40" t="s">
        <v>1334</v>
      </c>
      <c r="L212" s="62">
        <f>L211/IF(Scénario!K2="Exploit. Ind.",1,Scénario!K3)</f>
        <v>91.094307231920197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7974.4</v>
      </c>
      <c r="D214" s="261">
        <f t="shared" si="106"/>
        <v>7656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29083</v>
      </c>
      <c r="D216" s="261">
        <f t="shared" si="106"/>
        <v>27923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78.540000000000006</v>
      </c>
      <c r="AK216" s="173"/>
      <c r="AL216" s="173"/>
      <c r="AM216" s="173">
        <f>'Calcul éco'!W272</f>
        <v>6</v>
      </c>
      <c r="AN216" s="173">
        <f>AJ216*AM216</f>
        <v>471.24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1998.1849999999999</v>
      </c>
      <c r="D217" s="261">
        <f t="shared" si="106"/>
        <v>1918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14315.159999999998</v>
      </c>
      <c r="D218" s="261">
        <f t="shared" si="106"/>
        <v>13744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2</v>
      </c>
      <c r="AK218" s="173"/>
      <c r="AL218" s="173"/>
      <c r="AM218" s="173">
        <f>'Calcul éco'!W274</f>
        <v>100</v>
      </c>
      <c r="AN218" s="173">
        <f>AJ218*AM218</f>
        <v>200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5426</v>
      </c>
      <c r="D219" s="261">
        <f t="shared" si="106"/>
        <v>5210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691.22</v>
      </c>
      <c r="D220" s="264">
        <f>SUM(AN215:AN219)</f>
        <v>671.24</v>
      </c>
      <c r="E220" s="17" t="s">
        <v>1345</v>
      </c>
      <c r="H220" s="14" t="s">
        <v>1000</v>
      </c>
      <c r="I220" s="30">
        <f>SUM(I216:I219)</f>
        <v>126</v>
      </c>
      <c r="J220" s="30">
        <f>SUM(J216:J219)</f>
        <v>120.97256857855361</v>
      </c>
    </row>
    <row r="221" spans="1:43" x14ac:dyDescent="0.25">
      <c r="B221" s="14" t="s">
        <v>1346</v>
      </c>
      <c r="C221" s="173">
        <f>ROUND(SUM(C216:C220),0)</f>
        <v>51514</v>
      </c>
      <c r="D221" s="264">
        <f>ROUND(SUM(D216:D220),0)</f>
        <v>49466</v>
      </c>
      <c r="E221" s="17" t="s">
        <v>1345</v>
      </c>
      <c r="H221" s="14" t="s">
        <v>1001</v>
      </c>
      <c r="I221" s="30">
        <f>I220*[1]Eco!$B$25</f>
        <v>59.22</v>
      </c>
      <c r="J221" s="30">
        <f>J220*[1]Eco!$B$25</f>
        <v>56.857107231920189</v>
      </c>
    </row>
    <row r="222" spans="1:43" x14ac:dyDescent="0.25">
      <c r="A222" s="2" t="s">
        <v>1067</v>
      </c>
      <c r="B222" s="14" t="s">
        <v>1347</v>
      </c>
      <c r="C222" s="173">
        <f>'Calcul éco'!J149</f>
        <v>2508.5000000000005</v>
      </c>
      <c r="D222" s="261">
        <f>ROUND(C222*D$82/C$82,0)</f>
        <v>2408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5236</v>
      </c>
      <c r="AL225" t="s">
        <v>1101</v>
      </c>
      <c r="AM225" s="173"/>
      <c r="AN225" s="173">
        <f>[1]Protect!$B$4</f>
        <v>6</v>
      </c>
      <c r="AO225" s="173">
        <f>AK225*AN225</f>
        <v>31416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12447</v>
      </c>
      <c r="G226" s="14"/>
      <c r="H226" s="14"/>
      <c r="AJ226" s="14" t="s">
        <v>1102</v>
      </c>
      <c r="AK226" s="30">
        <f>D187</f>
        <v>1</v>
      </c>
      <c r="AN226" s="173">
        <f>[1]Protect!$B$83</f>
        <v>2000</v>
      </c>
      <c r="AO226" s="173">
        <f t="shared" ref="AO226:AO227" si="108">AK226*AN226</f>
        <v>2000</v>
      </c>
    </row>
    <row r="227" spans="1:49" x14ac:dyDescent="0.25">
      <c r="B227" s="14" t="s">
        <v>1076</v>
      </c>
      <c r="C227" s="173">
        <f>'Calcul éco'!J154</f>
        <v>8430.3000000000011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33416</v>
      </c>
      <c r="AQ228" s="30">
        <f>IF(Scénario!K84=1,MIN(0.8*AO228,[1]Protect!$B$68),IF(Scénario!K84=2,MIN(0.8*AO228,[1]Protect!$B$67),0))</f>
        <v>15500</v>
      </c>
      <c r="AR228" s="30">
        <f>AO228-AQ228</f>
        <v>17916</v>
      </c>
      <c r="AS228" s="30">
        <f>(1-Scénario!K127/100)*AR228</f>
        <v>17916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-74.934000000000026</v>
      </c>
      <c r="D230" s="261">
        <f t="shared" si="109"/>
        <v>-72</v>
      </c>
    </row>
    <row r="231" spans="1:49" x14ac:dyDescent="0.25">
      <c r="B231" s="14" t="s">
        <v>1083</v>
      </c>
      <c r="C231" s="173">
        <f>'Calcul éco'!J159</f>
        <v>-57.000000000000014</v>
      </c>
      <c r="D231" s="261">
        <f t="shared" si="109"/>
        <v>-55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-35.742000000000012</v>
      </c>
      <c r="D233" s="261">
        <f t="shared" si="109"/>
        <v>-34</v>
      </c>
    </row>
    <row r="234" spans="1:49" x14ac:dyDescent="0.25">
      <c r="B234" s="14" t="s">
        <v>1352</v>
      </c>
      <c r="C234" s="173">
        <f>'Calcul éco'!J166</f>
        <v>8929.2000000000007</v>
      </c>
      <c r="D234" s="173">
        <f>C234</f>
        <v>8929.2000000000007</v>
      </c>
    </row>
    <row r="235" spans="1:49" x14ac:dyDescent="0.25">
      <c r="B235" s="14" t="s">
        <v>1353</v>
      </c>
      <c r="C235" s="173">
        <f>'Calcul éco'!J167</f>
        <v>3063.5660000000003</v>
      </c>
      <c r="D235" s="264">
        <f>(D191+D192)*8*[1]Eco!$B$106</f>
        <v>1874.2816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41878</v>
      </c>
      <c r="D236" s="264">
        <f>ROUND(SUM(D222:D235),0)</f>
        <v>39741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25631.199999999997</v>
      </c>
      <c r="D237" s="264">
        <f>D194+D211-D221-D236</f>
        <v>23803</v>
      </c>
    </row>
    <row r="238" spans="1:49" x14ac:dyDescent="0.25">
      <c r="B238" s="211" t="s">
        <v>1090</v>
      </c>
      <c r="C238" s="173">
        <f>ROUND(C237/Scénario!$K$4,0)</f>
        <v>17087</v>
      </c>
      <c r="D238" s="264">
        <f>ROUND(D237/D83,0)</f>
        <v>11902</v>
      </c>
    </row>
    <row r="239" spans="1:49" x14ac:dyDescent="0.25">
      <c r="B239" s="211" t="s">
        <v>1091</v>
      </c>
      <c r="C239" s="173">
        <f>'Calcul éco'!B177</f>
        <v>11400</v>
      </c>
      <c r="D239" s="264">
        <f>C239</f>
        <v>11400</v>
      </c>
    </row>
    <row r="240" spans="1:49" x14ac:dyDescent="0.25">
      <c r="B240" s="211" t="s">
        <v>1092</v>
      </c>
      <c r="C240" s="267">
        <f>'Calcul éco'!B178</f>
        <v>2373.104096466468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11858</v>
      </c>
      <c r="D241" s="268">
        <f>ROUND(D237-D239-D240,0)</f>
        <v>12403</v>
      </c>
    </row>
    <row r="242" spans="1:15" x14ac:dyDescent="0.25">
      <c r="B242" s="211" t="s">
        <v>1094</v>
      </c>
      <c r="C242" s="173">
        <f>ROUND(C241/Scénario!K4,0)</f>
        <v>7905</v>
      </c>
      <c r="D242" s="264">
        <f>ROUND(D241/D83,0)</f>
        <v>6202</v>
      </c>
    </row>
    <row r="243" spans="1:15" x14ac:dyDescent="0.25">
      <c r="B243" s="211" t="s">
        <v>1357</v>
      </c>
      <c r="C243" s="173">
        <f>'Calcul éco'!X237+'Calcul éco'!X240</f>
        <v>34748</v>
      </c>
      <c r="D243" s="173">
        <f>C243</f>
        <v>34748</v>
      </c>
    </row>
    <row r="244" spans="1:15" x14ac:dyDescent="0.25">
      <c r="B244" s="211" t="s">
        <v>1358</v>
      </c>
      <c r="C244" s="173">
        <f>'Calcul éco'!AA237+'Calcul éco'!AA240</f>
        <v>19248</v>
      </c>
      <c r="D244" s="173">
        <f>C244</f>
        <v>19248</v>
      </c>
    </row>
    <row r="245" spans="1:15" x14ac:dyDescent="0.25">
      <c r="A245" s="2" t="s">
        <v>1359</v>
      </c>
      <c r="B245" s="14" t="s">
        <v>568</v>
      </c>
      <c r="C245" s="270">
        <f>Travail!F5</f>
        <v>532</v>
      </c>
      <c r="D245" s="173">
        <f>C245</f>
        <v>532</v>
      </c>
    </row>
    <row r="246" spans="1:15" x14ac:dyDescent="0.25">
      <c r="B246" s="14" t="s">
        <v>601</v>
      </c>
      <c r="C246" s="270">
        <f>Travail!F6</f>
        <v>189</v>
      </c>
      <c r="D246" s="173">
        <f t="shared" ref="D246:D247" si="112">C246</f>
        <v>189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980.04139130434783</v>
      </c>
      <c r="D248" s="264">
        <f>ROUND(SUM(AV163:BS163),1)</f>
        <v>971.1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784</v>
      </c>
      <c r="D251" s="173">
        <f>C251</f>
        <v>784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511.5</v>
      </c>
      <c r="D257" s="261">
        <f>ROUND(C257*D$82/C$82,0)</f>
        <v>491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90</v>
      </c>
      <c r="D258" s="261">
        <f t="shared" ref="D258:D259" si="115">ROUND(C258*D$82/C$82,0)</f>
        <v>86</v>
      </c>
      <c r="E258" s="17"/>
      <c r="J258" s="32" t="s">
        <v>790</v>
      </c>
      <c r="K258" s="173">
        <f>D85*((100-Scénario!K31)/100)</f>
        <v>18.3186</v>
      </c>
      <c r="L258" s="190">
        <f>IF(K258&gt;[1]Trav!E121,[1]Trav!C121,[1]Trav!B121)</f>
        <v>7.2</v>
      </c>
      <c r="N258" s="274"/>
      <c r="O258">
        <f t="shared" si="114"/>
        <v>131.89392000000001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13.537000000000001</v>
      </c>
      <c r="L259" s="190">
        <f>IF(K259&gt;[1]Trav!E121,[1]Trav!C121,[1]Trav!B121)</f>
        <v>7.2</v>
      </c>
      <c r="N259" s="274"/>
      <c r="O259">
        <f t="shared" si="114"/>
        <v>97.466400000000007</v>
      </c>
    </row>
    <row r="260" spans="1:15" x14ac:dyDescent="0.25">
      <c r="A260" s="2" t="s">
        <v>767</v>
      </c>
      <c r="B260" s="14" t="s">
        <v>568</v>
      </c>
      <c r="C260" s="270">
        <f>ROUND(Travail!F35,0)</f>
        <v>880</v>
      </c>
      <c r="D260" s="264">
        <f>ROUND(Travail!B35+(Travail!D35*Travail!C35*'Synthèse résultats'!G63),0)</f>
        <v>854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2.0350000000000001</v>
      </c>
      <c r="L261" s="190">
        <f>IF(K261&gt;[1]Trav!E122,[1]Trav!C122,[1]Trav!B122)</f>
        <v>4.4000000000000004</v>
      </c>
      <c r="M261" s="5"/>
      <c r="N261" s="274"/>
      <c r="O261">
        <f t="shared" si="114"/>
        <v>8.9540000000000006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137</v>
      </c>
      <c r="D267" s="264">
        <f t="shared" si="116"/>
        <v>132</v>
      </c>
    </row>
    <row r="268" spans="1:15" x14ac:dyDescent="0.25">
      <c r="B268" s="32" t="s">
        <v>791</v>
      </c>
      <c r="C268" s="270">
        <f>Travail!F56</f>
        <v>102</v>
      </c>
      <c r="D268" s="264">
        <f t="shared" si="116"/>
        <v>97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9</v>
      </c>
      <c r="D270" s="264">
        <f t="shared" si="116"/>
        <v>9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170.4</v>
      </c>
      <c r="D275" s="173">
        <f>C275</f>
        <v>170.4</v>
      </c>
    </row>
    <row r="276" spans="1:4" x14ac:dyDescent="0.25">
      <c r="A276" s="23"/>
      <c r="B276" s="32" t="s">
        <v>1369</v>
      </c>
      <c r="C276" s="270">
        <f>C192*8</f>
        <v>6.2</v>
      </c>
      <c r="D276" s="264">
        <f>D192*8</f>
        <v>5.92</v>
      </c>
    </row>
    <row r="277" spans="1:4" x14ac:dyDescent="0.25">
      <c r="B277" s="32" t="s">
        <v>1419</v>
      </c>
      <c r="C277" s="270">
        <f>Travail!F75+Travail!F81</f>
        <v>112</v>
      </c>
      <c r="D277" s="173">
        <f>C277</f>
        <v>112</v>
      </c>
    </row>
    <row r="278" spans="1:4" x14ac:dyDescent="0.25">
      <c r="B278" s="32" t="s">
        <v>1420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1386</v>
      </c>
      <c r="C279" s="270">
        <f>Travail!F86</f>
        <v>840</v>
      </c>
      <c r="D279" s="270">
        <f>C279</f>
        <v>840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3688</v>
      </c>
      <c r="D281" s="264">
        <f>ROUND(D245+D248+D251+D254+D257+D260+D261,0)</f>
        <v>3632</v>
      </c>
    </row>
    <row r="282" spans="1:4" x14ac:dyDescent="0.25">
      <c r="B282" s="14" t="s">
        <v>1372</v>
      </c>
      <c r="C282" s="173">
        <f>ROUND(C246+C249+C252+C255+C258,0)</f>
        <v>783</v>
      </c>
      <c r="D282" s="264">
        <f>ROUND(D246+D249+D252+D255+D258,0)</f>
        <v>779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12.13</v>
      </c>
      <c r="D284" s="173">
        <f>ROUND(D281/(Troupeau!$B$17*G63),2)</f>
        <v>12.44</v>
      </c>
    </row>
    <row r="285" spans="1:4" x14ac:dyDescent="0.25">
      <c r="B285" s="14" t="s">
        <v>1375</v>
      </c>
      <c r="C285" s="173">
        <f>IF(Troupeau!$C$17=0,0,ROUND(C282/Troupeau!$C$17,2))</f>
        <v>41.21</v>
      </c>
      <c r="D285" s="173">
        <f>IF(Troupeau!$C$17=0,0,ROUND(D282/Troupeau!$C$17*G63,2))</f>
        <v>39.36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4471</v>
      </c>
      <c r="D287" s="264">
        <f>SUM(D281:D283)</f>
        <v>4411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304</v>
      </c>
      <c r="D289" s="264">
        <f>SUM(D262:D271)</f>
        <v>295</v>
      </c>
    </row>
    <row r="290" spans="2:4" x14ac:dyDescent="0.25">
      <c r="B290" s="14" t="s">
        <v>1421</v>
      </c>
      <c r="C290" s="270">
        <f>C275+C276+C277</f>
        <v>288.60000000000002</v>
      </c>
      <c r="D290" s="277">
        <f>D275+D276+D277</f>
        <v>288.32</v>
      </c>
    </row>
    <row r="291" spans="2:4" x14ac:dyDescent="0.25">
      <c r="B291" s="14" t="s">
        <v>1422</v>
      </c>
      <c r="C291" s="270">
        <f>C278+C279+C280</f>
        <v>864.5</v>
      </c>
      <c r="D291" s="270">
        <f>D278+D279+D280</f>
        <v>864.5</v>
      </c>
    </row>
    <row r="292" spans="2:4" x14ac:dyDescent="0.25">
      <c r="B292" s="14" t="s">
        <v>873</v>
      </c>
      <c r="C292" s="173">
        <f>ROUND(SUM(C287:C291),0)</f>
        <v>6528</v>
      </c>
      <c r="D292" s="264">
        <f>ROUND(SUM(D287:D291),0)</f>
        <v>6459</v>
      </c>
    </row>
    <row r="293" spans="2:4" x14ac:dyDescent="0.25">
      <c r="B293" s="14" t="s">
        <v>874</v>
      </c>
      <c r="C293" s="173">
        <f>ROUND(IF(Scénario!$K$129=1,SUM(C275:C280),SUM(C278:C280)),0)</f>
        <v>1153</v>
      </c>
      <c r="D293" s="173">
        <f>ROUND(IF(Scénario!$K$129=1,SUM(D275:D280),SUM(D278:D280)),0)</f>
        <v>1153</v>
      </c>
    </row>
    <row r="294" spans="2:4" x14ac:dyDescent="0.25">
      <c r="B294" s="14" t="s">
        <v>875</v>
      </c>
      <c r="C294" s="173">
        <f>ROUND((C292-C293)/C83,0)</f>
        <v>3583</v>
      </c>
      <c r="D294" s="173">
        <f>ROUND((D292-D293)/D83,0)</f>
        <v>2653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53.304618022052161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57.507144959999984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18.7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32748</v>
      </c>
    </row>
    <row r="308" spans="2:3" x14ac:dyDescent="0.25">
      <c r="B308" s="14" t="s">
        <v>1460</v>
      </c>
      <c r="C308" s="173">
        <f>'Calcul éco'!X235</f>
        <v>2000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F23" sqref="F2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4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279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265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348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278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69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69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40280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39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70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139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55.131999999999998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1.9320000000000004</v>
      </c>
      <c r="C51" s="61">
        <f t="shared" ref="C51:C61" si="4">C22*K51</f>
        <v>1.4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9.66</v>
      </c>
      <c r="C52" s="61">
        <f t="shared" si="4"/>
        <v>2.4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3.2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0.98000000000000009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15884</v>
      </c>
      <c r="C72" s="61">
        <f t="shared" ref="C72:E76" si="8">C$17*K72</f>
        <v>5454.9000000000005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52.25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9819.1999999999989</v>
      </c>
      <c r="C73" s="61">
        <f t="shared" si="8"/>
        <v>2325.6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32.299999999999997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2888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9.5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7265.7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105.3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103" activePane="bottomLeft" state="frozen"/>
      <selection pane="bottomLeft" activeCell="B125" sqref="B125:Y1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4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15884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15.9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9819.1999999999989</v>
      </c>
      <c r="AK19" s="54">
        <f t="shared" ref="AK19:AK52" si="4">IF($AH19=AK$17,ROUND($AI19/1000,1),0)</f>
        <v>9.8000000000000007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2888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2.9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7265.7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7.3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9.8000000000000007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15.9</v>
      </c>
      <c r="AV54" s="84">
        <f t="shared" si="17"/>
        <v>0</v>
      </c>
      <c r="AW54" s="84">
        <f t="shared" si="17"/>
        <v>2.9</v>
      </c>
      <c r="AX54" s="84">
        <f t="shared" si="17"/>
        <v>7.3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36.18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27.247652173913046</v>
      </c>
      <c r="C64" s="61">
        <f t="shared" si="19"/>
        <v>27.247652173913046</v>
      </c>
      <c r="D64" s="61">
        <f t="shared" si="19"/>
        <v>24.610782608695654</v>
      </c>
      <c r="E64" s="61">
        <f t="shared" si="19"/>
        <v>24.610782608695654</v>
      </c>
      <c r="F64" s="61">
        <f t="shared" si="19"/>
        <v>27.247652173913046</v>
      </c>
      <c r="G64" s="61">
        <f t="shared" si="19"/>
        <v>27.247652173913046</v>
      </c>
      <c r="H64" s="61">
        <f t="shared" si="19"/>
        <v>26.368695652173916</v>
      </c>
      <c r="I64" s="61">
        <f t="shared" si="19"/>
        <v>26.368695652173916</v>
      </c>
      <c r="J64" s="61">
        <f t="shared" si="19"/>
        <v>27.247652173913046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27.247652173913046</v>
      </c>
      <c r="V64" s="61">
        <f t="shared" si="19"/>
        <v>26.368695652173916</v>
      </c>
      <c r="W64" s="61">
        <f t="shared" si="19"/>
        <v>26.368695652173916</v>
      </c>
      <c r="X64" s="61">
        <f t="shared" si="19"/>
        <v>27.247652173913046</v>
      </c>
      <c r="Y64" s="61">
        <f t="shared" si="19"/>
        <v>27.247652173913046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29.829008695652174</v>
      </c>
      <c r="H65" s="61">
        <f t="shared" si="20"/>
        <v>28.866782608695654</v>
      </c>
      <c r="I65" s="61">
        <f t="shared" si="20"/>
        <v>28.866782608695654</v>
      </c>
      <c r="J65" s="61">
        <f t="shared" si="20"/>
        <v>74.572521739130451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17.209043478260874</v>
      </c>
      <c r="C66" s="61">
        <f t="shared" si="21"/>
        <v>17.209043478260874</v>
      </c>
      <c r="D66" s="61">
        <f t="shared" si="21"/>
        <v>15.543652173913047</v>
      </c>
      <c r="E66" s="61">
        <f t="shared" si="21"/>
        <v>15.543652173913047</v>
      </c>
      <c r="F66" s="61">
        <f t="shared" si="21"/>
        <v>17.209043478260874</v>
      </c>
      <c r="G66" s="61">
        <f t="shared" si="21"/>
        <v>17.209043478260874</v>
      </c>
      <c r="H66" s="61">
        <f t="shared" si="21"/>
        <v>16.653913043478266</v>
      </c>
      <c r="I66" s="61">
        <f t="shared" si="21"/>
        <v>16.653913043478266</v>
      </c>
      <c r="J66" s="61">
        <f t="shared" si="21"/>
        <v>17.209043478260874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17.209043478260874</v>
      </c>
      <c r="V66" s="61">
        <f t="shared" si="21"/>
        <v>16.653913043478266</v>
      </c>
      <c r="W66" s="61">
        <f t="shared" si="21"/>
        <v>16.653913043478266</v>
      </c>
      <c r="X66" s="61">
        <f t="shared" si="21"/>
        <v>17.209043478260874</v>
      </c>
      <c r="Y66" s="61">
        <f t="shared" si="21"/>
        <v>17.209043478260874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648</v>
      </c>
      <c r="C73" s="64">
        <f t="shared" ref="C73:Y73" si="28">ROUND(SUM(C63:C72),0)</f>
        <v>642</v>
      </c>
      <c r="D73" s="64">
        <f t="shared" si="28"/>
        <v>575</v>
      </c>
      <c r="E73" s="64">
        <f t="shared" si="28"/>
        <v>320</v>
      </c>
      <c r="F73" s="64">
        <f t="shared" si="28"/>
        <v>352</v>
      </c>
      <c r="G73" s="64">
        <f t="shared" si="28"/>
        <v>351</v>
      </c>
      <c r="H73" s="64">
        <f t="shared" si="28"/>
        <v>338</v>
      </c>
      <c r="I73" s="64">
        <f t="shared" si="28"/>
        <v>337</v>
      </c>
      <c r="J73" s="64">
        <f t="shared" si="28"/>
        <v>390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347</v>
      </c>
      <c r="V73" s="64">
        <f t="shared" si="28"/>
        <v>629</v>
      </c>
      <c r="W73" s="64">
        <f t="shared" si="28"/>
        <v>627</v>
      </c>
      <c r="X73" s="64">
        <f t="shared" si="28"/>
        <v>648</v>
      </c>
      <c r="Y73" s="64">
        <f t="shared" si="28"/>
        <v>648</v>
      </c>
      <c r="Z73" s="52"/>
      <c r="AA73" s="56">
        <f>ROUND(SUM(B73:Y73),0)</f>
        <v>8040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1</v>
      </c>
      <c r="C77" s="60">
        <v>1</v>
      </c>
      <c r="D77" s="60">
        <v>1</v>
      </c>
      <c r="E77" s="60">
        <v>1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1</v>
      </c>
      <c r="Y77" s="60">
        <v>1</v>
      </c>
      <c r="AB77" t="s">
        <v>447</v>
      </c>
      <c r="AC77">
        <f>COUNTIF($B$76:$Y$85,"&gt;0")/2</f>
        <v>20.5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13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0.35025029565217397</v>
      </c>
      <c r="E138" s="61">
        <f t="shared" si="52"/>
        <v>0.35025029565217397</v>
      </c>
      <c r="F138" s="61">
        <f t="shared" si="52"/>
        <v>0.38777711304347828</v>
      </c>
      <c r="G138" s="61">
        <f t="shared" si="52"/>
        <v>0.38777711304347828</v>
      </c>
      <c r="H138" s="61">
        <f t="shared" si="52"/>
        <v>0.37526817391304346</v>
      </c>
      <c r="I138" s="61">
        <f t="shared" si="52"/>
        <v>0.37526817391304346</v>
      </c>
      <c r="J138" s="61">
        <f t="shared" si="52"/>
        <v>0.96944278260869587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5.1224105739130437</v>
      </c>
    </row>
    <row r="139" spans="1:31" x14ac:dyDescent="0.25">
      <c r="A139" s="127" t="str">
        <f>A$18</f>
        <v>beliers</v>
      </c>
      <c r="B139" s="61">
        <f t="shared" si="52"/>
        <v>0.22371756521739136</v>
      </c>
      <c r="C139" s="61">
        <f t="shared" si="52"/>
        <v>0.22371756521739136</v>
      </c>
      <c r="D139" s="61">
        <f t="shared" si="52"/>
        <v>0.20206747826086963</v>
      </c>
      <c r="E139" s="61">
        <f t="shared" si="52"/>
        <v>0.20206747826086963</v>
      </c>
      <c r="F139" s="61">
        <f t="shared" si="52"/>
        <v>0.22371756521739136</v>
      </c>
      <c r="G139" s="61">
        <f t="shared" si="52"/>
        <v>0.22371756521739136</v>
      </c>
      <c r="H139" s="61">
        <f t="shared" si="52"/>
        <v>0.21650086956521744</v>
      </c>
      <c r="I139" s="61">
        <f t="shared" si="52"/>
        <v>0.21650086956521744</v>
      </c>
      <c r="J139" s="61">
        <f t="shared" si="52"/>
        <v>0.22371756521739136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0.22371756521739136</v>
      </c>
      <c r="V139" s="61">
        <f t="shared" si="52"/>
        <v>0.21650086956521744</v>
      </c>
      <c r="W139" s="61">
        <f t="shared" si="52"/>
        <v>0.21650086956521744</v>
      </c>
      <c r="X139" s="61">
        <f t="shared" si="52"/>
        <v>0.22371756521739136</v>
      </c>
      <c r="Y139" s="61">
        <f t="shared" si="52"/>
        <v>0.22371756521739136</v>
      </c>
      <c r="AA139" s="61">
        <f t="shared" si="53"/>
        <v>3.0598789565217399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112.91396344577396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124.20535979035137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0.96944278260869587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91.785440018573851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0.70843895652173916</v>
      </c>
      <c r="C163" s="61">
        <f t="shared" si="66"/>
        <v>0.70843895652173916</v>
      </c>
      <c r="D163" s="61">
        <f t="shared" si="66"/>
        <v>0.63988034782608705</v>
      </c>
      <c r="E163" s="61">
        <f t="shared" si="66"/>
        <v>0.63988034782608705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0.70843895652173916</v>
      </c>
      <c r="Y163" s="61">
        <f t="shared" si="66"/>
        <v>0.70843895652173916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0.96944278260869587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0.70843895652173916</v>
      </c>
      <c r="C172" s="61">
        <f t="shared" ref="C172:Y172" si="75">SUM(C162:C171)</f>
        <v>0.70843895652173916</v>
      </c>
      <c r="D172" s="61">
        <f t="shared" si="75"/>
        <v>0.63988034782608705</v>
      </c>
      <c r="E172" s="61">
        <f t="shared" si="75"/>
        <v>0.63988034782608705</v>
      </c>
      <c r="F172" s="61">
        <f t="shared" si="75"/>
        <v>0</v>
      </c>
      <c r="G172" s="61">
        <f t="shared" si="75"/>
        <v>5.3772581885217399</v>
      </c>
      <c r="H172" s="61">
        <f t="shared" si="75"/>
        <v>5.1768355617391331</v>
      </c>
      <c r="I172" s="61">
        <f t="shared" si="75"/>
        <v>5.1498728765217399</v>
      </c>
      <c r="J172" s="61">
        <f t="shared" si="75"/>
        <v>5.2658124229565226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2.4143940950956533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0.70843895652173916</v>
      </c>
      <c r="Y172" s="61">
        <f t="shared" si="75"/>
        <v>0.70843895652173916</v>
      </c>
      <c r="AA172" s="64">
        <f>SUM(B172:Y172)</f>
        <v>47.728517848139127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</v>
      </c>
      <c r="Y198" s="61">
        <f t="shared" si="96"/>
        <v>0</v>
      </c>
      <c r="AA198" s="64">
        <f>SUM(B198:Y198)</f>
        <v>5.5761001739130442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0.70843895652173916</v>
      </c>
      <c r="C215" s="61">
        <f t="shared" ref="C215:Y215" si="108">C172</f>
        <v>0.70843895652173916</v>
      </c>
      <c r="D215" s="61">
        <f t="shared" si="108"/>
        <v>0.63988034782608705</v>
      </c>
      <c r="E215" s="61">
        <f t="shared" si="108"/>
        <v>0.63988034782608705</v>
      </c>
      <c r="F215" s="61">
        <f t="shared" si="108"/>
        <v>0</v>
      </c>
      <c r="G215" s="61">
        <f t="shared" si="108"/>
        <v>5.3772581885217399</v>
      </c>
      <c r="H215" s="61">
        <f t="shared" si="108"/>
        <v>5.1768355617391331</v>
      </c>
      <c r="I215" s="61">
        <f t="shared" si="108"/>
        <v>5.1498728765217399</v>
      </c>
      <c r="J215" s="61">
        <f t="shared" si="108"/>
        <v>5.2658124229565226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2.4143940950956533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0.70843895652173916</v>
      </c>
      <c r="Y215" s="61">
        <f t="shared" si="108"/>
        <v>0.70843895652173916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91.78544001857388</v>
      </c>
      <c r="AB219" t="s">
        <v>222</v>
      </c>
    </row>
    <row r="220" spans="1:28" x14ac:dyDescent="0.25">
      <c r="AA220" s="30">
        <f>SUM(B215:Y217)</f>
        <v>53.304618022052161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0" activePane="bottomLeft" state="frozen"/>
      <selection pane="bottomLeft" activeCell="F53" sqref="B53:F5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5454.9000000000005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5.5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2325.6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2.2999999999999998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5.5</v>
      </c>
      <c r="AZ54" s="84">
        <f t="shared" si="17"/>
        <v>2.2999999999999998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2</v>
      </c>
      <c r="K76" s="60">
        <v>2</v>
      </c>
      <c r="L76" s="60">
        <v>2</v>
      </c>
      <c r="M76" s="60">
        <v>2</v>
      </c>
      <c r="N76" s="60">
        <v>2</v>
      </c>
      <c r="O76" s="60">
        <v>1</v>
      </c>
      <c r="P76" s="60">
        <v>1</v>
      </c>
      <c r="Q76" s="60">
        <v>1</v>
      </c>
      <c r="R76" s="60">
        <v>2</v>
      </c>
      <c r="S76" s="60">
        <v>2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3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2.6869620842666664</v>
      </c>
      <c r="C110" s="61">
        <f t="shared" si="31"/>
        <v>2.6758128640000001</v>
      </c>
      <c r="D110" s="61">
        <f t="shared" si="31"/>
        <v>2.4168632320000003</v>
      </c>
      <c r="E110" s="61">
        <f t="shared" si="31"/>
        <v>2.4168632320000003</v>
      </c>
      <c r="F110" s="61">
        <f t="shared" si="31"/>
        <v>2.6758128640000001</v>
      </c>
      <c r="G110" s="61">
        <f t="shared" si="31"/>
        <v>2.5197237802666668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2.6702382538666662</v>
      </c>
      <c r="Y110" s="61">
        <f t="shared" si="31"/>
        <v>2.7204097450666662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1.23228224</v>
      </c>
      <c r="C112" s="61">
        <f t="shared" si="31"/>
        <v>1.23228224</v>
      </c>
      <c r="D112" s="61">
        <f t="shared" si="31"/>
        <v>1.11302912</v>
      </c>
      <c r="E112" s="61">
        <f t="shared" si="31"/>
        <v>1.11302912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1.23228224</v>
      </c>
      <c r="Y112" s="61">
        <f t="shared" si="31"/>
        <v>1.23228224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</v>
      </c>
      <c r="C120" s="61">
        <f t="shared" ref="C120:Y120" si="32">SUM(C110:C119)</f>
        <v>3.908095104</v>
      </c>
      <c r="D120" s="61">
        <f t="shared" si="32"/>
        <v>3.5298923520000001</v>
      </c>
      <c r="E120" s="61">
        <f t="shared" si="32"/>
        <v>3.5298923520000001</v>
      </c>
      <c r="F120" s="61">
        <f t="shared" si="32"/>
        <v>3.9621888639999998</v>
      </c>
      <c r="G120" s="61">
        <f t="shared" si="32"/>
        <v>3.9132977802666664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3.9025204938666662</v>
      </c>
      <c r="Y120" s="61">
        <f t="shared" si="32"/>
        <v>3.9526919850666662</v>
      </c>
      <c r="AA120" s="57">
        <f>SUM(B120:Y120)</f>
        <v>93.225053451199983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2.6869620842666664</v>
      </c>
      <c r="C136" s="61">
        <f t="shared" ref="C136:Y136" si="33">C110*(1-C123)</f>
        <v>2.6758128640000001</v>
      </c>
      <c r="D136" s="61">
        <f t="shared" si="33"/>
        <v>2.4168632320000003</v>
      </c>
      <c r="E136" s="61">
        <f t="shared" si="33"/>
        <v>2.4168632320000003</v>
      </c>
      <c r="F136" s="61">
        <f t="shared" si="33"/>
        <v>2.6758128640000001</v>
      </c>
      <c r="G136" s="61">
        <f t="shared" si="33"/>
        <v>2.5197237802666668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2.6702382538666662</v>
      </c>
      <c r="Y136" s="61">
        <f t="shared" si="33"/>
        <v>2.7204097450666662</v>
      </c>
      <c r="AA136" s="61">
        <f>SUM(B136:Y136)</f>
        <v>26.235994615466666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1.23228224</v>
      </c>
      <c r="C138" s="61">
        <f t="shared" si="34"/>
        <v>1.23228224</v>
      </c>
      <c r="D138" s="61">
        <f t="shared" si="34"/>
        <v>1.11302912</v>
      </c>
      <c r="E138" s="61">
        <f t="shared" si="34"/>
        <v>1.11302912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1.23228224</v>
      </c>
      <c r="Y138" s="61">
        <f t="shared" si="34"/>
        <v>1.23228224</v>
      </c>
      <c r="AA138" s="61">
        <f t="shared" ref="AA138:AA144" si="35">SUM(B138:Y138)</f>
        <v>7.1551872000000003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35.637152815466663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37.419010456239995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2.3031078000000003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2.3305257499999996</v>
      </c>
      <c r="P162" s="61">
        <f t="shared" si="47"/>
        <v>2.3305257499999996</v>
      </c>
      <c r="Q162" s="61">
        <f t="shared" si="47"/>
        <v>2.3305257499999996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2.4587178000000001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2.4913227499999997</v>
      </c>
      <c r="P172" s="61">
        <f t="shared" si="57"/>
        <v>2.4913227499999997</v>
      </c>
      <c r="Q172" s="61">
        <f t="shared" si="57"/>
        <v>2.4913227499999997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17.667660149999996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2.2553475000000001</v>
      </c>
      <c r="M175" s="61">
        <f t="shared" si="58"/>
        <v>2.2553475000000001</v>
      </c>
      <c r="N175" s="61">
        <f t="shared" si="58"/>
        <v>2.3305257499999996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1.9186200000000002</v>
      </c>
      <c r="S175" s="61">
        <f t="shared" si="58"/>
        <v>1.9186200000000002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1.24488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3.5002275000000003</v>
      </c>
      <c r="M185" s="61">
        <f>SUM(CdTrp2!M175:M184)</f>
        <v>3.5002275000000003</v>
      </c>
      <c r="N185" s="61">
        <f>SUM(CdTrp2!N175:N184)</f>
        <v>3.6169017499999994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3.1635</v>
      </c>
      <c r="S185" s="61">
        <f>SUM(CdTrp2!S175:S184)</f>
        <v>3.1635</v>
      </c>
      <c r="T185" s="61">
        <f>SUM(CdTrp2!T175:T184)</f>
        <v>0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35.922964649999997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1.286376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2.5836367199999999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3.9165201600000001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2.4587178000000001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2.4913227499999997</v>
      </c>
      <c r="P215" s="61">
        <f t="shared" si="90"/>
        <v>2.4913227499999997</v>
      </c>
      <c r="Q215" s="61">
        <f t="shared" si="90"/>
        <v>2.4913227499999997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1.24488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3.5002275000000003</v>
      </c>
      <c r="M216" s="61">
        <f t="shared" si="91"/>
        <v>3.5002275000000003</v>
      </c>
      <c r="N216" s="61">
        <f t="shared" si="91"/>
        <v>3.6169017499999994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3.1635</v>
      </c>
      <c r="S216" s="61">
        <f t="shared" si="91"/>
        <v>3.1635</v>
      </c>
      <c r="T216" s="61">
        <f t="shared" si="91"/>
        <v>0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2.5836367199999999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57.507144959999984</v>
      </c>
      <c r="AB219" t="s">
        <v>222</v>
      </c>
    </row>
    <row r="220" spans="1:28" x14ac:dyDescent="0.25">
      <c r="AA220" s="30">
        <f>SUM(B215:Y217)</f>
        <v>57.507144959999984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2023-01-09T10:05:53Z</dcterms:modified>
</cp:coreProperties>
</file>