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tabRatio="666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31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Z106" i="30" l="1"/>
  <c r="BA106" i="30"/>
  <c r="BB106" i="30"/>
  <c r="BC106" i="30"/>
  <c r="BD106" i="30"/>
  <c r="BE106" i="30"/>
  <c r="BF106" i="30"/>
  <c r="AY106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I152" i="33" s="1"/>
  <c r="BH99" i="33"/>
  <c r="BH152" i="33" s="1"/>
  <c r="BG99" i="33"/>
  <c r="BG152" i="33" s="1"/>
  <c r="BF99" i="33"/>
  <c r="BF152" i="33" s="1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CP90" i="33" l="1"/>
  <c r="BJ89" i="33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W93" i="30" s="1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O93" i="30" s="1"/>
  <c r="CN40" i="30"/>
  <c r="CM40" i="30"/>
  <c r="CM93" i="30" s="1"/>
  <c r="CL40" i="30"/>
  <c r="CK40" i="30"/>
  <c r="CK93" i="30" s="1"/>
  <c r="CJ40" i="30"/>
  <c r="CI40" i="30"/>
  <c r="CH40" i="30"/>
  <c r="CG40" i="30"/>
  <c r="CG93" i="30" s="1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W91" i="30" s="1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O91" i="30" s="1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U7" i="30"/>
  <c r="CU18" i="30" s="1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H63" i="30" s="1"/>
  <c r="CH109" i="30" s="1"/>
  <c r="CG7" i="30"/>
  <c r="CF7" i="30"/>
  <c r="CF18" i="30" s="1"/>
  <c r="CE7" i="30"/>
  <c r="CD7" i="30"/>
  <c r="CC7" i="30"/>
  <c r="CB7" i="30"/>
  <c r="CB18" i="30" s="1"/>
  <c r="CB63" i="30" s="1"/>
  <c r="CB109" i="30" s="1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H91" i="30" s="1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Z91" i="30" s="1"/>
  <c r="AY38" i="30"/>
  <c r="AX38" i="30"/>
  <c r="AX91" i="30" s="1"/>
  <c r="AW38" i="30"/>
  <c r="AV38" i="30"/>
  <c r="AV91" i="30" s="1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H90" i="30" s="1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V93" i="30"/>
  <c r="CT93" i="30"/>
  <c r="CQ93" i="30"/>
  <c r="CP93" i="30"/>
  <c r="CN93" i="30"/>
  <c r="CL93" i="30"/>
  <c r="CJ93" i="30"/>
  <c r="CI93" i="30"/>
  <c r="CH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V91" i="30"/>
  <c r="CT91" i="30"/>
  <c r="CQ91" i="30"/>
  <c r="CP91" i="30"/>
  <c r="CN91" i="30"/>
  <c r="CL91" i="30"/>
  <c r="CI91" i="30"/>
  <c r="CF91" i="30"/>
  <c r="CD91" i="30"/>
  <c r="BS91" i="30"/>
  <c r="BR91" i="30"/>
  <c r="BQ91" i="30"/>
  <c r="BO91" i="30"/>
  <c r="BM91" i="30"/>
  <c r="BI91" i="30"/>
  <c r="BG91" i="30"/>
  <c r="BB91" i="30"/>
  <c r="BA91" i="30"/>
  <c r="AY91" i="30"/>
  <c r="AW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E18" i="30"/>
  <c r="CE63" i="30" s="1"/>
  <c r="CE109" i="30" s="1"/>
  <c r="CC18" i="30"/>
  <c r="CC63" i="30" s="1"/>
  <c r="CC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E108" i="30" s="1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AA112" i="29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CG63" i="30" l="1"/>
  <c r="CG109" i="30" s="1"/>
  <c r="CW63" i="30"/>
  <c r="CW109" i="30" s="1"/>
  <c r="CU63" i="30"/>
  <c r="CU109" i="30" s="1"/>
  <c r="CF63" i="30"/>
  <c r="CF109" i="30" s="1"/>
  <c r="CV63" i="30"/>
  <c r="CV109" i="30" s="1"/>
  <c r="C113" i="29"/>
  <c r="CX91" i="30"/>
  <c r="CG91" i="30"/>
  <c r="S3" i="29"/>
  <c r="T112" i="29"/>
  <c r="G73" i="30"/>
  <c r="C29" i="29"/>
  <c r="O73" i="30"/>
  <c r="K29" i="29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F99" i="30" s="1"/>
  <c r="BF100" i="30" s="1"/>
  <c r="BF101" i="30" s="1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L72" i="30" s="1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H74" i="30" s="1"/>
  <c r="CI29" i="30"/>
  <c r="CQ29" i="30"/>
  <c r="CY29" i="30"/>
  <c r="CJ29" i="30"/>
  <c r="CR29" i="30"/>
  <c r="CK29" i="30"/>
  <c r="CS29" i="30"/>
  <c r="CD29" i="30"/>
  <c r="CD74" i="30" s="1"/>
  <c r="CC29" i="30"/>
  <c r="CT29" i="30"/>
  <c r="CL29" i="30"/>
  <c r="CE29" i="30"/>
  <c r="CM29" i="30"/>
  <c r="CU29" i="30"/>
  <c r="CG29" i="30"/>
  <c r="CG74" i="30" s="1"/>
  <c r="CW29" i="30"/>
  <c r="CW74" i="30" s="1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M100" i="30" s="1"/>
  <c r="BM101" i="30" s="1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H106" i="30" s="1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O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Z72" i="30" l="1"/>
  <c r="W72" i="30"/>
  <c r="H73" i="30"/>
  <c r="D29" i="29"/>
  <c r="AC73" i="30"/>
  <c r="Y29" i="29"/>
  <c r="F29" i="29"/>
  <c r="J73" i="30"/>
  <c r="U29" i="29"/>
  <c r="Y73" i="30"/>
  <c r="H29" i="29"/>
  <c r="L73" i="30"/>
  <c r="G29" i="29"/>
  <c r="K73" i="30"/>
  <c r="V29" i="29"/>
  <c r="Z73" i="30"/>
  <c r="P29" i="29"/>
  <c r="T73" i="30"/>
  <c r="Q29" i="29"/>
  <c r="U73" i="30"/>
  <c r="AD73" i="30"/>
  <c r="Z29" i="29"/>
  <c r="M29" i="29"/>
  <c r="Q73" i="30"/>
  <c r="R29" i="29"/>
  <c r="V73" i="30"/>
  <c r="T29" i="29"/>
  <c r="X73" i="30"/>
  <c r="M73" i="30"/>
  <c r="I29" i="29"/>
  <c r="J29" i="29"/>
  <c r="N73" i="30"/>
  <c r="N29" i="29"/>
  <c r="R73" i="30"/>
  <c r="E29" i="29"/>
  <c r="I73" i="30"/>
  <c r="W29" i="29"/>
  <c r="AA73" i="30"/>
  <c r="P73" i="30"/>
  <c r="L29" i="29"/>
  <c r="C30" i="29"/>
  <c r="C32" i="29" s="1"/>
  <c r="C34" i="29" s="1"/>
  <c r="S29" i="29"/>
  <c r="W73" i="30"/>
  <c r="X29" i="29"/>
  <c r="AB73" i="30"/>
  <c r="O29" i="29"/>
  <c r="S73" i="30"/>
  <c r="Q72" i="30"/>
  <c r="M8" i="29"/>
  <c r="X8" i="29"/>
  <c r="AB72" i="30"/>
  <c r="U72" i="30"/>
  <c r="Q8" i="29"/>
  <c r="Z8" i="29"/>
  <c r="Z201" i="29" s="1"/>
  <c r="AD72" i="30"/>
  <c r="V72" i="30"/>
  <c r="R8" i="29"/>
  <c r="P72" i="30"/>
  <c r="L8" i="29"/>
  <c r="L201" i="29" s="1"/>
  <c r="N72" i="30"/>
  <c r="J8" i="29"/>
  <c r="J201" i="29" s="1"/>
  <c r="N8" i="29"/>
  <c r="N201" i="29" s="1"/>
  <c r="R72" i="30"/>
  <c r="O8" i="29"/>
  <c r="O201" i="29" s="1"/>
  <c r="S72" i="30"/>
  <c r="O72" i="30"/>
  <c r="K8" i="29"/>
  <c r="G72" i="30"/>
  <c r="C8" i="29"/>
  <c r="C201" i="29" s="1"/>
  <c r="C212" i="29" s="1"/>
  <c r="AC72" i="30"/>
  <c r="M72" i="30"/>
  <c r="I8" i="29"/>
  <c r="I201" i="29" s="1"/>
  <c r="P8" i="29"/>
  <c r="P201" i="29" s="1"/>
  <c r="T72" i="30"/>
  <c r="U8" i="29"/>
  <c r="Y72" i="30"/>
  <c r="I72" i="30"/>
  <c r="E8" i="29"/>
  <c r="E201" i="29" s="1"/>
  <c r="E212" i="29" s="1"/>
  <c r="X72" i="30"/>
  <c r="T8" i="29"/>
  <c r="T201" i="29" s="1"/>
  <c r="H72" i="30"/>
  <c r="D8" i="29"/>
  <c r="S8" i="29"/>
  <c r="F8" i="29"/>
  <c r="J72" i="30"/>
  <c r="AA72" i="30"/>
  <c r="G8" i="29"/>
  <c r="G201" i="29" s="1"/>
  <c r="K72" i="30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Q201" i="29"/>
  <c r="M201" i="29"/>
  <c r="K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AI170" i="31"/>
  <c r="B110" i="30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BC85" i="30" s="1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C86" i="30"/>
  <c r="CC87" i="30"/>
  <c r="CB87" i="30"/>
  <c r="CB86" i="30"/>
  <c r="CR87" i="30"/>
  <c r="CR86" i="30"/>
  <c r="CN87" i="30"/>
  <c r="CN86" i="30"/>
  <c r="CG86" i="30"/>
  <c r="CG87" i="30"/>
  <c r="CJ87" i="30"/>
  <c r="CJ86" i="30"/>
  <c r="CM87" i="30"/>
  <c r="CM86" i="30"/>
  <c r="CF87" i="30"/>
  <c r="CF86" i="30"/>
  <c r="CI86" i="30"/>
  <c r="CI87" i="30"/>
  <c r="CE87" i="30"/>
  <c r="CE86" i="30"/>
  <c r="CD87" i="30"/>
  <c r="CD86" i="30"/>
  <c r="CP87" i="30"/>
  <c r="CP86" i="30"/>
  <c r="CU87" i="30"/>
  <c r="CU86" i="30"/>
  <c r="CV86" i="30"/>
  <c r="CV87" i="30"/>
  <c r="CQ87" i="30"/>
  <c r="CQ86" i="30"/>
  <c r="CL86" i="30"/>
  <c r="CL87" i="30"/>
  <c r="CX87" i="30"/>
  <c r="CX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S86" i="30" l="1"/>
  <c r="CS87" i="30"/>
  <c r="CK86" i="30"/>
  <c r="CK87" i="30"/>
  <c r="CT86" i="30"/>
  <c r="CT87" i="30"/>
  <c r="CH87" i="30"/>
  <c r="CH86" i="30"/>
  <c r="CW87" i="30"/>
  <c r="CW86" i="30"/>
  <c r="CO87" i="30"/>
  <c r="CO86" i="30"/>
  <c r="C275" i="33"/>
  <c r="D275" i="33" s="1"/>
  <c r="D191" i="33"/>
  <c r="J154" i="31"/>
  <c r="C227" i="33" s="1"/>
  <c r="B149" i="31"/>
  <c r="J149" i="31" s="1"/>
  <c r="C222" i="33" s="1"/>
  <c r="AC240" i="31"/>
  <c r="AF240" i="31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CO71" i="33"/>
  <c r="CO82" i="33" s="1"/>
  <c r="CM68" i="33"/>
  <c r="CM79" i="33" s="1"/>
  <c r="CF67" i="33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DH68" i="33"/>
  <c r="DH79" i="33" s="1"/>
  <c r="CI72" i="33"/>
  <c r="CI84" i="33" s="1"/>
  <c r="CB68" i="33"/>
  <c r="CB79" i="33" s="1"/>
  <c r="CT66" i="33"/>
  <c r="CT77" i="33" s="1"/>
  <c r="CM65" i="33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DP68" i="33"/>
  <c r="DP79" i="33" s="1"/>
  <c r="CN72" i="33"/>
  <c r="CN84" i="33" s="1"/>
  <c r="CS68" i="33"/>
  <c r="CS79" i="33" s="1"/>
  <c r="CL67" i="33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DX68" i="33"/>
  <c r="DX79" i="33" s="1"/>
  <c r="CQ72" i="33"/>
  <c r="CQ84" i="33" s="1"/>
  <c r="CT68" i="33"/>
  <c r="CT79" i="33" s="1"/>
  <c r="CM67" i="33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S65" i="33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DM71" i="33"/>
  <c r="DM82" i="33" s="1"/>
  <c r="CW71" i="33"/>
  <c r="CW82" i="33" s="1"/>
  <c r="CO68" i="33"/>
  <c r="CO79" i="33" s="1"/>
  <c r="CH67" i="33"/>
  <c r="CR65" i="33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AZ70" i="33"/>
  <c r="AZ81" i="33" s="1"/>
  <c r="BP64" i="33"/>
  <c r="CC67" i="33"/>
  <c r="AY73" i="33"/>
  <c r="AY85" i="33" s="1"/>
  <c r="BG70" i="33"/>
  <c r="BG81" i="33" s="1"/>
  <c r="BO67" i="33"/>
  <c r="AY65" i="33"/>
  <c r="CQ68" i="33"/>
  <c r="CQ79" i="33" s="1"/>
  <c r="CT65" i="33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BG64" i="33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G64" i="33"/>
  <c r="BG72" i="33"/>
  <c r="BG84" i="33" s="1"/>
  <c r="CR67" i="33"/>
  <c r="BF70" i="33"/>
  <c r="BF81" i="33" s="1"/>
  <c r="AX65" i="33"/>
  <c r="CQ67" i="33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CW78" i="33" l="1"/>
  <c r="CW154" i="33"/>
  <c r="CL78" i="33"/>
  <c r="CL154" i="33"/>
  <c r="CX78" i="33"/>
  <c r="CX154" i="33"/>
  <c r="CH78" i="33"/>
  <c r="CH124" i="33" s="1"/>
  <c r="CH170" i="33" s="1"/>
  <c r="CH154" i="33"/>
  <c r="CN78" i="33"/>
  <c r="CN154" i="33"/>
  <c r="CE78" i="33"/>
  <c r="CE154" i="33"/>
  <c r="CY78" i="33"/>
  <c r="CY154" i="33"/>
  <c r="CU78" i="33"/>
  <c r="CU135" i="33" s="1"/>
  <c r="CU154" i="33"/>
  <c r="CK78" i="33"/>
  <c r="CK154" i="33"/>
  <c r="CT78" i="33"/>
  <c r="CT154" i="33"/>
  <c r="CG78" i="33"/>
  <c r="CG135" i="33" s="1"/>
  <c r="CG154" i="33"/>
  <c r="CD78" i="33"/>
  <c r="CD135" i="33" s="1"/>
  <c r="CD154" i="33"/>
  <c r="CR78" i="33"/>
  <c r="CR154" i="33"/>
  <c r="CP78" i="33"/>
  <c r="CP154" i="33"/>
  <c r="CV78" i="33"/>
  <c r="CV124" i="33" s="1"/>
  <c r="CV170" i="33" s="1"/>
  <c r="CV154" i="33"/>
  <c r="CS78" i="33"/>
  <c r="CS124" i="33" s="1"/>
  <c r="CS170" i="33" s="1"/>
  <c r="CS154" i="33"/>
  <c r="CJ78" i="33"/>
  <c r="CJ154" i="33"/>
  <c r="CQ78" i="33"/>
  <c r="CQ154" i="33"/>
  <c r="CI78" i="33"/>
  <c r="CI124" i="33" s="1"/>
  <c r="CI170" i="33" s="1"/>
  <c r="CI154" i="33"/>
  <c r="CB78" i="33"/>
  <c r="CB124" i="33" s="1"/>
  <c r="CB170" i="33" s="1"/>
  <c r="CB154" i="33"/>
  <c r="CF78" i="33"/>
  <c r="CF154" i="33"/>
  <c r="CO78" i="33"/>
  <c r="CO154" i="33"/>
  <c r="CC78" i="33"/>
  <c r="CC124" i="33" s="1"/>
  <c r="CC170" i="33" s="1"/>
  <c r="CC154" i="33"/>
  <c r="CM78" i="33"/>
  <c r="CM124" i="33" s="1"/>
  <c r="CM170" i="33" s="1"/>
  <c r="CM154" i="33"/>
  <c r="AW76" i="33"/>
  <c r="AW152" i="33"/>
  <c r="AV76" i="33"/>
  <c r="AV152" i="33"/>
  <c r="BS76" i="33"/>
  <c r="BS122" i="33" s="1"/>
  <c r="BS168" i="33" s="1"/>
  <c r="BS152" i="33"/>
  <c r="AX76" i="33"/>
  <c r="AX122" i="33" s="1"/>
  <c r="AX168" i="33" s="1"/>
  <c r="AX152" i="33"/>
  <c r="AZ76" i="33"/>
  <c r="AZ152" i="33"/>
  <c r="BC76" i="33"/>
  <c r="BC152" i="33"/>
  <c r="BD76" i="33"/>
  <c r="BD133" i="33" s="1"/>
  <c r="BD152" i="33"/>
  <c r="BR76" i="33"/>
  <c r="BR122" i="33" s="1"/>
  <c r="BR168" i="33" s="1"/>
  <c r="BR152" i="33"/>
  <c r="AY76" i="33"/>
  <c r="AY152" i="33"/>
  <c r="BB76" i="33"/>
  <c r="BB152" i="33"/>
  <c r="BA76" i="33"/>
  <c r="BA133" i="33" s="1"/>
  <c r="BA152" i="33"/>
  <c r="BQ76" i="33"/>
  <c r="BQ122" i="33" s="1"/>
  <c r="BQ168" i="33" s="1"/>
  <c r="BQ152" i="33"/>
  <c r="CL76" i="33"/>
  <c r="CL152" i="33"/>
  <c r="BJ75" i="33"/>
  <c r="BJ151" i="33"/>
  <c r="BL75" i="33"/>
  <c r="BL121" i="33" s="1"/>
  <c r="BL167" i="33" s="1"/>
  <c r="BL151" i="33"/>
  <c r="CS76" i="33"/>
  <c r="CS122" i="33" s="1"/>
  <c r="CS168" i="33" s="1"/>
  <c r="CS152" i="33"/>
  <c r="BK75" i="33"/>
  <c r="BK151" i="33"/>
  <c r="CQ76" i="33"/>
  <c r="CQ152" i="33"/>
  <c r="CT76" i="33"/>
  <c r="CT122" i="33" s="1"/>
  <c r="CT168" i="33" s="1"/>
  <c r="CT152" i="33"/>
  <c r="BG75" i="33"/>
  <c r="BG132" i="33" s="1"/>
  <c r="BG151" i="33"/>
  <c r="CN76" i="33"/>
  <c r="CN122" i="33" s="1"/>
  <c r="CN168" i="33" s="1"/>
  <c r="CN152" i="33"/>
  <c r="CR76" i="33"/>
  <c r="CR152" i="33"/>
  <c r="CP76" i="33"/>
  <c r="CP122" i="33" s="1"/>
  <c r="CP168" i="33" s="1"/>
  <c r="CP152" i="33"/>
  <c r="BH75" i="33"/>
  <c r="BH121" i="33" s="1"/>
  <c r="BH167" i="33" s="1"/>
  <c r="BH151" i="33"/>
  <c r="CU76" i="33"/>
  <c r="CU152" i="33"/>
  <c r="BI75" i="33"/>
  <c r="BI151" i="33"/>
  <c r="CM76" i="33"/>
  <c r="CM133" i="33" s="1"/>
  <c r="CM152" i="33"/>
  <c r="BM75" i="33"/>
  <c r="BM121" i="33" s="1"/>
  <c r="BM167" i="33" s="1"/>
  <c r="BM151" i="33"/>
  <c r="CO76" i="33"/>
  <c r="CO152" i="33"/>
  <c r="AW78" i="33"/>
  <c r="AW135" i="33" s="1"/>
  <c r="AW154" i="33"/>
  <c r="BP78" i="33"/>
  <c r="BP124" i="33" s="1"/>
  <c r="BP170" i="33" s="1"/>
  <c r="BP154" i="33"/>
  <c r="BS78" i="33"/>
  <c r="BS124" i="33" s="1"/>
  <c r="BS170" i="33" s="1"/>
  <c r="BS154" i="33"/>
  <c r="AY78" i="33"/>
  <c r="AY124" i="33" s="1"/>
  <c r="AY170" i="33" s="1"/>
  <c r="AY154" i="33"/>
  <c r="BD78" i="33"/>
  <c r="BD124" i="33" s="1"/>
  <c r="BD170" i="33" s="1"/>
  <c r="BD154" i="33"/>
  <c r="BC78" i="33"/>
  <c r="BC135" i="33" s="1"/>
  <c r="BC154" i="33"/>
  <c r="AZ78" i="33"/>
  <c r="AZ124" i="33" s="1"/>
  <c r="AZ170" i="33" s="1"/>
  <c r="AZ154" i="33"/>
  <c r="BB78" i="33"/>
  <c r="BB135" i="33" s="1"/>
  <c r="BB154" i="33"/>
  <c r="BA78" i="33"/>
  <c r="BA124" i="33" s="1"/>
  <c r="BA170" i="33" s="1"/>
  <c r="BA154" i="33"/>
  <c r="BO78" i="33"/>
  <c r="BO135" i="33" s="1"/>
  <c r="BO154" i="33"/>
  <c r="BQ78" i="33"/>
  <c r="BQ124" i="33" s="1"/>
  <c r="BQ170" i="33" s="1"/>
  <c r="BQ154" i="33"/>
  <c r="AX78" i="33"/>
  <c r="AX124" i="33" s="1"/>
  <c r="AX170" i="33" s="1"/>
  <c r="AX154" i="33"/>
  <c r="AV78" i="33"/>
  <c r="AV135" i="33" s="1"/>
  <c r="AV154" i="33"/>
  <c r="BR78" i="33"/>
  <c r="BR135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77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W152" i="33"/>
  <c r="CW76" i="33"/>
  <c r="BG126" i="33"/>
  <c r="BG172" i="33" s="1"/>
  <c r="BG137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77" i="33"/>
  <c r="CM130" i="33"/>
  <c r="CM176" i="33" s="1"/>
  <c r="CM141" i="33"/>
  <c r="BA122" i="33"/>
  <c r="BA168" i="33" s="1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BB127" i="33"/>
  <c r="BB173" i="33" s="1"/>
  <c r="BB138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EA122" i="33"/>
  <c r="EA168" i="33" s="1"/>
  <c r="EA133" i="33"/>
  <c r="BL125" i="33"/>
  <c r="BL171" i="33" s="1"/>
  <c r="BL136" i="33"/>
  <c r="AW124" i="33"/>
  <c r="AW170" i="33" s="1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M127" i="33"/>
  <c r="BM173" i="33" s="1"/>
  <c r="BM138" i="33"/>
  <c r="CD152" i="33"/>
  <c r="CD76" i="33"/>
  <c r="CY151" i="33"/>
  <c r="CY75" i="33"/>
  <c r="CQ126" i="33"/>
  <c r="CQ172" i="33" s="1"/>
  <c r="CQ137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77" i="33"/>
  <c r="BP128" i="33"/>
  <c r="BP174" i="33" s="1"/>
  <c r="BP139" i="33"/>
  <c r="CD124" i="33"/>
  <c r="CD170" i="33" s="1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CG124" i="33" l="1"/>
  <c r="CG170" i="33" s="1"/>
  <c r="BD122" i="33"/>
  <c r="BD168" i="33" s="1"/>
  <c r="CM122" i="33"/>
  <c r="CM168" i="33" s="1"/>
  <c r="CP133" i="33"/>
  <c r="CP145" i="33" s="1"/>
  <c r="BS133" i="33"/>
  <c r="CI135" i="33"/>
  <c r="CC135" i="33"/>
  <c r="CV135" i="33"/>
  <c r="BO124" i="33"/>
  <c r="BO170" i="33" s="1"/>
  <c r="BP135" i="33"/>
  <c r="CU124" i="33"/>
  <c r="CU170" i="33" s="1"/>
  <c r="CH135" i="33"/>
  <c r="CS135" i="33"/>
  <c r="CM135" i="33"/>
  <c r="CM145" i="33" s="1"/>
  <c r="CB135" i="33"/>
  <c r="AV124" i="33"/>
  <c r="AV170" i="33" s="1"/>
  <c r="BL160" i="33"/>
  <c r="BL161" i="33" s="1"/>
  <c r="BL162" i="33" s="1"/>
  <c r="BR133" i="33"/>
  <c r="CN133" i="33"/>
  <c r="CN143" i="33" s="1"/>
  <c r="BJ160" i="33"/>
  <c r="BJ161" i="33" s="1"/>
  <c r="BJ162" i="33" s="1"/>
  <c r="AX133" i="33"/>
  <c r="BQ133" i="33"/>
  <c r="BG121" i="33"/>
  <c r="BG167" i="33" s="1"/>
  <c r="BL132" i="33"/>
  <c r="BH132" i="33"/>
  <c r="CS133" i="33"/>
  <c r="CT133" i="33"/>
  <c r="BH160" i="33"/>
  <c r="BH161" i="33" s="1"/>
  <c r="BH162" i="33" s="1"/>
  <c r="BG160" i="33"/>
  <c r="BG161" i="33" s="1"/>
  <c r="BG162" i="33" s="1"/>
  <c r="BM160" i="33"/>
  <c r="BM161" i="33" s="1"/>
  <c r="BM162" i="33" s="1"/>
  <c r="BM132" i="33"/>
  <c r="BI160" i="33"/>
  <c r="BI161" i="33" s="1"/>
  <c r="BI162" i="33" s="1"/>
  <c r="BR124" i="33"/>
  <c r="BR170" i="33" s="1"/>
  <c r="BC124" i="33"/>
  <c r="BC170" i="33" s="1"/>
  <c r="BD135" i="33"/>
  <c r="BA135" i="33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3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BL123" i="33"/>
  <c r="BL169" i="33" s="1"/>
  <c r="BL134" i="33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BR64" i="33"/>
  <c r="BS64" i="33"/>
  <c r="BQ64" i="33"/>
  <c r="BO64" i="33"/>
  <c r="BP65" i="33"/>
  <c r="BO65" i="33"/>
  <c r="BL142" i="33" l="1"/>
  <c r="CM142" i="33"/>
  <c r="CP142" i="33"/>
  <c r="CP146" i="33" s="1"/>
  <c r="CP144" i="33"/>
  <c r="CS143" i="33"/>
  <c r="CM144" i="33"/>
  <c r="CM143" i="33"/>
  <c r="CN142" i="33"/>
  <c r="CN146" i="33" s="1"/>
  <c r="CN145" i="33"/>
  <c r="CN144" i="33"/>
  <c r="BM143" i="33"/>
  <c r="BH143" i="33"/>
  <c r="CS145" i="33"/>
  <c r="BO76" i="33"/>
  <c r="BO122" i="33" s="1"/>
  <c r="BO168" i="33" s="1"/>
  <c r="BO152" i="33"/>
  <c r="BP76" i="33"/>
  <c r="BP133" i="33" s="1"/>
  <c r="BP145" i="33" s="1"/>
  <c r="BP152" i="33"/>
  <c r="BP160" i="33" s="1"/>
  <c r="BP161" i="33" s="1"/>
  <c r="BP162" i="33" s="1"/>
  <c r="CS142" i="33"/>
  <c r="CS146" i="33" s="1"/>
  <c r="CS144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B178" i="33"/>
  <c r="BK145" i="33"/>
  <c r="BK143" i="33"/>
  <c r="BK142" i="33"/>
  <c r="BO151" i="33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E178" i="33"/>
  <c r="CH142" i="33"/>
  <c r="CH144" i="33"/>
  <c r="CH145" i="33"/>
  <c r="CH143" i="33"/>
  <c r="BL143" i="33"/>
  <c r="AW144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33" i="33" l="1"/>
  <c r="BP122" i="33"/>
  <c r="BP168" i="33" s="1"/>
  <c r="BO160" i="33"/>
  <c r="BO161" i="33" s="1"/>
  <c r="BO162" i="33" s="1"/>
  <c r="BJ146" i="33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J147" i="33" l="1"/>
  <c r="CY148" i="33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P190" i="24"/>
  <c r="O190" i="24"/>
  <c r="M190" i="24"/>
  <c r="L190" i="24"/>
  <c r="K190" i="24"/>
  <c r="I190" i="24"/>
  <c r="H190" i="24"/>
  <c r="G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B63" i="24" s="1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B73" i="24" l="1"/>
  <c r="AL207" i="33"/>
  <c r="D210" i="33" s="1"/>
  <c r="L201" i="24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V188" i="24" s="1"/>
  <c r="V198" i="24" s="1"/>
  <c r="V217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90" i="24" s="1"/>
  <c r="F198" i="24" s="1"/>
  <c r="F217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U190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185" i="24" l="1"/>
  <c r="O216" i="24" s="1"/>
  <c r="N177" i="24"/>
  <c r="N190" i="24"/>
  <c r="N198" i="24" s="1"/>
  <c r="N217" i="24" s="1"/>
  <c r="J177" i="24"/>
  <c r="J190" i="24"/>
  <c r="J198" i="24" s="1"/>
  <c r="J217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F84" i="30"/>
  <c r="C192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X234" i="31" l="1"/>
  <c r="C307" i="33" s="1"/>
  <c r="B167" i="31"/>
  <c r="J167" i="31" s="1"/>
  <c r="C235" i="33" s="1"/>
  <c r="C236" i="33" s="1"/>
  <c r="D184" i="33"/>
  <c r="D183" i="33" s="1"/>
  <c r="AJ216" i="33" s="1"/>
  <c r="AN216" i="33" s="1"/>
  <c r="D220" i="33" s="1"/>
  <c r="C276" i="33"/>
  <c r="C293" i="33" s="1"/>
  <c r="B115" i="30"/>
  <c r="B126" i="30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Q201" i="18" l="1"/>
  <c r="Q162" i="18"/>
  <c r="N201" i="18"/>
  <c r="N211" i="18" s="1"/>
  <c r="N218" i="18" s="1"/>
  <c r="S9" i="22" s="1"/>
  <c r="N162" i="18"/>
  <c r="N172" i="18" s="1"/>
  <c r="N215" i="18" s="1"/>
  <c r="S5" i="22" s="1"/>
  <c r="O201" i="18"/>
  <c r="O162" i="18"/>
  <c r="O172" i="18" s="1"/>
  <c r="O215" i="18" s="1"/>
  <c r="T5" i="22" s="1"/>
  <c r="R201" i="18"/>
  <c r="R162" i="18"/>
  <c r="R172" i="18" s="1"/>
  <c r="R215" i="18" s="1"/>
  <c r="W5" i="22" s="1"/>
  <c r="S201" i="18"/>
  <c r="S162" i="18"/>
  <c r="P201" i="18"/>
  <c r="P162" i="18"/>
  <c r="P172" i="18" s="1"/>
  <c r="P215" i="18" s="1"/>
  <c r="U5" i="22" s="1"/>
  <c r="M201" i="18"/>
  <c r="M162" i="18"/>
  <c r="M172" i="18" s="1"/>
  <c r="M215" i="18" s="1"/>
  <c r="R5" i="22" s="1"/>
  <c r="BR39" i="23"/>
  <c r="H93" i="23" s="1"/>
  <c r="H95" i="23" s="1"/>
  <c r="J170" i="3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S172" i="18"/>
  <c r="S215" i="18" s="1"/>
  <c r="X5" i="22" s="1"/>
  <c r="BJ15" i="23" s="1"/>
  <c r="BJ21" i="23" s="1"/>
  <c r="M211" i="18"/>
  <c r="M218" i="18" s="1"/>
  <c r="R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<sst xmlns="http://schemas.openxmlformats.org/spreadsheetml/2006/main" count="3099" uniqueCount="1465">
  <si>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</si>
  <si>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</si>
  <si>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</si>
  <si>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</si>
  <si>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</si>
  <si>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</si>
  <si>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</si>
  <si>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</si>
  <si>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</si>
  <si>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</si>
  <si>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</si>
  <si>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</si>
  <si>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</si>
  <si>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</si>
  <si>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</si>
  <si>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</si>
  <si>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</si>
  <si>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</si>
  <si>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</si>
  <si>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</si>
  <si>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</si>
  <si>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</si>
  <si>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</si>
  <si>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</si>
  <si>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</si>
  <si>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</si>
  <si>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</si>
  <si>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</si>
  <si>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</si>
  <si>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</si>
  <si>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</si>
  <si>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</si>
  <si>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</si>
  <si>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</si>
  <si>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</si>
  <si>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</si>
  <si>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</si>
  <si>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</si>
  <si>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</si>
  <si>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</si>
  <si>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</si>
  <si>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</si>
  <si>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</si>
  <si>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</si>
  <si>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</si>
  <si>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</si>
  <si>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</si>
  <si>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</si>
  <si>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</si>
  <si>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</si>
  <si>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</si>
  <si>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</si>
  <si>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</si>
  <si>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</si>
  <si>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</si>
  <si>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</si>
  <si>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</si>
  <si>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</si>
  <si>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</si>
  <si>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</si>
  <si>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</si>
  <si>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</si>
  <si>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</si>
  <si>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</si>
  <si>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</si>
  <si>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</si>
  <si>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</si>
  <si>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</si>
  <si>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</si>
  <si>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</si>
  <si>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</si>
  <si>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</si>
  <si>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</si>
  <si>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</si>
  <si>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</si>
  <si>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</si>
  <si>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</si>
  <si>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</si>
  <si>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</si>
  <si>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</si>
  <si>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</si>
  <si>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</si>
  <si>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</si>
  <si>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</si>
  <si>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</si>
  <si>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</si>
  <si>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</si>
  <si>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</si>
  <si>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</si>
  <si>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</si>
  <si>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</si>
  <si>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</si>
  <si>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</si>
  <si>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</si>
  <si>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</si>
  <si>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</si>
  <si>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</si>
  <si>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</si>
  <si>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</si>
  <si>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</si>
  <si>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</si>
  <si>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</si>
  <si>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</si>
  <si>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</si>
  <si>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</si>
  <si>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</si>
  <si>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</si>
  <si>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</si>
  <si>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</si>
  <si>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</si>
  <si>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</si>
  <si>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</si>
  <si>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</si>
  <si>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</si>
  <si>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</si>
  <si>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</si>
  <si>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</si>
  <si>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</si>
  <si>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</si>
  <si>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</si>
  <si>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</si>
  <si>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</si>
  <si>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</si>
  <si>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</si>
  <si>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</si>
  <si>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</si>
  <si>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</si>
  <si>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</si>
  <si>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</si>
  <si>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</si>
  <si>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</si>
  <si>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</si>
  <si>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</si>
  <si>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</si>
  <si>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</si>
  <si>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</si>
  <si>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</si>
  <si>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</si>
  <si>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</si>
  <si>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</si>
  <si>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</si>
  <si>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</si>
  <si>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</si>
  <si>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</si>
  <si>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</si>
  <si>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</si>
  <si>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</si>
  <si>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</si>
  <si>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</si>
  <si>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</si>
  <si>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</si>
  <si>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</si>
  <si>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</si>
  <si>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</si>
  <si>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</si>
  <si>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</si>
  <si>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</si>
  <si>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</si>
  <si>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</si>
  <si>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</si>
  <si>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</si>
  <si>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</si>
  <si>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</si>
  <si>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</si>
  <si>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</si>
  <si>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</si>
  <si>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</si>
  <si>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</si>
  <si>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</si>
  <si>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</si>
  <si>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</si>
  <si>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</si>
  <si>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</si>
  <si>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</si>
  <si>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</si>
  <si>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</si>
  <si>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</si>
  <si>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</si>
  <si>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</si>
  <si>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</si>
  <si>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</si>
  <si>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</si>
  <si>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</si>
  <si>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</si>
  <si>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</si>
  <si>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</si>
  <si>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</si>
  <si>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</si>
  <si>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</si>
  <si>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</si>
  <si>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</si>
  <si>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</si>
  <si>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</si>
  <si>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</si>
  <si>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</si>
  <si>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</si>
  <si>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</si>
  <si>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</si>
  <si>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</si>
  <si>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</si>
  <si>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</si>
  <si>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</si>
  <si>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</si>
  <si>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</si>
  <si>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</si>
  <si>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</si>
  <si>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</si>
  <si>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</si>
  <si>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</si>
  <si>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</si>
  <si>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</si>
  <si>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</si>
  <si>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</si>
  <si>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</si>
  <si>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</si>
  <si>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</si>
  <si>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</si>
  <si>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</si>
  <si>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</si>
  <si>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</si>
  <si>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</si>
  <si>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</si>
  <si>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</si>
  <si>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</si>
  <si>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</si>
  <si>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</si>
  <si>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</si>
  <si>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</si>
  <si>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</si>
  <si>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</si>
  <si>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</si>
  <si>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</si>
  <si>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</si>
  <si>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</si>
  <si>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</si>
  <si>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</si>
  <si>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</si>
  <si>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</si>
  <si>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</si>
  <si>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</si>
  <si>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</si>
  <si>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</si>
  <si>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</si>
  <si>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</si>
  <si>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</si>
  <si>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</si>
  <si>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</si>
  <si>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</si>
  <si>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</si>
  <si>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</si>
  <si>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</si>
  <si>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</si>
  <si>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</si>
  <si>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</si>
  <si>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</si>
  <si>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</si>
  <si>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</si>
  <si>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</si>
  <si>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</si>
  <si>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</si>
  <si>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</si>
  <si>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</si>
  <si>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</si>
  <si>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</si>
  <si>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</si>
  <si>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</si>
  <si>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</si>
  <si>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</si>
  <si>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</si>
  <si>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</si>
  <si>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</si>
  <si>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</si>
  <si>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</si>
  <si>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</si>
  <si>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</si>
  <si>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</si>
  <si>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</si>
  <si>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</si>
  <si>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</si>
  <si>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</si>
  <si>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</si>
  <si>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</si>
  <si>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</si>
  <si>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</si>
  <si>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</si>
  <si>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</si>
  <si>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</si>
  <si>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</si>
  <si>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</si>
  <si>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</si>
  <si>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</si>
  <si>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</si>
  <si>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</si>
  <si>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</si>
  <si>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</si>
  <si>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</si>
  <si>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</si>
  <si>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</si>
  <si>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</si>
  <si>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</si>
  <si>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</si>
  <si>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</si>
  <si>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</si>
  <si>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</si>
  <si>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</si>
  <si>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</si>
  <si>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</si>
  <si>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</si>
  <si>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</si>
  <si>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</si>
  <si>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</si>
  <si>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</si>
  <si>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</si>
  <si>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</si>
  <si>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</si>
  <si>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</si>
  <si>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</si>
  <si>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</si>
  <si>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</si>
  <si>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</si>
  <si>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</si>
  <si>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</si>
  <si>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</si>
  <si>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</si>
  <si>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</si>
  <si>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</si>
  <si>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</si>
  <si>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</si>
  <si>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</si>
  <si>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</si>
  <si>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</si>
  <si>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</si>
  <si>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</si>
  <si>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</si>
  <si>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</si>
  <si>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</si>
  <si>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</si>
  <si>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</si>
  <si>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</si>
  <si>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</si>
  <si>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</si>
  <si>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</si>
  <si>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</si>
  <si>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</si>
  <si>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</si>
  <si>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</si>
  <si>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</si>
  <si>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</si>
  <si>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</si>
  <si>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</si>
  <si>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</si>
  <si>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</si>
  <si>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</si>
  <si>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</si>
  <si>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</si>
  <si>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</si>
  <si>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</si>
  <si>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</si>
  <si>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</si>
  <si>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</si>
  <si>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</si>
  <si>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</si>
  <si>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</si>
  <si>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</si>
  <si>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</si>
  <si>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</si>
  <si>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</si>
  <si>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</si>
  <si>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</si>
  <si>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</si>
  <si>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</si>
  <si>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</si>
  <si>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</si>
  <si>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</si>
  <si>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</si>
  <si>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</si>
  <si>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</si>
  <si>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</si>
  <si>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</si>
  <si>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</si>
  <si>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</si>
  <si>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</si>
  <si>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</si>
  <si>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</si>
  <si>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</si>
  <si>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</si>
  <si>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</si>
  <si>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</si>
  <si>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</si>
  <si>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</si>
  <si>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</si>
  <si>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</si>
  <si>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</si>
  <si>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</si>
  <si>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</si>
  <si>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</si>
  <si>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</si>
  <si>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</si>
  <si>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</si>
  <si>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</si>
  <si>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</si>
  <si>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</si>
  <si>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</si>
  <si>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</si>
  <si>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</si>
  <si>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</si>
  <si>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</si>
  <si>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</si>
  <si>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</si>
  <si>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</si>
  <si>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</si>
  <si>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</si>
  <si>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</si>
  <si>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</si>
  <si>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</si>
  <si>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</si>
  <si>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</si>
  <si>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</si>
  <si>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</si>
  <si>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</si>
  <si>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</si>
  <si>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</si>
  <si>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</si>
  <si>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</si>
  <si>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</si>
  <si>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</si>
  <si>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</si>
  <si>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</si>
  <si>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</si>
  <si>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</si>
  <si>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</si>
  <si>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</si>
  <si>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</si>
  <si>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</si>
  <si>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</si>
  <si>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</si>
  <si>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</si>
  <si>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</si>
  <si>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</si>
  <si>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</si>
  <si>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</si>
  <si>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</si>
  <si>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</si>
  <si>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</si>
  <si>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</si>
  <si>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</si>
  <si>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</si>
  <si>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</si>
  <si>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</si>
  <si>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</si>
  <si>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</si>
  <si>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</si>
  <si>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</si>
  <si>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</si>
  <si>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</si>
  <si>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</si>
  <si>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</si>
  <si>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</si>
  <si>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</si>
  <si>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</si>
  <si>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</si>
  <si>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</si>
  <si>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</si>
  <si>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</si>
  <si>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</si>
  <si>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</si>
  <si>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</si>
  <si>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</si>
  <si>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</si>
  <si>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</si>
  <si>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</si>
  <si>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</si>
  <si>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</si>
  <si>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</si>
  <si>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</si>
  <si>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</si>
  <si>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</si>
  <si>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</si>
  <si>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</si>
  <si>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</si>
  <si>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</si>
  <si>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</si>
  <si>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</si>
  <si>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</si>
  <si>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</si>
  <si>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</si>
  <si>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</si>
  <si>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</si>
  <si>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</si>
  <si>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</si>
  <si>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</si>
  <si>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</si>
  <si>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</si>
  <si>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</si>
  <si>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</si>
  <si>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</si>
  <si>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</si>
  <si>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</si>
  <si>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</si>
  <si>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</si>
  <si>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</si>
  <si>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</si>
  <si>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</si>
  <si>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</si>
  <si>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</si>
  <si>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</si>
  <si>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</si>
  <si>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</si>
  <si>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</si>
  <si>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</si>
  <si>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</si>
  <si>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</si>
  <si>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</si>
  <si>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</si>
  <si>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</si>
  <si>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</si>
  <si>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</si>
  <si>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</si>
  <si>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</si>
  <si>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</si>
  <si>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</si>
  <si>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</si>
  <si>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</si>
  <si>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</si>
  <si>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</si>
  <si>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</si>
  <si>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</si>
  <si>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</si>
  <si>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</si>
  <si>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</si>
  <si>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</si>
  <si>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</si>
  <si>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</si>
  <si>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</si>
  <si>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</si>
  <si>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</si>
  <si>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</si>
  <si>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</si>
  <si>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</si>
  <si>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</si>
  <si>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</si>
  <si>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</si>
  <si>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</si>
  <si>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</si>
  <si>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</si>
  <si>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</si>
  <si>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</si>
  <si>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</si>
  <si>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</si>
  <si>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</si>
  <si>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</si>
  <si>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</si>
  <si>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</si>
  <si>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</si>
  <si>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</si>
  <si>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</si>
  <si>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</si>
  <si>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</si>
  <si>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</si>
  <si>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</si>
  <si>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</si>
  <si>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</si>
  <si>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</si>
  <si>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</si>
  <si>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</si>
  <si>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</si>
  <si>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</si>
  <si>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</si>
  <si>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</si>
  <si>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</si>
  <si>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</si>
  <si>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</si>
  <si>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</si>
  <si>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</si>
  <si>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</si>
  <si>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</si>
  <si>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</si>
  <si>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</si>
  <si>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</si>
  <si>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</si>
  <si>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</si>
  <si>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</si>
  <si>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</si>
  <si>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</si>
  <si>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</si>
  <si>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</si>
  <si>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</si>
  <si>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</si>
  <si>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</si>
  <si>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</si>
  <si>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</si>
  <si>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</si>
  <si>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</si>
  <si>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</si>
  <si>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</si>
  <si>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</si>
  <si>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</si>
  <si>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</si>
  <si>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</si>
  <si>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</si>
  <si>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</si>
  <si>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</si>
  <si>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</si>
  <si>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</si>
  <si>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</si>
  <si>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</si>
  <si>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</si>
  <si>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</si>
  <si>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</si>
  <si>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</si>
  <si>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</si>
  <si>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</si>
  <si>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</si>
  <si>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</si>
  <si>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</si>
  <si>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</si>
  <si>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</si>
  <si>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</si>
  <si>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</si>
  <si>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</si>
  <si>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</si>
  <si>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</si>
  <si>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</si>
  <si>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</si>
  <si>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</si>
  <si>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</si>
  <si>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</si>
  <si>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</si>
  <si>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</si>
  <si>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</si>
  <si>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</si>
  <si>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</si>
  <si>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</si>
  <si>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</si>
  <si>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</si>
  <si>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</si>
  <si>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</si>
  <si>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</si>
  <si>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</si>
  <si>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</si>
  <si>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</si>
  <si>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</si>
  <si>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</si>
  <si>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</si>
  <si>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</si>
  <si>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</si>
  <si>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</si>
  <si>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</si>
  <si>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</si>
  <si>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</si>
  <si>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</si>
  <si>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</si>
  <si>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</si>
  <si>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</si>
  <si>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</si>
  <si>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</si>
  <si>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</si>
  <si>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</si>
  <si>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</si>
  <si>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</si>
  <si>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</si>
  <si>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</si>
  <si>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</si>
  <si>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</si>
  <si>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</si>
  <si>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</si>
  <si>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</si>
  <si>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</si>
  <si>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</si>
  <si>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</si>
  <si>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</si>
  <si>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</si>
  <si>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</si>
  <si>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</si>
  <si>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</si>
  <si>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</si>
  <si>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</si>
  <si>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</si>
  <si>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</si>
  <si>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</si>
  <si>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</si>
  <si>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</si>
  <si>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</si>
  <si>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</si>
  <si>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</si>
  <si>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</si>
  <si>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</si>
  <si>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</si>
  <si>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</si>
  <si>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</si>
  <si>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</si>
  <si>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</si>
  <si>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</si>
  <si>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</si>
  <si>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</si>
  <si>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</si>
  <si>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</si>
  <si>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</si>
  <si>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</si>
  <si>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</si>
  <si>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</si>
  <si>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</si>
  <si>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</si>
  <si>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</si>
  <si>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</si>
  <si>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</si>
  <si>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</si>
  <si>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</si>
  <si>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</si>
  <si>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</si>
  <si>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</si>
  <si>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</si>
  <si>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</si>
  <si>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</si>
  <si>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</si>
  <si>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</si>
  <si>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</si>
  <si>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</si>
  <si>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</si>
  <si>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</si>
  <si>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</si>
  <si>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</si>
  <si>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</si>
  <si>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</si>
  <si>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</si>
  <si>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</si>
  <si>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</si>
  <si>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</si>
  <si>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</si>
  <si>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</si>
  <si>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</si>
  <si>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</si>
  <si>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</si>
  <si>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</si>
  <si>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</si>
  <si>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</si>
  <si>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</si>
  <si>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</si>
  <si>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</si>
  <si>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</si>
  <si>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</si>
  <si>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</si>
  <si>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</si>
  <si>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</si>
  <si>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</si>
  <si>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</si>
  <si>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</si>
  <si>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</si>
  <si>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</si>
  <si>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</si>
  <si>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</si>
  <si>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</si>
  <si>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</si>
  <si>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</si>
  <si>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</si>
  <si>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</si>
  <si>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</si>
  <si>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</si>
  <si>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</si>
  <si>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</si>
  <si>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</si>
  <si>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</si>
  <si>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</si>
  <si>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</si>
  <si>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</si>
  <si>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</si>
  <si>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</si>
  <si>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</si>
  <si>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</si>
  <si>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</si>
  <si>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</si>
  <si>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</si>
  <si>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</si>
  <si>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</si>
  <si>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</si>
  <si>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</si>
  <si>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</si>
  <si>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</si>
  <si>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</si>
  <si>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</si>
  <si>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</si>
  <si>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</si>
  <si>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</si>
  <si>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</si>
  <si>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</si>
  <si>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</si>
  <si>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</si>
  <si>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</si>
  <si>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</si>
  <si>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</si>
  <si>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</si>
  <si>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</si>
  <si>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</si>
  <si>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</si>
  <si>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</si>
  <si>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</si>
  <si>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</si>
  <si>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</si>
  <si>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</si>
  <si>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</si>
  <si>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</si>
  <si>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</si>
  <si>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</si>
  <si>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</si>
  <si>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</si>
  <si>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</si>
  <si>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</si>
  <si>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</si>
  <si>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</si>
  <si>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</si>
  <si>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</si>
  <si>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</si>
  <si>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</si>
  <si>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</si>
  <si>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</si>
  <si>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</si>
  <si>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</si>
  <si>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</si>
  <si>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</si>
  <si>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</si>
  <si>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</si>
  <si>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</si>
  <si>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</si>
  <si>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</si>
  <si>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</si>
  <si>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</si>
  <si>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</si>
  <si>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</si>
  <si>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</si>
  <si>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</si>
  <si>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</si>
  <si>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</si>
  <si>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</si>
  <si>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</si>
  <si>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</si>
  <si>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</si>
  <si>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</si>
  <si>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</si>
  <si>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</si>
  <si>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</si>
  <si>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</si>
  <si>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</si>
  <si>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</si>
  <si>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</si>
  <si>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</si>
  <si>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</si>
  <si>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</si>
  <si>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</si>
  <si>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</si>
  <si>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</si>
  <si>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</si>
  <si>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</si>
  <si>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</si>
  <si>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</si>
  <si>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</si>
  <si>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</si>
  <si>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</si>
  <si>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</si>
  <si>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</si>
  <si>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</si>
  <si>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</si>
  <si>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</si>
  <si>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</si>
  <si>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</si>
  <si>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</si>
  <si>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</si>
  <si>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</si>
  <si>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</si>
  <si>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</si>
  <si>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</si>
  <si>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</si>
  <si>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</si>
  <si>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</si>
  <si>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</si>
  <si>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</si>
  <si>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</si>
  <si>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</si>
  <si>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</si>
  <si>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</si>
  <si>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</si>
  <si>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</si>
  <si>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</si>
  <si>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</si>
  <si>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</si>
  <si>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</si>
  <si>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</si>
  <si>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</si>
  <si>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</si>
  <si>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</si>
  <si>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</si>
  <si>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</si>
  <si>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</si>
  <si>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</si>
  <si>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</si>
  <si>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</si>
  <si>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</si>
  <si>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</si>
  <si>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</si>
  <si>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</si>
  <si>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</si>
  <si>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</si>
  <si>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</si>
  <si>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</si>
  <si>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</si>
  <si>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</si>
  <si>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</si>
  <si>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</si>
  <si>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</si>
  <si>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</si>
  <si>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</si>
  <si>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</si>
  <si>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</si>
  <si>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</si>
  <si>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</si>
  <si>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</si>
  <si>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</si>
  <si>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</si>
  <si>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</si>
  <si>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</si>
  <si>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</si>
  <si>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</si>
  <si>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</si>
  <si>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</si>
  <si>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</si>
  <si>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</si>
  <si>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</si>
  <si>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</si>
  <si>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</si>
  <si>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</si>
  <si>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</si>
  <si>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</si>
  <si>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</si>
  <si>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</si>
  <si>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</si>
  <si>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</si>
  <si>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</si>
  <si>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</si>
  <si>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</si>
  <si>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</si>
  <si>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</si>
  <si>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</si>
  <si>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</si>
  <si>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</si>
  <si>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</si>
  <si>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</si>
  <si>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</si>
  <si>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</si>
  <si>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</si>
  <si>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</si>
  <si>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</si>
  <si>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</si>
  <si>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</si>
  <si>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</si>
  <si>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</si>
  <si>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</si>
  <si>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</si>
  <si>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</si>
  <si>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</si>
  <si>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</si>
  <si>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</si>
  <si>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</si>
  <si>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</si>
  <si>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</si>
  <si>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</si>
  <si>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</si>
  <si>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</si>
  <si>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</si>
  <si>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</si>
  <si>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</si>
  <si>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</si>
  <si>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</si>
  <si>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</si>
  <si>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</si>
  <si>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</si>
  <si>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</si>
  <si>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</si>
  <si>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</si>
  <si>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</si>
  <si>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</si>
  <si>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</si>
  <si>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</si>
  <si>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</si>
  <si>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</si>
  <si>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</si>
  <si>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</si>
  <si>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</si>
  <si>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</si>
  <si>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</si>
  <si>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</si>
  <si>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</si>
  <si>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</si>
  <si>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</si>
  <si>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</si>
  <si>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</si>
  <si>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</si>
  <si>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</si>
  <si>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</si>
  <si>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</si>
  <si>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</si>
  <si>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</si>
  <si>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</si>
  <si>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</si>
  <si>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</si>
  <si>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</si>
  <si>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</si>
  <si>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</si>
  <si>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</si>
  <si>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</si>
  <si>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</si>
  <si>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</si>
  <si>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</si>
  <si>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</si>
  <si>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</si>
  <si>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</si>
  <si>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</si>
  <si>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</si>
  <si>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</si>
  <si>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</si>
  <si>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</si>
  <si>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</si>
  <si>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</si>
  <si>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</si>
  <si>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</si>
  <si>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</si>
  <si>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</si>
  <si>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</si>
  <si>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</si>
  <si>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</si>
  <si>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</si>
  <si>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</si>
  <si>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</si>
  <si>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</si>
  <si>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</si>
  <si>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</si>
  <si>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</si>
  <si>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</si>
  <si>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</si>
  <si>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</si>
  <si>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</si>
  <si>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</si>
  <si>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</si>
  <si>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</si>
  <si>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</si>
  <si>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</si>
  <si>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</si>
  <si>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</si>
  <si>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</si>
  <si>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</si>
  <si>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</si>
  <si>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</si>
  <si>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</si>
  <si>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</si>
  <si>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</si>
  <si>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</si>
  <si>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</si>
  <si>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</si>
  <si>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</si>
  <si>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</si>
  <si>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</si>
  <si>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</si>
  <si>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</si>
  <si>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</si>
  <si>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</si>
  <si>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</si>
  <si>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</si>
  <si>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</si>
  <si>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</si>
  <si>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</si>
  <si>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</si>
  <si>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</si>
  <si>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</si>
  <si>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</si>
  <si>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</si>
  <si>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</si>
  <si>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</si>
  <si>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</si>
  <si>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</si>
  <si>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</si>
  <si>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</si>
  <si>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</si>
  <si>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</si>
  <si>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</si>
  <si>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</si>
  <si>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</si>
  <si>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</si>
  <si>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</si>
  <si>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</si>
  <si>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</si>
  <si>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</si>
  <si>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</si>
  <si>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</si>
  <si>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</si>
  <si>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</si>
  <si>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</si>
  <si>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</si>
  <si>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</si>
  <si>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</si>
  <si>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</si>
  <si>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</si>
  <si>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</si>
  <si>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</si>
  <si>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</si>
  <si>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</si>
  <si>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</si>
  <si>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</si>
  <si>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</si>
  <si>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</si>
  <si>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</si>
  <si>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</si>
  <si>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</si>
  <si>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</si>
  <si>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</si>
  <si>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</si>
  <si>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</si>
  <si>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</si>
  <si>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</si>
  <si>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</si>
  <si>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</si>
  <si>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</si>
  <si>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</si>
  <si>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</si>
  <si>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</si>
  <si>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</si>
  <si>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</si>
  <si>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</si>
  <si>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</si>
  <si>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</si>
  <si>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</si>
  <si>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</si>
  <si>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</si>
  <si>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</si>
  <si>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</si>
  <si>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</si>
  <si>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</si>
  <si>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</si>
  <si>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</si>
  <si>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</si>
  <si>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</si>
  <si>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</si>
  <si>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</si>
  <si>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</si>
  <si>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</si>
  <si>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</si>
  <si>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</si>
  <si>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</si>
  <si>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</si>
  <si>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</si>
  <si>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</si>
  <si>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</si>
  <si>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</si>
  <si>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</si>
  <si>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</si>
  <si>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</si>
  <si>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</si>
  <si>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</si>
  <si>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</si>
  <si>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</si>
  <si>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</si>
  <si>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</si>
  <si>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</si>
  <si>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</si>
  <si>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</si>
  <si>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</si>
  <si>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</si>
  <si>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</si>
  <si>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</si>
  <si>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</si>
  <si>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</si>
  <si>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</si>
  <si>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</si>
  <si>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</si>
  <si>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</si>
  <si>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</si>
  <si>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</si>
  <si>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</si>
  <si>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</si>
  <si>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</si>
  <si>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</si>
  <si>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</si>
  <si>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</si>
  <si>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</si>
  <si>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</si>
  <si>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</si>
  <si>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</si>
  <si>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</si>
  <si>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</si>
  <si>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</si>
  <si>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</si>
  <si>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</si>
  <si>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</si>
  <si>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</si>
  <si>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</si>
  <si>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</si>
  <si>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</si>
  <si>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</si>
  <si>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</si>
  <si>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</si>
  <si>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</si>
  <si>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</si>
  <si>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</si>
  <si>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</si>
  <si>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</si>
  <si>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</si>
  <si>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</si>
  <si>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</si>
  <si>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</si>
  <si>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</si>
  <si>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</si>
  <si>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</si>
  <si>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</si>
  <si>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</si>
  <si>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</si>
  <si>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</si>
  <si>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</si>
  <si>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</si>
  <si>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</si>
  <si>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</si>
  <si>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</si>
  <si>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</si>
  <si>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</si>
  <si>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</si>
  <si>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</si>
  <si>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</si>
  <si>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</si>
  <si>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</si>
  <si>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</si>
  <si>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</si>
  <si>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</si>
  <si>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</si>
  <si>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</si>
  <si>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</si>
  <si>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</si>
  <si>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</si>
  <si>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</si>
  <si>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</si>
  <si>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</si>
  <si>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</si>
  <si>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</si>
  <si>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</si>
  <si>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</si>
  <si>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</si>
  <si>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</si>
  <si>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</si>
  <si>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</si>
  <si>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</si>
  <si>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</si>
  <si>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</si>
  <si>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</si>
  <si>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</si>
  <si>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</si>
  <si>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</si>
  <si>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</si>
  <si>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</si>
  <si>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</si>
  <si>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</si>
  <si>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</si>
  <si>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</si>
  <si>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</si>
  <si>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</si>
  <si>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</si>
  <si>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</si>
  <si>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</si>
  <si>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</si>
  <si>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</si>
  <si>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</si>
  <si>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</si>
  <si>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</si>
  <si>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</si>
  <si>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</si>
  <si>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</si>
  <si>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</si>
  <si>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</si>
  <si>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</si>
  <si>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</si>
  <si>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</si>
  <si>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</si>
  <si>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</si>
  <si>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</si>
  <si>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</si>
  <si>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</si>
  <si>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</si>
  <si>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</si>
  <si>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</si>
  <si>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</si>
  <si>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</si>
  <si>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</si>
  <si>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</si>
  <si>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</si>
  <si>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</si>
  <si>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</si>
  <si>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</si>
  <si>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</si>
  <si>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</si>
  <si>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</si>
  <si>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</si>
  <si>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</si>
  <si>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</si>
  <si>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</si>
  <si>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</si>
  <si>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</si>
  <si>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</si>
  <si>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</si>
  <si>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</si>
  <si>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</si>
  <si>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</si>
  <si>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</si>
  <si>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</si>
  <si>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</si>
  <si>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</si>
  <si>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</si>
  <si>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</si>
  <si>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</si>
  <si>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</si>
  <si>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</si>
  <si>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</si>
  <si>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</si>
  <si>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</si>
  <si>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</si>
  <si>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</si>
  <si>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</si>
  <si>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</si>
  <si>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</si>
  <si>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</si>
  <si>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</si>
  <si>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</si>
  <si>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</si>
  <si>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</si>
  <si>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</si>
  <si>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</si>
  <si>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</si>
  <si>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</si>
  <si>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</si>
  <si>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</si>
  <si>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</si>
  <si>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</si>
  <si>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</si>
  <si>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</si>
  <si>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</si>
  <si>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</si>
  <si>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</si>
  <si>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</si>
  <si>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</si>
  <si>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</si>
  <si>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</si>
  <si>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</si>
  <si>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</si>
  <si>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</si>
  <si>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</si>
  <si>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</si>
  <si>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</si>
  <si>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</si>
  <si>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</si>
  <si>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</si>
  <si>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</si>
  <si>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</si>
  <si>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</si>
  <si>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</si>
  <si>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</si>
  <si>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</si>
  <si>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</si>
  <si>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</si>
  <si>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</si>
  <si>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</si>
  <si>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</si>
  <si>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</si>
  <si>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</si>
  <si>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</si>
  <si>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</si>
  <si>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</si>
  <si>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</si>
  <si>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</si>
  <si>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</si>
  <si>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</si>
  <si>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</si>
  <si>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</si>
  <si>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</si>
  <si>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</si>
  <si>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</si>
  <si>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</si>
  <si>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</si>
  <si>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</si>
  <si>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</si>
  <si>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</si>
  <si>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</si>
  <si>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</si>
  <si>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</si>
  <si>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</si>
  <si>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</si>
  <si>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</si>
  <si>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</si>
  <si>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</si>
  <si>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</si>
  <si>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</si>
  <si>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</si>
  <si>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</si>
  <si>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</si>
  <si>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</si>
  <si>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</si>
  <si>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</si>
  <si>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</si>
  <si>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</si>
  <si>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</si>
  <si>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</si>
  <si>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</si>
  <si>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</si>
  <si>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</si>
  <si>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</si>
  <si>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</si>
  <si>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</si>
  <si>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</si>
  <si>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</si>
  <si>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</si>
  <si>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</si>
  <si>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</si>
  <si>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</si>
  <si>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</si>
  <si>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</si>
  <si>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</si>
  <si>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</si>
  <si>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</si>
  <si>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</si>
  <si>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</si>
  <si>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</si>
  <si>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</si>
  <si>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</si>
  <si>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</si>
  <si>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</si>
  <si>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</si>
  <si>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</si>
  <si>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</si>
  <si>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</si>
  <si>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</si>
  <si>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</si>
  <si>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</si>
  <si>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</si>
  <si>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</si>
  <si>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</si>
  <si>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</si>
  <si>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</si>
  <si>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</si>
  <si>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</si>
  <si>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</si>
  <si>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</si>
  <si>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</si>
  <si>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</si>
  <si>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</si>
  <si>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</si>
  <si>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</si>
  <si>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</si>
  <si>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</si>
  <si>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</si>
  <si>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</si>
  <si>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</si>
  <si>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</si>
  <si>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</si>
  <si>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</si>
  <si>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</si>
  <si>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</si>
  <si>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</si>
  <si>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</si>
  <si>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</si>
  <si>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</si>
  <si>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</si>
  <si>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Z1_OLBV_T3PT_Ms4</t>
  </si>
  <si>
    <t>broutards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</si>
</sst>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3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60.838999999999999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177.67083870246876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0.70843895652173916</v>
      </c>
      <c r="L5" s="143">
        <f>CdTrp1!G215+CdTrp2!G215+CdTrp3!G215+CdTrp4!G215</f>
        <v>6.0856971450434791</v>
      </c>
      <c r="M5" s="143">
        <f>CdTrp1!H215+CdTrp2!H215+CdTrp3!H215+CdTrp4!H215</f>
        <v>8.117769148695654</v>
      </c>
      <c r="N5" s="143">
        <f>CdTrp1!I215+CdTrp2!I215+CdTrp3!I215+CdTrp4!I215</f>
        <v>8.0908064634782626</v>
      </c>
      <c r="O5" s="143">
        <f>CdTrp1!J215+CdTrp2!J215+CdTrp3!J215+CdTrp4!J215</f>
        <v>5.9742513794782619</v>
      </c>
      <c r="P5" s="143">
        <f>CdTrp1!K215+CdTrp2!K215+CdTrp3!K215+CdTrp4!K215</f>
        <v>5.4289025280000009</v>
      </c>
      <c r="Q5" s="143">
        <f>CdTrp1!L215+CdTrp2!L215+CdTrp3!L215+CdTrp4!L215</f>
        <v>5.2537766400000008</v>
      </c>
      <c r="R5" s="143">
        <f>CdTrp1!M215+CdTrp2!M215+CdTrp3!M215+CdTrp4!M215</f>
        <v>5.2537766400000008</v>
      </c>
      <c r="S5" s="143">
        <f>CdTrp1!N215+CdTrp2!N215+CdTrp3!N215+CdTrp4!N215</f>
        <v>5.4289025280000009</v>
      </c>
      <c r="T5" s="143">
        <f>CdTrp1!O215+CdTrp2!O215+CdTrp3!O215+CdTrp4!O215</f>
        <v>4.3140375916521743</v>
      </c>
      <c r="U5" s="143">
        <f>CdTrp1!P215+CdTrp2!P215+CdTrp3!P215+CdTrp4!P215</f>
        <v>6.6445633416521739</v>
      </c>
      <c r="V5" s="143">
        <f>CdTrp1!Q215+CdTrp2!Q215+CdTrp3!Q215+CdTrp4!Q215</f>
        <v>6.6445633416521739</v>
      </c>
      <c r="W5" s="143">
        <f>CdTrp1!R215+CdTrp2!R215+CdTrp3!R215+CdTrp4!R215</f>
        <v>4.7143258643478259</v>
      </c>
      <c r="X5" s="143">
        <f>CdTrp1!S215+CdTrp2!S215+CdTrp3!S215+CdTrp4!S215</f>
        <v>4.7143258643478259</v>
      </c>
      <c r="Y5" s="143">
        <f>CdTrp1!T215+CdTrp2!T215+CdTrp3!T215+CdTrp4!T215</f>
        <v>3.6760320950956533</v>
      </c>
      <c r="Z5" s="143">
        <f>CdTrp1!U215+CdTrp2!U215+CdTrp3!U215+CdTrp4!U215</f>
        <v>4.8259435353043489</v>
      </c>
      <c r="AA5" s="143">
        <f>CdTrp1!V215+CdTrp2!V215+CdTrp3!V215+CdTrp4!V215</f>
        <v>1.9743560869565218</v>
      </c>
      <c r="AB5" s="143">
        <f>CdTrp1!W215+CdTrp2!W215+CdTrp3!W215+CdTrp4!W215</f>
        <v>1.9743560869565218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134.43117975892179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2.3305257499999996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2.3305257499999996</v>
      </c>
      <c r="T6" s="143">
        <f>CdTrp1!O216+CdTrp2!O216+CdTrp3!O216+CdTrp4!O216</f>
        <v>3.6169017499999994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1.286376</v>
      </c>
      <c r="Z6" s="143">
        <f>CdTrp1!U216+CdTrp2!U216+CdTrp3!U216+CdTrp4!U216</f>
        <v>0</v>
      </c>
      <c r="AA6" s="143">
        <f>CdTrp1!V216+CdTrp2!V216+CdTrp3!V216+CdTrp4!V216</f>
        <v>1.24488</v>
      </c>
      <c r="AB6" s="143">
        <f>CdTrp1!W216+CdTrp2!W216+CdTrp3!W216+CdTrp4!W216</f>
        <v>1.24488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165.79999999999998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1.286376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1.286376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1.286376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1.286376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7.3720731450434789</v>
      </c>
      <c r="M8" s="143">
        <f t="shared" si="0"/>
        <v>9.3626491486956542</v>
      </c>
      <c r="N8" s="143">
        <f t="shared" si="0"/>
        <v>9.3356864634782628</v>
      </c>
      <c r="O8" s="143">
        <f t="shared" si="0"/>
        <v>9.5911531294782613</v>
      </c>
      <c r="P8" s="143">
        <f t="shared" si="0"/>
        <v>9.0458042780000003</v>
      </c>
      <c r="Q8" s="143">
        <f t="shared" si="0"/>
        <v>8.754004140000001</v>
      </c>
      <c r="R8" s="143">
        <f t="shared" si="0"/>
        <v>8.754004140000001</v>
      </c>
      <c r="S8" s="143">
        <f t="shared" si="0"/>
        <v>9.0458042780000003</v>
      </c>
      <c r="T8" s="143">
        <f t="shared" si="0"/>
        <v>7.9309393416521736</v>
      </c>
      <c r="U8" s="143">
        <f t="shared" si="0"/>
        <v>7.9309393416521736</v>
      </c>
      <c r="V8" s="143">
        <f t="shared" si="0"/>
        <v>7.9309393416521736</v>
      </c>
      <c r="W8" s="143">
        <f t="shared" si="0"/>
        <v>7.8778258643478258</v>
      </c>
      <c r="X8" s="143">
        <f t="shared" si="0"/>
        <v>7.8778258643478258</v>
      </c>
      <c r="Y8" s="143">
        <f t="shared" si="0"/>
        <v>4.9624080950956531</v>
      </c>
      <c r="Z8" s="143">
        <f t="shared" si="0"/>
        <v>6.1123195353043487</v>
      </c>
      <c r="AA8" s="143">
        <f t="shared" si="0"/>
        <v>3.2192360869565215</v>
      </c>
      <c r="AB8" s="143">
        <f t="shared" si="0"/>
        <v>3.2192360869565215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134.43117975892179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33</v>
      </c>
      <c r="H18" s="158">
        <f>G18/G17</f>
        <v>0.7021276595744681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</v>
      </c>
      <c r="H19" s="158">
        <f>G19/G17</f>
        <v>0.25531914893617019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2</v>
      </c>
      <c r="H20" s="158">
        <f>G20/G17</f>
        <v>4.2553191489361701E-2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7.3720731450434789</v>
      </c>
      <c r="AY5" s="13">
        <f>'Conduite Trp'!M8</f>
        <v>9.3626491486956542</v>
      </c>
      <c r="AZ5" s="13">
        <f>'Conduite Trp'!N8</f>
        <v>9.3356864634782628</v>
      </c>
      <c r="BA5" s="13">
        <f>'Conduite Trp'!O8</f>
        <v>9.5911531294782613</v>
      </c>
      <c r="BB5" s="13">
        <f>'Conduite Trp'!P8</f>
        <v>9.0458042780000003</v>
      </c>
      <c r="BC5" s="13">
        <f>'Conduite Trp'!Q8</f>
        <v>8.754004140000001</v>
      </c>
      <c r="BD5" s="13">
        <f>'Conduite Trp'!R8</f>
        <v>8.754004140000001</v>
      </c>
      <c r="BE5" s="13">
        <f>'Conduite Trp'!S8</f>
        <v>9.0458042780000003</v>
      </c>
      <c r="BF5" s="13">
        <f>'Conduite Trp'!T8</f>
        <v>7.9309393416521736</v>
      </c>
      <c r="BG5" s="13">
        <f>'Conduite Trp'!U8</f>
        <v>7.9309393416521736</v>
      </c>
      <c r="BH5" s="13">
        <f>'Conduite Trp'!V8</f>
        <v>7.9309393416521736</v>
      </c>
      <c r="BI5" s="13">
        <f>'Conduite Trp'!W8</f>
        <v>7.8778258643478258</v>
      </c>
      <c r="BJ5" s="13">
        <f>'Conduite Trp'!X8</f>
        <v>7.8778258643478258</v>
      </c>
      <c r="BK5" s="13">
        <f>'Conduite Trp'!Y8</f>
        <v>4.9624080950956531</v>
      </c>
      <c r="BL5" s="13">
        <f>'Conduite Trp'!Z8</f>
        <v>6.1123195353043487</v>
      </c>
      <c r="BM5" s="13">
        <f>'Conduite Trp'!AA8</f>
        <v>3.2192360869565215</v>
      </c>
      <c r="BN5" s="13">
        <f>'Conduite Trp'!AB8</f>
        <v>3.2192360869565215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9.3626491486956542</v>
      </c>
      <c r="AZ7" s="61">
        <f t="shared" si="7"/>
        <v>9.3356864634782628</v>
      </c>
      <c r="BA7" s="61">
        <f t="shared" si="7"/>
        <v>9.5911531294782613</v>
      </c>
      <c r="BB7" s="61">
        <f t="shared" si="7"/>
        <v>9.0458042780000003</v>
      </c>
      <c r="BC7" s="61">
        <f t="shared" si="7"/>
        <v>8.754004140000001</v>
      </c>
      <c r="BD7" s="61">
        <f t="shared" si="7"/>
        <v>8.754004140000001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54.843301299652175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60.838999999999999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0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9.0458042780000003</v>
      </c>
      <c r="BF8" s="61">
        <f t="shared" si="8"/>
        <v>7.9309393416521736</v>
      </c>
      <c r="BG8" s="61">
        <f t="shared" si="8"/>
        <v>7.9309393416521736</v>
      </c>
      <c r="BH8" s="61">
        <f t="shared" si="8"/>
        <v>7.9309393416521736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32.838622302956523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60.838999999999999</v>
      </c>
      <c r="G9" s="81"/>
      <c r="H9" s="61">
        <f>SUM(L34:L43)</f>
        <v>0</v>
      </c>
      <c r="I9" s="81"/>
      <c r="J9" s="81"/>
      <c r="K9" s="93">
        <f>H9-F9</f>
        <v>-60.838999999999999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7.8778258643478258</v>
      </c>
      <c r="BJ9" s="61">
        <f t="shared" si="10"/>
        <v>7.8778258643478258</v>
      </c>
      <c r="BK9" s="61">
        <f t="shared" si="10"/>
        <v>4.9624080950956531</v>
      </c>
      <c r="BL9" s="61">
        <f t="shared" si="10"/>
        <v>6.1123195353043487</v>
      </c>
      <c r="BM9" s="61">
        <f t="shared" si="10"/>
        <v>3.2192360869565215</v>
      </c>
      <c r="BN9" s="61">
        <f t="shared" si="10"/>
        <v>3.2192360869565215</v>
      </c>
      <c r="BO9" s="61">
        <f t="shared" si="10"/>
        <v>0</v>
      </c>
      <c r="BP9" s="61">
        <f t="shared" si="10"/>
        <v>0</v>
      </c>
      <c r="BR9" s="61">
        <f t="shared" si="9"/>
        <v>33.268851533008693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0.4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0.72000000000000008</v>
      </c>
      <c r="AF11" s="61">
        <f t="shared" si="1"/>
        <v>0.48</v>
      </c>
      <c r="AG11" s="61">
        <f t="shared" si="2"/>
        <v>0.72000000000000008</v>
      </c>
      <c r="AH11" s="61">
        <f t="shared" si="3"/>
        <v>0.2</v>
      </c>
      <c r="AI11" s="61">
        <f t="shared" si="4"/>
        <v>0.27999999999999997</v>
      </c>
      <c r="AJ11" s="61">
        <f t="shared" si="5"/>
        <v>0</v>
      </c>
      <c r="AK11" s="141"/>
      <c r="AL11" s="61">
        <f t="shared" si="6"/>
        <v>1.52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7.3720731450434789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10.646648797217392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296</v>
      </c>
      <c r="R12" s="39">
        <v>4</v>
      </c>
      <c r="S12" s="291" t="str">
        <f>VLOOKUP($Q12,[1]MEP!$A$5:$D$300,3)</f>
        <v>PP excellente P étalé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</v>
      </c>
      <c r="X12" s="76">
        <f>VLOOKUP($Q12,[1]MEP!$A$4:$K$300,7)</f>
        <v>1.5</v>
      </c>
      <c r="Y12" s="76">
        <f>VLOOKUP($Q12,[1]MEP!$A$4:$K$300,8)</f>
        <v>1</v>
      </c>
      <c r="Z12" s="76">
        <f>VLOOKUP($Q12,[1]MEP!$A$4:$K$300,9)</f>
        <v>1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14</v>
      </c>
      <c r="AF12" s="61">
        <f t="shared" si="1"/>
        <v>8</v>
      </c>
      <c r="AG12" s="61">
        <f t="shared" si="2"/>
        <v>6</v>
      </c>
      <c r="AH12" s="61">
        <f t="shared" si="3"/>
        <v>4</v>
      </c>
      <c r="AI12" s="61">
        <f t="shared" si="4"/>
        <v>4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>
        <v>253</v>
      </c>
      <c r="R13" s="39">
        <v>6.6</v>
      </c>
      <c r="S13" s="291" t="str">
        <f>VLOOKUP($Q13,[1]MEP!$A$5:$D$300,3)</f>
        <v>PP excellente 2 coupes précoces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1.1000000000000001</v>
      </c>
      <c r="W13" s="76">
        <f>VLOOKUP($Q13,[1]MEP!$A$4:$K$300,6)</f>
        <v>1</v>
      </c>
      <c r="X13" s="76">
        <f>VLOOKUP($Q13,[1]MEP!$A$4:$K$300,7)</f>
        <v>0.77</v>
      </c>
      <c r="Y13" s="76">
        <f>VLOOKUP($Q13,[1]MEP!$A$4:$K$300,8)</f>
        <v>0.19</v>
      </c>
      <c r="Z13" s="76">
        <f>VLOOKUP($Q13,[1]MEP!$A$4:$K$300,9)</f>
        <v>0.96</v>
      </c>
      <c r="AA13" s="76">
        <f>VLOOKUP($Q13,[1]MEP!$A$4:$K$300,10)</f>
        <v>0</v>
      </c>
      <c r="AC13" s="76">
        <f>VLOOKUP($Q13,[1]MEP!$A$4:$K$300,11)</f>
        <v>5</v>
      </c>
      <c r="AE13" s="61">
        <f t="shared" si="0"/>
        <v>7.26</v>
      </c>
      <c r="AF13" s="61">
        <f t="shared" si="1"/>
        <v>6.6</v>
      </c>
      <c r="AG13" s="61">
        <f t="shared" si="2"/>
        <v>5.0819999999999999</v>
      </c>
      <c r="AH13" s="61">
        <f t="shared" si="3"/>
        <v>1.254</v>
      </c>
      <c r="AI13" s="61">
        <f t="shared" si="4"/>
        <v>6.3359999999999994</v>
      </c>
      <c r="AJ13" s="61">
        <f t="shared" si="5"/>
        <v>0</v>
      </c>
      <c r="AK13" s="141"/>
      <c r="AL13" s="61">
        <f t="shared" si="6"/>
        <v>33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6.0856971450434791</v>
      </c>
      <c r="AY15" s="13">
        <f>'Conduite Trp'!M5</f>
        <v>8.117769148695654</v>
      </c>
      <c r="AZ15" s="13">
        <f>'Conduite Trp'!N5</f>
        <v>8.0908064634782626</v>
      </c>
      <c r="BA15" s="13">
        <f>'Conduite Trp'!O5</f>
        <v>5.9742513794782619</v>
      </c>
      <c r="BB15" s="13">
        <f>'Conduite Trp'!P5</f>
        <v>5.4289025280000009</v>
      </c>
      <c r="BC15" s="13">
        <f>'Conduite Trp'!Q5</f>
        <v>5.2537766400000008</v>
      </c>
      <c r="BD15" s="13">
        <f>'Conduite Trp'!R5</f>
        <v>5.2537766400000008</v>
      </c>
      <c r="BE15" s="13">
        <f>'Conduite Trp'!S5</f>
        <v>5.4289025280000009</v>
      </c>
      <c r="BF15" s="13">
        <f>'Conduite Trp'!T5</f>
        <v>4.3140375916521743</v>
      </c>
      <c r="BG15" s="13">
        <f>'Conduite Trp'!U5</f>
        <v>6.6445633416521739</v>
      </c>
      <c r="BH15" s="13">
        <f>'Conduite Trp'!V5</f>
        <v>6.6445633416521739</v>
      </c>
      <c r="BI15" s="13">
        <f>'Conduite Trp'!W5</f>
        <v>4.7143258643478259</v>
      </c>
      <c r="BJ15" s="13">
        <f>'Conduite Trp'!X5</f>
        <v>4.7143258643478259</v>
      </c>
      <c r="BK15" s="13">
        <f>'Conduite Trp'!Y5</f>
        <v>3.6760320950956533</v>
      </c>
      <c r="BL15" s="13">
        <f>'Conduite Trp'!Z5</f>
        <v>4.8259435353043489</v>
      </c>
      <c r="BM15" s="13">
        <f>'Conduite Trp'!AA5</f>
        <v>1.9743560869565218</v>
      </c>
      <c r="BN15" s="13">
        <f>'Conduite Trp'!AB5</f>
        <v>1.9743560869565218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2.3305257499999996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2.3305257499999996</v>
      </c>
      <c r="BF16" s="13">
        <f>'Conduite Trp'!T6</f>
        <v>3.6169017499999994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1.286376</v>
      </c>
      <c r="BL16" s="13">
        <f>'Conduite Trp'!Z6</f>
        <v>0</v>
      </c>
      <c r="BM16" s="13">
        <f>'Conduite Trp'!AA6</f>
        <v>1.24488</v>
      </c>
      <c r="BN16" s="13">
        <f>'Conduite Trp'!AB6</f>
        <v>1.24488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1.286376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1.286376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1.286376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1.286376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8.117769148695654</v>
      </c>
      <c r="AZ19" s="61">
        <f t="shared" si="15"/>
        <v>8.0908064634782626</v>
      </c>
      <c r="BA19" s="61">
        <f t="shared" si="15"/>
        <v>5.9742513794782619</v>
      </c>
      <c r="BB19" s="61">
        <f t="shared" si="15"/>
        <v>5.4289025280000009</v>
      </c>
      <c r="BC19" s="61">
        <f t="shared" si="15"/>
        <v>5.2537766400000008</v>
      </c>
      <c r="BD19" s="61">
        <f t="shared" si="15"/>
        <v>5.2537766400000008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38.119282799652176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5.4289025280000009</v>
      </c>
      <c r="BF20" s="61">
        <f t="shared" si="16"/>
        <v>4.3140375916521743</v>
      </c>
      <c r="BG20" s="61">
        <f t="shared" si="16"/>
        <v>6.6445633416521739</v>
      </c>
      <c r="BH20" s="61">
        <f t="shared" si="16"/>
        <v>6.6445633416521739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23.032066802956521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4.7143258643478259</v>
      </c>
      <c r="BJ21" s="61">
        <f t="shared" si="18"/>
        <v>4.7143258643478259</v>
      </c>
      <c r="BK21" s="61">
        <f t="shared" si="18"/>
        <v>3.6760320950956533</v>
      </c>
      <c r="BL21" s="61">
        <f t="shared" si="18"/>
        <v>4.8259435353043489</v>
      </c>
      <c r="BM21" s="61">
        <f t="shared" si="18"/>
        <v>1.9743560869565218</v>
      </c>
      <c r="BN21" s="61">
        <f t="shared" si="18"/>
        <v>1.9743560869565218</v>
      </c>
      <c r="BO21" s="61">
        <f t="shared" si="18"/>
        <v>0</v>
      </c>
      <c r="BP21" s="61">
        <f t="shared" si="18"/>
        <v>0</v>
      </c>
      <c r="BR21" s="61">
        <f t="shared" si="17"/>
        <v>21.879339533008697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0.70843895652173916</v>
      </c>
      <c r="AX23" s="61">
        <f t="shared" si="20"/>
        <v>6.0856971450434791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8.0738967972173921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57.839999999999996</v>
      </c>
      <c r="E24" s="61">
        <f t="shared" si="21"/>
        <v>32.855000000000004</v>
      </c>
      <c r="F24" s="61">
        <f t="shared" si="21"/>
        <v>38.742000000000004</v>
      </c>
      <c r="G24" s="61">
        <f t="shared" si="21"/>
        <v>14.685</v>
      </c>
      <c r="H24" s="61">
        <f t="shared" si="21"/>
        <v>26.077000000000002</v>
      </c>
      <c r="I24" s="61">
        <f t="shared" si="21"/>
        <v>0</v>
      </c>
      <c r="J24" s="63"/>
      <c r="K24" s="61">
        <f>AL27+AL49+AL71</f>
        <v>84.62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54.843301299652175</v>
      </c>
      <c r="E25" s="61">
        <f>BR8</f>
        <v>32.838622302956523</v>
      </c>
      <c r="F25" s="61">
        <f>BR9</f>
        <v>33.268851533008693</v>
      </c>
      <c r="G25" s="61">
        <f>BR10</f>
        <v>2.8337558260869566</v>
      </c>
      <c r="H25" s="61">
        <f>BR11</f>
        <v>10.646648797217392</v>
      </c>
      <c r="I25" s="61">
        <f>BR12</f>
        <v>0</v>
      </c>
      <c r="J25" s="63"/>
      <c r="K25" s="76">
        <f>'Conduite Trp'!C7</f>
        <v>165.79999999999998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2.9966987003478209</v>
      </c>
      <c r="E27" s="93">
        <f t="shared" si="23"/>
        <v>1.6377697043481021E-2</v>
      </c>
      <c r="F27" s="93">
        <f t="shared" si="23"/>
        <v>5.4731484669913115</v>
      </c>
      <c r="G27" s="93">
        <f t="shared" si="23"/>
        <v>11.851244173913043</v>
      </c>
      <c r="H27" s="93">
        <f t="shared" si="23"/>
        <v>15.43035120278261</v>
      </c>
      <c r="I27" s="93">
        <f t="shared" si="23"/>
        <v>0</v>
      </c>
      <c r="J27" s="63"/>
      <c r="K27" s="93">
        <f>K24-K25</f>
        <v>-81.179999999999978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38.39</v>
      </c>
      <c r="AF27" s="75">
        <f t="shared" ref="AF27:AJ27" si="24">SUM(AF7:AF26)</f>
        <v>23.18</v>
      </c>
      <c r="AG27" s="75">
        <f t="shared" si="24"/>
        <v>21.762</v>
      </c>
      <c r="AH27" s="75">
        <f t="shared" si="24"/>
        <v>10.554</v>
      </c>
      <c r="AI27" s="75">
        <f t="shared" si="24"/>
        <v>17.806000000000001</v>
      </c>
      <c r="AJ27" s="75">
        <f t="shared" si="24"/>
        <v>0</v>
      </c>
      <c r="AK27"/>
      <c r="AL27" s="75">
        <f>SUM(AL7:AL26)</f>
        <v>50.870000000000005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2.3305257499999996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15.437642500000003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2.3305257499999996</v>
      </c>
      <c r="BF28" s="61">
        <f t="shared" si="26"/>
        <v>3.6169017499999994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8.5201794999999994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1.286376</v>
      </c>
      <c r="BL29" s="61">
        <f t="shared" si="35"/>
        <v>0</v>
      </c>
      <c r="BM29" s="61">
        <f t="shared" si="35"/>
        <v>1.24488</v>
      </c>
      <c r="BN29" s="61">
        <f t="shared" si="35"/>
        <v>1.24488</v>
      </c>
      <c r="BO29" s="61">
        <f t="shared" si="35"/>
        <v>0</v>
      </c>
      <c r="BP29" s="61">
        <f t="shared" si="35"/>
        <v>0</v>
      </c>
      <c r="BR29" s="61">
        <f t="shared" si="27"/>
        <v>10.103135999999999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1.286376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1.286376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1.286376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1.286376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1.286376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1.286376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1.286376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1.286376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1.286376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38.39</v>
      </c>
      <c r="E72" s="61">
        <f t="shared" ref="E72:H72" si="69">AF27</f>
        <v>23.18</v>
      </c>
      <c r="F72" s="61">
        <f t="shared" si="69"/>
        <v>21.762</v>
      </c>
      <c r="G72" s="61">
        <f t="shared" si="69"/>
        <v>10.554</v>
      </c>
      <c r="H72" s="61">
        <f t="shared" si="69"/>
        <v>17.806000000000001</v>
      </c>
      <c r="I72" s="61">
        <f t="shared" ref="I72" si="70">AJ75+AJ97+AJ119</f>
        <v>0</v>
      </c>
      <c r="J72" s="63"/>
      <c r="K72" s="61">
        <f>+K24</f>
        <v>84.62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38.119282799652176</v>
      </c>
      <c r="E73" s="61">
        <f>BR20</f>
        <v>23.032066802956521</v>
      </c>
      <c r="F73" s="61">
        <f>BR21</f>
        <v>21.879339533008697</v>
      </c>
      <c r="G73" s="61">
        <f>BR22</f>
        <v>2.8337558260869566</v>
      </c>
      <c r="H73" s="61">
        <f>BR23</f>
        <v>8.0738967972173921</v>
      </c>
      <c r="I73" s="61">
        <f>BR60</f>
        <v>0</v>
      </c>
      <c r="J73" s="63"/>
      <c r="K73" s="76">
        <f>+K25</f>
        <v>165.79999999999998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0.27071720034782487</v>
      </c>
      <c r="E75" s="93">
        <f t="shared" ref="E75:I75" si="71">E72-E73</f>
        <v>0.14793319704347851</v>
      </c>
      <c r="F75" s="93">
        <f t="shared" si="71"/>
        <v>-0.11733953300869615</v>
      </c>
      <c r="G75" s="93">
        <f t="shared" si="71"/>
        <v>7.7202441739130432</v>
      </c>
      <c r="H75" s="93">
        <f t="shared" si="71"/>
        <v>9.7321032027826089</v>
      </c>
      <c r="I75" s="93">
        <f t="shared" si="71"/>
        <v>0</v>
      </c>
      <c r="J75" s="63"/>
      <c r="K75" s="93">
        <f>+K27</f>
        <v>-81.179999999999978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15.437642500000003</v>
      </c>
      <c r="E83" s="61">
        <f>BR28</f>
        <v>8.5201794999999994</v>
      </c>
      <c r="F83" s="61">
        <f>BR29</f>
        <v>10.103135999999999</v>
      </c>
      <c r="G83" s="61">
        <f>BR30</f>
        <v>0</v>
      </c>
      <c r="H83" s="61">
        <f>BR31</f>
        <v>1.286376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1.8623574999999946</v>
      </c>
      <c r="E85" s="93">
        <f t="shared" ref="E85:H85" si="73">E82-E83</f>
        <v>7.9820500000000294E-2</v>
      </c>
      <c r="F85" s="93">
        <f t="shared" si="73"/>
        <v>0.48686400000000063</v>
      </c>
      <c r="G85" s="93">
        <f t="shared" si="73"/>
        <v>3.1849999999999996</v>
      </c>
      <c r="H85" s="93">
        <f t="shared" si="73"/>
        <v>6.0386239999999995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1.286376</v>
      </c>
      <c r="E93" s="61">
        <f>BR36</f>
        <v>1.286376</v>
      </c>
      <c r="F93" s="61">
        <f>BR37</f>
        <v>1.286376</v>
      </c>
      <c r="G93" s="61">
        <f>BR38</f>
        <v>0</v>
      </c>
      <c r="H93" s="61">
        <f>BR39</f>
        <v>1.286376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0.86362399999999995</v>
      </c>
      <c r="E95" s="93">
        <f t="shared" ref="E95:H95" si="75">E92-E93</f>
        <v>-0.21137600000000001</v>
      </c>
      <c r="F95" s="93">
        <f t="shared" si="75"/>
        <v>5.1036239999999999</v>
      </c>
      <c r="G95" s="93">
        <f t="shared" si="75"/>
        <v>0.94599999999999995</v>
      </c>
      <c r="H95" s="93">
        <f t="shared" si="75"/>
        <v>-0.34037600000000001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4316.8910700990891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4316.8910700990891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18.7</v>
      </c>
      <c r="H66" s="170"/>
      <c r="I66" s="170">
        <f>SUMIF(Parcellaire!$B$2:$B$65,1,Parcellaire!I2:I65)</f>
        <v>28</v>
      </c>
      <c r="J66" s="170">
        <f>SUMIF(Parcellaire!$B$2:$B$65,1,Parcellaire!J2:J65)</f>
        <v>6</v>
      </c>
      <c r="K66" s="170">
        <f>SUMIF(Parcellaire!$B$2:$B$65,1,Parcellaire!K2:K65)</f>
        <v>19.8</v>
      </c>
      <c r="L66" s="170">
        <f>SUMIF(Parcellaire!$B$2:$B$65,1,Parcellaire!L2:L65)</f>
        <v>21.480000000000004</v>
      </c>
      <c r="M66" s="170">
        <f>SUMIF(Parcellaire!$B$2:$B$65,1,Parcellaire!M2:M65)</f>
        <v>959.30912668868621</v>
      </c>
      <c r="N66" s="170">
        <f>SUMIF(Parcellaire!$B$2:$B$65,1,Parcellaire!N2:N65)</f>
        <v>66</v>
      </c>
      <c r="O66" s="170">
        <f>SUMIF(Parcellaire!$B$2:$B$65,1,Parcellaire!O2:O65)</f>
        <v>54</v>
      </c>
      <c r="P66" s="170">
        <f>SUMIF(Parcellaire!$B$2:$B$65,1,Parcellaire!P2:P65)</f>
        <v>0</v>
      </c>
      <c r="Q66" s="170">
        <f>SUMIF(Parcellaire!$B$2:$B$65,1,Parcellaire!Q2:Q65)</f>
        <v>27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4316.8910700990891</v>
      </c>
      <c r="U66" s="170">
        <f>SUMIF(Parcellaire!$B$2:$B$65,1,Parcellaire!U2:U65)</f>
        <v>2877.927380066059</v>
      </c>
      <c r="V66" s="170">
        <f>SUMIF(Parcellaire!$B$2:$B$65,1,Parcellaire!V2:V65)</f>
        <v>5755.8547601321179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89" zoomScale="80" zoomScaleNormal="80" workbookViewId="0">
      <selection activeCell="K110" sqref="K11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11.6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4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 t="s">
        <v>633</v>
      </c>
      <c r="L109" s="30" t="str">
        <f>CdTrp2!A18</f>
        <v>broutards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0.4</v>
      </c>
      <c r="T168" s="173">
        <f>VLOOKUP(R168,[1]MEP!$A$4:$M$300,13)</f>
        <v>1</v>
      </c>
      <c r="U168" s="173">
        <f t="shared" si="10"/>
        <v>0.4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0.4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0.4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296</v>
      </c>
      <c r="S169" s="173">
        <f>Alim_Surf!R12</f>
        <v>4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4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4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253</v>
      </c>
      <c r="S170" s="173">
        <f>Alim_Surf!R13</f>
        <v>6.6</v>
      </c>
      <c r="T170" s="173">
        <f>VLOOKUP(R170,[1]MEP!$A$4:$M$300,13)</f>
        <v>2</v>
      </c>
      <c r="U170" s="173">
        <f t="shared" si="10"/>
        <v>6.6</v>
      </c>
      <c r="V170" s="173">
        <f t="shared" si="11"/>
        <v>6.6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6.6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6.6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17</v>
      </c>
      <c r="V228" s="62">
        <f t="shared" ref="V228:W228" si="22">SUM(V164:V227)</f>
        <v>11.6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11</v>
      </c>
      <c r="AI228" s="62">
        <f t="shared" si="24"/>
        <v>5.4</v>
      </c>
      <c r="AJ228" s="62">
        <f t="shared" si="24"/>
        <v>6.6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L69" sqref="L69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4317</v>
      </c>
      <c r="AQ4">
        <f>SUM(BJ31:BL31)</f>
        <v>18.7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2</v>
      </c>
      <c r="O17" s="173">
        <f t="shared" si="18"/>
        <v>2</v>
      </c>
      <c r="P17" s="173">
        <f t="shared" si="18"/>
        <v>2</v>
      </c>
      <c r="Q17" s="173">
        <f t="shared" si="18"/>
        <v>2</v>
      </c>
      <c r="R17" s="173">
        <f t="shared" si="18"/>
        <v>2</v>
      </c>
      <c r="S17" s="173">
        <f t="shared" si="18"/>
        <v>2</v>
      </c>
      <c r="T17" s="173">
        <f t="shared" si="18"/>
        <v>2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4317</v>
      </c>
      <c r="AE20" s="64">
        <v>0</v>
      </c>
      <c r="AF20" s="64">
        <f>SUM(AD20:AE20)</f>
        <v>4317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4317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0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2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2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4317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1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1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1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18.7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0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4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4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3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3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3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0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3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7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7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6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14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14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1</v>
      </c>
      <c r="I36" s="173">
        <f t="shared" si="30"/>
        <v>1</v>
      </c>
      <c r="J36" s="173">
        <f t="shared" si="30"/>
        <v>1</v>
      </c>
      <c r="K36" s="173">
        <f t="shared" si="30"/>
        <v>1</v>
      </c>
      <c r="L36" s="173">
        <f t="shared" si="30"/>
        <v>1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1</v>
      </c>
      <c r="V36" s="173">
        <f t="shared" si="30"/>
        <v>1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3</v>
      </c>
      <c r="D37" s="173">
        <f t="shared" si="31"/>
        <v>3</v>
      </c>
      <c r="E37" s="173">
        <f t="shared" si="31"/>
        <v>2</v>
      </c>
      <c r="F37" s="173">
        <f t="shared" si="31"/>
        <v>2</v>
      </c>
      <c r="G37" s="173">
        <f t="shared" si="31"/>
        <v>2</v>
      </c>
      <c r="H37" s="173">
        <f t="shared" si="31"/>
        <v>3</v>
      </c>
      <c r="I37" s="173">
        <f t="shared" si="31"/>
        <v>2</v>
      </c>
      <c r="J37" s="173">
        <f t="shared" si="31"/>
        <v>2</v>
      </c>
      <c r="K37" s="173">
        <f t="shared" si="31"/>
        <v>2</v>
      </c>
      <c r="L37" s="173">
        <f t="shared" si="31"/>
        <v>2</v>
      </c>
      <c r="M37" s="173">
        <f t="shared" si="31"/>
        <v>2</v>
      </c>
      <c r="N37" s="173">
        <f t="shared" si="31"/>
        <v>2</v>
      </c>
      <c r="O37" s="173">
        <f t="shared" si="31"/>
        <v>2</v>
      </c>
      <c r="P37" s="173">
        <f t="shared" si="31"/>
        <v>2</v>
      </c>
      <c r="Q37" s="173">
        <f t="shared" si="31"/>
        <v>2</v>
      </c>
      <c r="R37" s="173">
        <f t="shared" si="31"/>
        <v>2</v>
      </c>
      <c r="S37" s="173">
        <f t="shared" si="31"/>
        <v>2</v>
      </c>
      <c r="T37" s="173">
        <f t="shared" si="31"/>
        <v>2</v>
      </c>
      <c r="U37" s="173">
        <f t="shared" si="31"/>
        <v>2</v>
      </c>
      <c r="V37" s="173">
        <f t="shared" si="31"/>
        <v>2</v>
      </c>
      <c r="W37" s="173">
        <f t="shared" si="31"/>
        <v>2</v>
      </c>
      <c r="X37" s="173">
        <f t="shared" si="31"/>
        <v>2</v>
      </c>
      <c r="Y37" s="173">
        <f t="shared" si="31"/>
        <v>3</v>
      </c>
      <c r="Z37" s="173">
        <f t="shared" si="31"/>
        <v>3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1</v>
      </c>
      <c r="X38" s="173">
        <f t="shared" si="32"/>
        <v>1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2</v>
      </c>
      <c r="I39" s="62">
        <f t="shared" si="33"/>
        <v>2</v>
      </c>
      <c r="J39" s="62">
        <f t="shared" si="33"/>
        <v>2</v>
      </c>
      <c r="K39" s="62">
        <f t="shared" si="33"/>
        <v>2</v>
      </c>
      <c r="L39" s="62">
        <f t="shared" si="33"/>
        <v>2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2</v>
      </c>
      <c r="V39" s="62">
        <f t="shared" si="33"/>
        <v>2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2</v>
      </c>
      <c r="I43" s="62">
        <f t="shared" si="36"/>
        <v>2</v>
      </c>
      <c r="J43" s="62">
        <f t="shared" si="36"/>
        <v>2</v>
      </c>
      <c r="K43" s="62">
        <f t="shared" si="36"/>
        <v>2</v>
      </c>
      <c r="L43" s="62">
        <f t="shared" si="36"/>
        <v>2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2</v>
      </c>
      <c r="V43" s="62">
        <f t="shared" si="36"/>
        <v>2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1</v>
      </c>
      <c r="I111" s="173">
        <f>IF($AA111=0,99,IF(I124&gt;3,CdTrp2!H77,CdTrp2!H53))</f>
        <v>1</v>
      </c>
      <c r="J111" s="173">
        <f>IF($AA111=0,99,IF(J124&gt;3,CdTrp2!I77,CdTrp2!I53))</f>
        <v>1</v>
      </c>
      <c r="K111" s="173">
        <f>IF($AA111=0,99,IF(K124&gt;3,CdTrp2!J77,CdTrp2!J53))</f>
        <v>1</v>
      </c>
      <c r="L111" s="173">
        <f>IF($AA111=0,99,IF(L124&gt;3,CdTrp2!K77,CdTrp2!K53))</f>
        <v>1</v>
      </c>
      <c r="M111" s="173">
        <f>IF($AA111=0,99,IF(M124&gt;3,CdTrp2!L77,CdTrp2!L53))</f>
        <v>1</v>
      </c>
      <c r="N111" s="173">
        <f>IF($AA111=0,99,IF(N124&gt;3,CdTrp2!M77,CdTrp2!M53))</f>
        <v>1</v>
      </c>
      <c r="O111" s="173">
        <f>IF($AA111=0,99,IF(O124&gt;3,CdTrp2!N77,CdTrp2!N53))</f>
        <v>1</v>
      </c>
      <c r="P111" s="173">
        <f>IF($AA111=0,99,IF(P124&gt;3,CdTrp2!O77,CdTrp2!O53))</f>
        <v>1</v>
      </c>
      <c r="Q111" s="173">
        <f>IF($AA111=0,99,IF(Q124&gt;3,CdTrp2!P77,CdTrp2!P53))</f>
        <v>1</v>
      </c>
      <c r="R111" s="173">
        <f>IF($AA111=0,99,IF(R124&gt;3,CdTrp2!Q77,CdTrp2!Q53))</f>
        <v>1</v>
      </c>
      <c r="S111" s="173">
        <f>IF($AA111=0,99,IF(S124&gt;3,CdTrp2!R77,CdTrp2!R53))</f>
        <v>1</v>
      </c>
      <c r="T111" s="173">
        <f>IF($AA111=0,99,IF(T124&gt;3,CdTrp2!S77,CdTrp2!S53))</f>
        <v>1</v>
      </c>
      <c r="U111" s="173">
        <f>IF($AA111=0,99,IF(U124&gt;3,CdTrp2!T77,CdTrp2!T53))</f>
        <v>1</v>
      </c>
      <c r="V111" s="173">
        <f>IF($AA111=0,99,IF(V124&gt;3,CdTrp2!U77,CdTrp2!U53))</f>
        <v>1</v>
      </c>
      <c r="W111" s="173">
        <f>IF($AA111=0,99,IF(W124&gt;3,CdTrp2!V77,CdTrp2!V53))</f>
        <v>1</v>
      </c>
      <c r="X111" s="173">
        <f>IF($AA111=0,99,IF(X124&gt;3,CdTrp2!W77,CdTrp2!W53))</f>
        <v>1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broutards</v>
      </c>
      <c r="C113" s="173">
        <f>IF($AA113=0,99,IF(C126&gt;3,CdTrp2!B79,CdTrp2!B55))</f>
        <v>1</v>
      </c>
      <c r="D113" s="173">
        <f>IF($AA113=0,99,IF(D126&gt;3,CdTrp2!C79,CdTrp2!C55))</f>
        <v>1</v>
      </c>
      <c r="E113" s="173">
        <f>IF($AA113=0,99,IF(E126&gt;3,CdTrp2!D79,CdTrp2!D55))</f>
        <v>1</v>
      </c>
      <c r="F113" s="173">
        <f>IF($AA113=0,99,IF(F126&gt;3,CdTrp2!E79,CdTrp2!E55))</f>
        <v>1</v>
      </c>
      <c r="G113" s="173">
        <f>IF($AA113=0,99,IF(G126&gt;3,CdTrp2!F79,CdTrp2!F55))</f>
        <v>1</v>
      </c>
      <c r="H113" s="173">
        <f>IF($AA113=0,99,IF(H126&gt;3,CdTrp2!G79,CdTrp2!G55))</f>
        <v>1</v>
      </c>
      <c r="I113" s="173">
        <f>IF($AA113=0,99,IF(I126&gt;3,CdTrp2!H79,CdTrp2!H55))</f>
        <v>1</v>
      </c>
      <c r="J113" s="173">
        <f>IF($AA113=0,99,IF(J126&gt;3,CdTrp2!I79,CdTrp2!I55))</f>
        <v>1</v>
      </c>
      <c r="K113" s="173">
        <f>IF($AA113=0,99,IF(K126&gt;3,CdTrp2!J79,CdTrp2!J55))</f>
        <v>1</v>
      </c>
      <c r="L113" s="173">
        <f>IF($AA113=0,99,IF(L126&gt;3,CdTrp2!K79,CdTrp2!K55))</f>
        <v>1</v>
      </c>
      <c r="M113" s="173">
        <f>IF($AA113=0,99,IF(M126&gt;3,CdTrp2!L79,CdTrp2!L55))</f>
        <v>1</v>
      </c>
      <c r="N113" s="173">
        <f>IF($AA113=0,99,IF(N126&gt;3,CdTrp2!M79,CdTrp2!M55))</f>
        <v>1</v>
      </c>
      <c r="O113" s="173">
        <f>IF($AA113=0,99,IF(O126&gt;3,CdTrp2!N79,CdTrp2!N55))</f>
        <v>1</v>
      </c>
      <c r="P113" s="173">
        <f>IF($AA113=0,99,IF(P126&gt;3,CdTrp2!O79,CdTrp2!O55))</f>
        <v>1</v>
      </c>
      <c r="Q113" s="173">
        <f>IF($AA113=0,99,IF(Q126&gt;3,CdTrp2!P79,CdTrp2!P55))</f>
        <v>1</v>
      </c>
      <c r="R113" s="173">
        <f>IF($AA113=0,99,IF(R126&gt;3,CdTrp2!Q79,CdTrp2!Q55))</f>
        <v>1</v>
      </c>
      <c r="S113" s="173">
        <f>IF($AA113=0,99,IF(S126&gt;3,CdTrp2!R79,CdTrp2!R55))</f>
        <v>1</v>
      </c>
      <c r="T113" s="173">
        <f>IF($AA113=0,99,IF(T126&gt;3,CdTrp2!S79,CdTrp2!S55))</f>
        <v>1</v>
      </c>
      <c r="U113" s="173">
        <f>IF($AA113=0,99,IF(U126&gt;3,CdTrp2!T79,CdTrp2!T55))</f>
        <v>1</v>
      </c>
      <c r="V113" s="173">
        <f>IF($AA113=0,99,IF(V126&gt;3,CdTrp2!U79,CdTrp2!U55))</f>
        <v>1</v>
      </c>
      <c r="W113" s="173">
        <f>IF($AA113=0,99,IF(W126&gt;3,CdTrp2!V79,CdTrp2!V55))</f>
        <v>1</v>
      </c>
      <c r="X113" s="173">
        <f>IF($AA113=0,99,IF(X126&gt;3,CdTrp2!W79,CdTrp2!W55))</f>
        <v>1</v>
      </c>
      <c r="Y113" s="173">
        <f>IF($AA113=0,99,IF(Y126&gt;3,CdTrp2!X79,CdTrp2!X55))</f>
        <v>1</v>
      </c>
      <c r="Z113" s="173">
        <f>IF($AA113=0,99,IF(Z126&gt;3,CdTrp2!Y79,CdTrp2!Y55))</f>
        <v>1</v>
      </c>
      <c r="AA113" s="182">
        <f>SUM(CdTrp2!B18:Y18)/24</f>
        <v>4.4716666666666667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3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broutards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4" activePane="bottomLeft" state="frozen"/>
      <selection activeCell="J83" sqref="J83"/>
      <selection pane="bottomLeft" activeCell="F73" sqref="F7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28</v>
      </c>
      <c r="R5" s="173">
        <f t="shared" si="0"/>
        <v>28</v>
      </c>
      <c r="S5" s="173">
        <f t="shared" si="0"/>
        <v>28</v>
      </c>
      <c r="T5" s="173">
        <f t="shared" si="0"/>
        <v>28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140.69999999999999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5.25</v>
      </c>
      <c r="M6" s="173">
        <f t="shared" si="2"/>
        <v>15.75</v>
      </c>
      <c r="N6" s="173">
        <f t="shared" si="2"/>
        <v>15.75</v>
      </c>
      <c r="O6" s="173">
        <f t="shared" si="2"/>
        <v>19.25</v>
      </c>
      <c r="P6" s="173">
        <f t="shared" si="2"/>
        <v>19.25</v>
      </c>
      <c r="Q6" s="173">
        <f t="shared" si="2"/>
        <v>10.5</v>
      </c>
      <c r="R6" s="173">
        <f t="shared" si="2"/>
        <v>10.5</v>
      </c>
      <c r="S6" s="173">
        <f t="shared" si="2"/>
        <v>10.5</v>
      </c>
      <c r="T6" s="173">
        <f t="shared" si="2"/>
        <v>10.5</v>
      </c>
      <c r="U6" s="173">
        <f t="shared" si="2"/>
        <v>8.75</v>
      </c>
      <c r="V6" s="173">
        <f t="shared" si="2"/>
        <v>8.75</v>
      </c>
      <c r="W6" s="173">
        <f t="shared" si="2"/>
        <v>10.5</v>
      </c>
      <c r="X6" s="173">
        <f t="shared" si="2"/>
        <v>10.5</v>
      </c>
      <c r="Y6" s="173">
        <f t="shared" si="2"/>
        <v>15.75</v>
      </c>
      <c r="Z6" s="173">
        <f t="shared" si="2"/>
        <v>15.75</v>
      </c>
      <c r="AA6" s="173">
        <f t="shared" si="2"/>
        <v>15.75</v>
      </c>
      <c r="AB6" s="173">
        <f t="shared" si="2"/>
        <v>15.75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broutards</v>
      </c>
      <c r="CA7" s="172"/>
      <c r="CB7" s="270">
        <f>CdTrp2!B18</f>
        <v>10.6</v>
      </c>
      <c r="CC7" s="270">
        <f>CdTrp2!C18</f>
        <v>10.6</v>
      </c>
      <c r="CD7" s="270">
        <f>CdTrp2!D18</f>
        <v>10.6</v>
      </c>
      <c r="CE7" s="270">
        <f>CdTrp2!E18</f>
        <v>10.6</v>
      </c>
      <c r="CF7" s="270">
        <f>CdTrp2!F18</f>
        <v>10.6</v>
      </c>
      <c r="CG7" s="270">
        <f>CdTrp2!G18</f>
        <v>5.04</v>
      </c>
      <c r="CH7" s="270">
        <f>CdTrp2!H18</f>
        <v>3.36</v>
      </c>
      <c r="CI7" s="270">
        <f>CdTrp2!I18</f>
        <v>1.68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1.68</v>
      </c>
      <c r="CU7" s="270">
        <f>CdTrp2!U18</f>
        <v>5.04</v>
      </c>
      <c r="CV7" s="270">
        <f>CdTrp2!V18</f>
        <v>6.72</v>
      </c>
      <c r="CW7" s="270">
        <f>CdTrp2!W18</f>
        <v>8.4</v>
      </c>
      <c r="CX7" s="270">
        <f>CdTrp2!X18</f>
        <v>10.6</v>
      </c>
      <c r="CY7" s="270">
        <f>CdTrp2!Y18</f>
        <v>11.8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1042.5398260869561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30.583913043478262</v>
      </c>
      <c r="S9" s="30">
        <f t="shared" si="4"/>
        <v>30.583913043478262</v>
      </c>
      <c r="T9" s="30">
        <f t="shared" si="4"/>
        <v>30.583913043478262</v>
      </c>
      <c r="U9" s="30">
        <f t="shared" si="4"/>
        <v>30.583913043478262</v>
      </c>
      <c r="V9" s="30">
        <f t="shared" si="4"/>
        <v>30.583913043478262</v>
      </c>
      <c r="W9" s="30">
        <f t="shared" si="4"/>
        <v>30.583913043478262</v>
      </c>
      <c r="X9" s="30">
        <f t="shared" si="4"/>
        <v>30.583913043478262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2859.039826086957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128.0366956521739</v>
      </c>
      <c r="L13" s="30">
        <f t="shared" si="8"/>
        <v>127.9904347826087</v>
      </c>
      <c r="M13" s="30">
        <f t="shared" si="8"/>
        <v>138.44417391304347</v>
      </c>
      <c r="N13" s="30">
        <f t="shared" si="8"/>
        <v>138.39791304347827</v>
      </c>
      <c r="O13" s="30">
        <f t="shared" si="8"/>
        <v>141.80539130434784</v>
      </c>
      <c r="P13" s="30">
        <f t="shared" si="8"/>
        <v>119.83391304347826</v>
      </c>
      <c r="Q13" s="30">
        <f t="shared" si="8"/>
        <v>111.08391304347826</v>
      </c>
      <c r="R13" s="30">
        <f t="shared" si="8"/>
        <v>111.08391304347826</v>
      </c>
      <c r="S13" s="30">
        <f t="shared" si="8"/>
        <v>111.08391304347826</v>
      </c>
      <c r="T13" s="30">
        <f t="shared" si="8"/>
        <v>111.08391304347826</v>
      </c>
      <c r="U13" s="30">
        <f t="shared" si="8"/>
        <v>109.33391304347826</v>
      </c>
      <c r="V13" s="30">
        <f t="shared" si="8"/>
        <v>109.33391304347826</v>
      </c>
      <c r="W13" s="30">
        <f t="shared" si="8"/>
        <v>111.08391304347826</v>
      </c>
      <c r="X13" s="30">
        <f t="shared" si="8"/>
        <v>111.08391304347826</v>
      </c>
      <c r="Y13" s="30">
        <f t="shared" si="8"/>
        <v>116.33391304347826</v>
      </c>
      <c r="Z13" s="30">
        <f t="shared" si="8"/>
        <v>136.91756521739131</v>
      </c>
      <c r="AA13" s="30">
        <f t="shared" si="8"/>
        <v>122.91756521739131</v>
      </c>
      <c r="AB13" s="30">
        <f t="shared" si="8"/>
        <v>124.81426086956522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broutards</v>
      </c>
      <c r="CB18" s="173">
        <f t="shared" si="11"/>
        <v>1</v>
      </c>
      <c r="CC18" s="173">
        <f t="shared" si="11"/>
        <v>1</v>
      </c>
      <c r="CD18" s="173">
        <f t="shared" si="11"/>
        <v>1</v>
      </c>
      <c r="CE18" s="173">
        <f t="shared" si="11"/>
        <v>1</v>
      </c>
      <c r="CF18" s="173">
        <f t="shared" si="11"/>
        <v>1</v>
      </c>
      <c r="CG18" s="173">
        <f t="shared" si="11"/>
        <v>1</v>
      </c>
      <c r="CH18" s="173">
        <f t="shared" si="11"/>
        <v>1</v>
      </c>
      <c r="CI18" s="173">
        <f t="shared" si="11"/>
        <v>1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1</v>
      </c>
      <c r="CU18" s="173">
        <f t="shared" si="11"/>
        <v>1</v>
      </c>
      <c r="CV18" s="173">
        <f t="shared" si="11"/>
        <v>1</v>
      </c>
      <c r="CW18" s="173">
        <f t="shared" si="11"/>
        <v>1</v>
      </c>
      <c r="CX18" s="173">
        <f t="shared" si="11"/>
        <v>1</v>
      </c>
      <c r="CY18" s="173">
        <f t="shared" si="11"/>
        <v>1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broutards</v>
      </c>
      <c r="CA29" s="192" t="str">
        <f>Scénario!K109</f>
        <v>fort</v>
      </c>
      <c r="CB29" s="173">
        <f t="shared" si="23"/>
        <v>2</v>
      </c>
      <c r="CC29" s="173">
        <f t="shared" si="20"/>
        <v>2</v>
      </c>
      <c r="CD29" s="173">
        <f t="shared" si="20"/>
        <v>2</v>
      </c>
      <c r="CE29" s="173">
        <f t="shared" si="20"/>
        <v>2</v>
      </c>
      <c r="CF29" s="173">
        <f t="shared" si="20"/>
        <v>2</v>
      </c>
      <c r="CG29" s="173">
        <f t="shared" si="20"/>
        <v>2</v>
      </c>
      <c r="CH29" s="173">
        <f t="shared" si="20"/>
        <v>2</v>
      </c>
      <c r="CI29" s="173">
        <f t="shared" si="20"/>
        <v>2</v>
      </c>
      <c r="CJ29" s="173">
        <f t="shared" si="20"/>
        <v>2</v>
      </c>
      <c r="CK29" s="173">
        <f t="shared" si="20"/>
        <v>2</v>
      </c>
      <c r="CL29" s="173">
        <f t="shared" si="20"/>
        <v>2</v>
      </c>
      <c r="CM29" s="173">
        <f t="shared" si="20"/>
        <v>2</v>
      </c>
      <c r="CN29" s="173">
        <f t="shared" si="20"/>
        <v>2</v>
      </c>
      <c r="CO29" s="173">
        <f t="shared" si="20"/>
        <v>2</v>
      </c>
      <c r="CP29" s="173">
        <f t="shared" si="20"/>
        <v>2</v>
      </c>
      <c r="CQ29" s="173">
        <f t="shared" si="20"/>
        <v>2</v>
      </c>
      <c r="CR29" s="173">
        <f t="shared" si="20"/>
        <v>2</v>
      </c>
      <c r="CS29" s="173">
        <f t="shared" si="20"/>
        <v>2</v>
      </c>
      <c r="CT29" s="173">
        <f t="shared" si="20"/>
        <v>2</v>
      </c>
      <c r="CU29" s="173">
        <f t="shared" si="20"/>
        <v>2</v>
      </c>
      <c r="CV29" s="173">
        <f t="shared" si="20"/>
        <v>2</v>
      </c>
      <c r="CW29" s="173">
        <f t="shared" si="20"/>
        <v>2</v>
      </c>
      <c r="CX29" s="173">
        <f t="shared" si="20"/>
        <v>2</v>
      </c>
      <c r="CY29" s="173">
        <f t="shared" si="20"/>
        <v>2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3</v>
      </c>
      <c r="CH38" s="173">
        <f>IF(CdTrp2!H53=1,3,IF(CdTrp2!H53=0.5,2,IF(CdTrp2!H53=0,1,0)))</f>
        <v>3</v>
      </c>
      <c r="CI38" s="173">
        <f>IF(CdTrp2!I53=1,3,IF(CdTrp2!I53=0.5,2,IF(CdTrp2!I53=0,1,0)))</f>
        <v>3</v>
      </c>
      <c r="CJ38" s="173">
        <f>IF(CdTrp2!J53=1,3,IF(CdTrp2!J53=0.5,2,IF(CdTrp2!J53=0,1,0)))</f>
        <v>3</v>
      </c>
      <c r="CK38" s="173">
        <f>IF(CdTrp2!K53=1,3,IF(CdTrp2!K53=0.5,2,IF(CdTrp2!K53=0,1,0)))</f>
        <v>3</v>
      </c>
      <c r="CL38" s="173">
        <f>IF(CdTrp2!L53=1,3,IF(CdTrp2!L53=0.5,2,IF(CdTrp2!L53=0,1,0)))</f>
        <v>3</v>
      </c>
      <c r="CM38" s="173">
        <f>IF(CdTrp2!M53=1,3,IF(CdTrp2!M53=0.5,2,IF(CdTrp2!M53=0,1,0)))</f>
        <v>3</v>
      </c>
      <c r="CN38" s="173">
        <f>IF(CdTrp2!N53=1,3,IF(CdTrp2!N53=0.5,2,IF(CdTrp2!N53=0,1,0)))</f>
        <v>3</v>
      </c>
      <c r="CO38" s="173">
        <f>IF(CdTrp2!O53=1,3,IF(CdTrp2!O53=0.5,2,IF(CdTrp2!O53=0,1,0)))</f>
        <v>3</v>
      </c>
      <c r="CP38" s="173">
        <f>IF(CdTrp2!P53=1,3,IF(CdTrp2!P53=0.5,2,IF(CdTrp2!P53=0,1,0)))</f>
        <v>3</v>
      </c>
      <c r="CQ38" s="173">
        <f>IF(CdTrp2!Q53=1,3,IF(CdTrp2!Q53=0.5,2,IF(CdTrp2!Q53=0,1,0)))</f>
        <v>3</v>
      </c>
      <c r="CR38" s="173">
        <f>IF(CdTrp2!R53=1,3,IF(CdTrp2!R53=0.5,2,IF(CdTrp2!R53=0,1,0)))</f>
        <v>3</v>
      </c>
      <c r="CS38" s="173">
        <f>IF(CdTrp2!S53=1,3,IF(CdTrp2!S53=0.5,2,IF(CdTrp2!S53=0,1,0)))</f>
        <v>3</v>
      </c>
      <c r="CT38" s="173">
        <f>IF(CdTrp2!T53=1,3,IF(CdTrp2!T53=0.5,2,IF(CdTrp2!T53=0,1,0)))</f>
        <v>3</v>
      </c>
      <c r="CU38" s="173">
        <f>IF(CdTrp2!U53=1,3,IF(CdTrp2!U53=0.5,2,IF(CdTrp2!U53=0,1,0)))</f>
        <v>3</v>
      </c>
      <c r="CV38" s="173">
        <f>IF(CdTrp2!V53=1,3,IF(CdTrp2!V53=0.5,2,IF(CdTrp2!V53=0,1,0)))</f>
        <v>3</v>
      </c>
      <c r="CW38" s="173">
        <f>IF(CdTrp2!W53=1,3,IF(CdTrp2!W53=0.5,2,IF(CdTrp2!W53=0,1,0)))</f>
        <v>3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broutards</v>
      </c>
      <c r="CA40" s="32"/>
      <c r="CB40" s="173">
        <f>IF(CdTrp2!B55=1,3,IF(CdTrp2!B55=0.5,2,IF(CdTrp2!B55=0,1,0)))</f>
        <v>3</v>
      </c>
      <c r="CC40" s="173">
        <f>IF(CdTrp2!C55=1,3,IF(CdTrp2!C55=0.5,2,IF(CdTrp2!C55=0,1,0)))</f>
        <v>3</v>
      </c>
      <c r="CD40" s="173">
        <f>IF(CdTrp2!D55=1,3,IF(CdTrp2!D55=0.5,2,IF(CdTrp2!D55=0,1,0)))</f>
        <v>3</v>
      </c>
      <c r="CE40" s="173">
        <f>IF(CdTrp2!E55=1,3,IF(CdTrp2!E55=0.5,2,IF(CdTrp2!E55=0,1,0)))</f>
        <v>3</v>
      </c>
      <c r="CF40" s="173">
        <f>IF(CdTrp2!F55=1,3,IF(CdTrp2!F55=0.5,2,IF(CdTrp2!F55=0,1,0)))</f>
        <v>3</v>
      </c>
      <c r="CG40" s="173">
        <f>IF(CdTrp2!G55=1,3,IF(CdTrp2!G55=0.5,2,IF(CdTrp2!G55=0,1,0)))</f>
        <v>3</v>
      </c>
      <c r="CH40" s="173">
        <f>IF(CdTrp2!H55=1,3,IF(CdTrp2!H55=0.5,2,IF(CdTrp2!H55=0,1,0)))</f>
        <v>3</v>
      </c>
      <c r="CI40" s="173">
        <f>IF(CdTrp2!I55=1,3,IF(CdTrp2!I55=0.5,2,IF(CdTrp2!I55=0,1,0)))</f>
        <v>3</v>
      </c>
      <c r="CJ40" s="173">
        <f>IF(CdTrp2!J55=1,3,IF(CdTrp2!J55=0.5,2,IF(CdTrp2!J55=0,1,0)))</f>
        <v>3</v>
      </c>
      <c r="CK40" s="173">
        <f>IF(CdTrp2!K55=1,3,IF(CdTrp2!K55=0.5,2,IF(CdTrp2!K55=0,1,0)))</f>
        <v>3</v>
      </c>
      <c r="CL40" s="173">
        <f>IF(CdTrp2!L55=1,3,IF(CdTrp2!L55=0.5,2,IF(CdTrp2!L55=0,1,0)))</f>
        <v>3</v>
      </c>
      <c r="CM40" s="173">
        <f>IF(CdTrp2!M55=1,3,IF(CdTrp2!M55=0.5,2,IF(CdTrp2!M55=0,1,0)))</f>
        <v>3</v>
      </c>
      <c r="CN40" s="173">
        <f>IF(CdTrp2!N55=1,3,IF(CdTrp2!N55=0.5,2,IF(CdTrp2!N55=0,1,0)))</f>
        <v>3</v>
      </c>
      <c r="CO40" s="173">
        <f>IF(CdTrp2!O55=1,3,IF(CdTrp2!O55=0.5,2,IF(CdTrp2!O55=0,1,0)))</f>
        <v>3</v>
      </c>
      <c r="CP40" s="173">
        <f>IF(CdTrp2!P55=1,3,IF(CdTrp2!P55=0.5,2,IF(CdTrp2!P55=0,1,0)))</f>
        <v>3</v>
      </c>
      <c r="CQ40" s="173">
        <f>IF(CdTrp2!Q55=1,3,IF(CdTrp2!Q55=0.5,2,IF(CdTrp2!Q55=0,1,0)))</f>
        <v>3</v>
      </c>
      <c r="CR40" s="173">
        <f>IF(CdTrp2!R55=1,3,IF(CdTrp2!R55=0.5,2,IF(CdTrp2!R55=0,1,0)))</f>
        <v>3</v>
      </c>
      <c r="CS40" s="173">
        <f>IF(CdTrp2!S55=1,3,IF(CdTrp2!S55=0.5,2,IF(CdTrp2!S55=0,1,0)))</f>
        <v>3</v>
      </c>
      <c r="CT40" s="173">
        <f>IF(CdTrp2!T55=1,3,IF(CdTrp2!T55=0.5,2,IF(CdTrp2!T55=0,1,0)))</f>
        <v>3</v>
      </c>
      <c r="CU40" s="173">
        <f>IF(CdTrp2!U55=1,3,IF(CdTrp2!U55=0.5,2,IF(CdTrp2!U55=0,1,0)))</f>
        <v>3</v>
      </c>
      <c r="CV40" s="173">
        <f>IF(CdTrp2!V55=1,3,IF(CdTrp2!V55=0.5,2,IF(CdTrp2!V55=0,1,0)))</f>
        <v>3</v>
      </c>
      <c r="CW40" s="173">
        <f>IF(CdTrp2!W55=1,3,IF(CdTrp2!W55=0.5,2,IF(CdTrp2!W55=0,1,0)))</f>
        <v>3</v>
      </c>
      <c r="CX40" s="173">
        <f>IF(CdTrp2!X55=1,3,IF(CdTrp2!X55=0.5,2,IF(CdTrp2!X55=0,1,0)))</f>
        <v>3</v>
      </c>
      <c r="CY40" s="173">
        <f>IF(CdTrp2!Y55=1,3,IF(CdTrp2!Y55=0.5,2,IF(CdTrp2!Y55=0,1,0)))</f>
        <v>3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2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broutards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15.3</v>
      </c>
      <c r="C55" s="190">
        <f>IF(B55&gt;[1]Trav!E121,[1]Trav!C121,[1]Trav!B121)</f>
        <v>7.2</v>
      </c>
      <c r="D55"/>
      <c r="E55" s="172"/>
      <c r="F55" s="173">
        <f t="shared" si="32"/>
        <v>110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11.6</v>
      </c>
      <c r="C56" s="190">
        <f>IF(B56&gt;[1]Trav!E121,[1]Trav!C121,[1]Trav!B121)</f>
        <v>7.2</v>
      </c>
      <c r="D56"/>
      <c r="E56" s="172"/>
      <c r="F56" s="173">
        <f t="shared" si="32"/>
        <v>84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1.6999999999999993</v>
      </c>
      <c r="C58" s="190">
        <f>IF(B58&gt;[1]Trav!E122,[1]Trav!C122,[1]Trav!B122)</f>
        <v>4.4000000000000004</v>
      </c>
      <c r="E58" s="172"/>
      <c r="F58" s="173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212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221</v>
      </c>
      <c r="BA61" s="173">
        <f>IF(BA16=0,0,IF(BA38=3,0,VALUE(CONCATENATE(Travail!BA27,Travail!BA38,Travail!BA49))))</f>
        <v>221</v>
      </c>
      <c r="BB61" s="173">
        <f>IF(BB16=0,0,IF(BB38=3,0,VALUE(CONCATENATE(Travail!BB27,Travail!BB38,Travail!BB49))))</f>
        <v>221</v>
      </c>
      <c r="BC61" s="173">
        <f>IF(BC16=0,0,IF(BC38=3,0,VALUE(CONCATENATE(Travail!BC27,Travail!BC38,Travail!BC49))))</f>
        <v>221</v>
      </c>
      <c r="BD61" s="173">
        <f>IF(BD16=0,0,IF(BD38=3,0,VALUE(CONCATENATE(Travail!BD27,Travail!BD38,Travail!BD49))))</f>
        <v>221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221</v>
      </c>
      <c r="BP61" s="173">
        <f>IF(BP16=0,0,IF(BP38=3,0,VALUE(CONCATENATE(Travail!BP27,Travail!BP38,Travail!BP49))))</f>
        <v>221</v>
      </c>
      <c r="BQ61" s="173">
        <f>IF(BQ16=0,0,IF(BQ38=3,0,VALUE(CONCATENATE(Travail!BQ27,Travail!BQ38,Travail!BQ49))))</f>
        <v>221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broutards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23</v>
      </c>
      <c r="CH72" s="173">
        <f t="shared" si="37"/>
        <v>23</v>
      </c>
      <c r="CI72" s="173">
        <f t="shared" si="37"/>
        <v>23</v>
      </c>
      <c r="CJ72" s="173">
        <f t="shared" si="37"/>
        <v>23</v>
      </c>
      <c r="CK72" s="173">
        <f t="shared" si="37"/>
        <v>23</v>
      </c>
      <c r="CL72" s="173">
        <f t="shared" si="37"/>
        <v>23</v>
      </c>
      <c r="CM72" s="173">
        <f t="shared" si="37"/>
        <v>23</v>
      </c>
      <c r="CN72" s="173">
        <f t="shared" si="37"/>
        <v>23</v>
      </c>
      <c r="CO72" s="173">
        <f t="shared" si="37"/>
        <v>23</v>
      </c>
      <c r="CP72" s="173">
        <f t="shared" si="37"/>
        <v>23</v>
      </c>
      <c r="CQ72" s="173">
        <f t="shared" si="37"/>
        <v>23</v>
      </c>
      <c r="CR72" s="173">
        <f t="shared" si="37"/>
        <v>23</v>
      </c>
      <c r="CS72" s="173">
        <f t="shared" si="37"/>
        <v>23</v>
      </c>
      <c r="CT72" s="173">
        <f t="shared" si="37"/>
        <v>23</v>
      </c>
      <c r="CU72" s="173">
        <f t="shared" si="37"/>
        <v>23</v>
      </c>
      <c r="CV72" s="173">
        <f t="shared" si="37"/>
        <v>23</v>
      </c>
      <c r="CW72" s="173">
        <f t="shared" si="37"/>
        <v>23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5</v>
      </c>
      <c r="J73" s="173">
        <f>IF(AND(Troupeau!$C$3="BV",Scénario!$K$87&gt;2),Protection!F25*([1]Protect!$B$22+[1]Protect!$B$23),0)</f>
        <v>5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10</v>
      </c>
      <c r="M73" s="173">
        <f>IF(AND(Troupeau!$C$3="BV",Scénario!$K$87&gt;2),Protection!I25*([1]Protect!$B$22+[1]Protect!$B$23),0)</f>
        <v>15</v>
      </c>
      <c r="N73" s="173">
        <f>IF(AND(Troupeau!$C$3="BV",Scénario!$K$87&gt;2),Protection!J25*([1]Protect!$B$22+[1]Protect!$B$23),0)</f>
        <v>15</v>
      </c>
      <c r="O73" s="173">
        <f>IF(AND(Troupeau!$C$3="BV",Scénario!$K$87&gt;2),Protection!K25*([1]Protect!$B$22+[1]Protect!$B$23),0)</f>
        <v>10</v>
      </c>
      <c r="P73" s="173">
        <f>IF(AND(Troupeau!$C$3="BV",Scénario!$K$87&gt;2),Protection!L25*([1]Protect!$B$22+[1]Protect!$B$23),0)</f>
        <v>15</v>
      </c>
      <c r="Q73" s="173">
        <f>IF(AND(Troupeau!$C$3="BV",Scénario!$K$87&gt;2),Protection!M25*([1]Protect!$B$22+[1]Protect!$B$23),0)</f>
        <v>15</v>
      </c>
      <c r="R73" s="173">
        <f>IF(AND(Troupeau!$C$3="BV",Scénario!$K$87&gt;2),Protection!N25*([1]Protect!$B$22+[1]Protect!$B$23),0)</f>
        <v>15</v>
      </c>
      <c r="S73" s="173">
        <f>IF(AND(Troupeau!$C$3="BV",Scénario!$K$87&gt;2),Protection!O25*([1]Protect!$B$22+[1]Protect!$B$23),0)</f>
        <v>10</v>
      </c>
      <c r="T73" s="173">
        <f>IF(AND(Troupeau!$C$3="BV",Scénario!$K$87&gt;2),Protection!P25*([1]Protect!$B$22+[1]Protect!$B$23),0)</f>
        <v>15</v>
      </c>
      <c r="U73" s="173">
        <f>IF(AND(Troupeau!$C$3="BV",Scénario!$K$87&gt;2),Protection!Q25*([1]Protect!$B$22+[1]Protect!$B$23),0)</f>
        <v>15</v>
      </c>
      <c r="V73" s="173">
        <f>IF(AND(Troupeau!$C$3="BV",Scénario!$K$87&gt;2),Protection!R25*([1]Protect!$B$22+[1]Protect!$B$23),0)</f>
        <v>15</v>
      </c>
      <c r="W73" s="173">
        <f>IF(AND(Troupeau!$C$3="BV",Scénario!$K$87&gt;2),Protection!S25*([1]Protect!$B$22+[1]Protect!$B$23),0)</f>
        <v>15</v>
      </c>
      <c r="X73" s="173">
        <f>IF(AND(Troupeau!$C$3="BV",Scénario!$K$87&gt;2),Protection!T25*([1]Protect!$B$22+[1]Protect!$B$23),0)</f>
        <v>15</v>
      </c>
      <c r="Y73" s="173">
        <f>IF(AND(Troupeau!$C$3="BV",Scénario!$K$87&gt;2),Protection!U25*([1]Protect!$B$22+[1]Protect!$B$23),0)</f>
        <v>15</v>
      </c>
      <c r="Z73" s="173">
        <f>IF(AND(Troupeau!$C$3="BV",Scénario!$K$87&gt;2),Protection!V25*([1]Protect!$B$22+[1]Protect!$B$23),0)</f>
        <v>10</v>
      </c>
      <c r="AA73" s="173">
        <f>IF(AND(Troupeau!$C$3="BV",Scénario!$K$87&gt;2),Protection!W25*([1]Protect!$B$22+[1]Protect!$B$23),0)</f>
        <v>15</v>
      </c>
      <c r="AB73" s="173">
        <f>IF(AND(Troupeau!$C$3="BV",Scénario!$K$87&gt;2),Protection!X25*([1]Protect!$B$22+[1]Protect!$B$23),0)</f>
        <v>15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broutards</v>
      </c>
      <c r="CB74" s="173">
        <f t="shared" si="37"/>
        <v>23</v>
      </c>
      <c r="CC74" s="173">
        <f t="shared" si="37"/>
        <v>23</v>
      </c>
      <c r="CD74" s="173">
        <f t="shared" si="37"/>
        <v>23</v>
      </c>
      <c r="CE74" s="173">
        <f t="shared" si="37"/>
        <v>23</v>
      </c>
      <c r="CF74" s="173">
        <f t="shared" si="37"/>
        <v>23</v>
      </c>
      <c r="CG74" s="173">
        <f t="shared" si="37"/>
        <v>23</v>
      </c>
      <c r="CH74" s="173">
        <f t="shared" si="37"/>
        <v>23</v>
      </c>
      <c r="CI74" s="173">
        <f t="shared" si="37"/>
        <v>23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23</v>
      </c>
      <c r="CU74" s="173">
        <f t="shared" si="37"/>
        <v>23</v>
      </c>
      <c r="CV74" s="173">
        <f t="shared" si="37"/>
        <v>23</v>
      </c>
      <c r="CW74" s="173">
        <f t="shared" si="37"/>
        <v>23</v>
      </c>
      <c r="CX74" s="173">
        <f t="shared" si="37"/>
        <v>23</v>
      </c>
      <c r="CY74" s="173">
        <f t="shared" si="37"/>
        <v>23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534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13.5</v>
      </c>
      <c r="J77" s="46">
        <f t="shared" si="43"/>
        <v>18.5</v>
      </c>
      <c r="K77" s="46">
        <f t="shared" si="43"/>
        <v>13.5</v>
      </c>
      <c r="L77" s="46">
        <f t="shared" si="43"/>
        <v>23.5</v>
      </c>
      <c r="M77" s="46">
        <f t="shared" si="43"/>
        <v>28.5</v>
      </c>
      <c r="N77" s="46">
        <f t="shared" si="43"/>
        <v>28.5</v>
      </c>
      <c r="O77" s="46">
        <f t="shared" si="43"/>
        <v>23.5</v>
      </c>
      <c r="P77" s="46">
        <f t="shared" si="43"/>
        <v>28.5</v>
      </c>
      <c r="Q77" s="46">
        <f t="shared" si="43"/>
        <v>28.5</v>
      </c>
      <c r="R77" s="46">
        <f t="shared" si="43"/>
        <v>28.5</v>
      </c>
      <c r="S77" s="46">
        <f t="shared" si="43"/>
        <v>23.5</v>
      </c>
      <c r="T77" s="46">
        <f t="shared" si="43"/>
        <v>28.5</v>
      </c>
      <c r="U77" s="46">
        <f t="shared" si="43"/>
        <v>28.5</v>
      </c>
      <c r="V77" s="46">
        <f t="shared" si="43"/>
        <v>28.5</v>
      </c>
      <c r="W77" s="46">
        <f t="shared" si="43"/>
        <v>28.5</v>
      </c>
      <c r="X77" s="46">
        <f t="shared" si="43"/>
        <v>28.5</v>
      </c>
      <c r="Y77" s="46">
        <f t="shared" si="43"/>
        <v>28.5</v>
      </c>
      <c r="Z77" s="46">
        <f t="shared" si="43"/>
        <v>23.5</v>
      </c>
      <c r="AA77" s="46">
        <f t="shared" si="43"/>
        <v>23.5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2</v>
      </c>
      <c r="CC81" s="173">
        <f>COUNTIF(CC$71:CC$80,23)</f>
        <v>2</v>
      </c>
      <c r="CD81" s="173">
        <f t="shared" ref="CD81:CY81" si="45">COUNTIF(CD$71:CD$80,23)</f>
        <v>2</v>
      </c>
      <c r="CE81" s="173">
        <f t="shared" si="45"/>
        <v>2</v>
      </c>
      <c r="CF81" s="173">
        <f t="shared" si="45"/>
        <v>2</v>
      </c>
      <c r="CG81" s="173">
        <f t="shared" si="45"/>
        <v>3</v>
      </c>
      <c r="CH81" s="173">
        <f t="shared" si="45"/>
        <v>2</v>
      </c>
      <c r="CI81" s="173">
        <f t="shared" si="45"/>
        <v>2</v>
      </c>
      <c r="CJ81" s="173">
        <f t="shared" si="45"/>
        <v>1</v>
      </c>
      <c r="CK81" s="173">
        <f t="shared" si="45"/>
        <v>1</v>
      </c>
      <c r="CL81" s="173">
        <f t="shared" si="45"/>
        <v>1</v>
      </c>
      <c r="CM81" s="173">
        <f t="shared" si="45"/>
        <v>1</v>
      </c>
      <c r="CN81" s="173">
        <f t="shared" si="45"/>
        <v>1</v>
      </c>
      <c r="CO81" s="173">
        <f t="shared" si="45"/>
        <v>1</v>
      </c>
      <c r="CP81" s="173">
        <f t="shared" si="45"/>
        <v>1</v>
      </c>
      <c r="CQ81" s="173">
        <f t="shared" si="45"/>
        <v>1</v>
      </c>
      <c r="CR81" s="173">
        <f t="shared" si="45"/>
        <v>1</v>
      </c>
      <c r="CS81" s="173">
        <f t="shared" si="45"/>
        <v>1</v>
      </c>
      <c r="CT81" s="173">
        <f t="shared" si="45"/>
        <v>2</v>
      </c>
      <c r="CU81" s="173">
        <f t="shared" si="45"/>
        <v>2</v>
      </c>
      <c r="CV81" s="173">
        <f t="shared" si="45"/>
        <v>2</v>
      </c>
      <c r="CW81" s="173">
        <f t="shared" si="45"/>
        <v>2</v>
      </c>
      <c r="CX81" s="173">
        <f t="shared" si="45"/>
        <v>2</v>
      </c>
      <c r="CY81" s="173">
        <f t="shared" si="45"/>
        <v>2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4.3170000000000002</v>
      </c>
      <c r="C83" s="190">
        <f>[1]Protect!$B$24+[1]Protect!$B$26</f>
        <v>0.33</v>
      </c>
      <c r="D83" s="172"/>
      <c r="E83" s="172"/>
      <c r="F83" s="173">
        <f>ROUND(B83*C83,1)</f>
        <v>1.4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2</v>
      </c>
      <c r="BH83" s="173">
        <f t="shared" si="50"/>
        <v>2</v>
      </c>
      <c r="BI83" s="173">
        <f t="shared" si="50"/>
        <v>2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1</v>
      </c>
      <c r="CW83" s="173">
        <f t="shared" si="51"/>
        <v>1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3.5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255.09565217391304</v>
      </c>
      <c r="BH90" s="173">
        <f t="shared" si="60"/>
        <v>255.09565217391304</v>
      </c>
      <c r="BI90" s="173">
        <f t="shared" si="60"/>
        <v>255.09565217391304</v>
      </c>
      <c r="BJ90" s="173">
        <f t="shared" si="60"/>
        <v>255.09565217391304</v>
      </c>
      <c r="BK90" s="173">
        <f t="shared" si="60"/>
        <v>255.09565217391304</v>
      </c>
      <c r="BL90" s="173">
        <f t="shared" si="60"/>
        <v>255.09565217391304</v>
      </c>
      <c r="BM90" s="173">
        <f t="shared" si="60"/>
        <v>255.09565217391304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1616.5398260869561</v>
      </c>
      <c r="C91" s="5"/>
      <c r="D91" s="202">
        <f>B91/Troupeau!$B$17</f>
        <v>5.3175652173913024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1.52</v>
      </c>
      <c r="CH91" s="173">
        <f t="shared" si="62"/>
        <v>3.04</v>
      </c>
      <c r="CI91" s="173">
        <f t="shared" si="62"/>
        <v>4.5599999999999996</v>
      </c>
      <c r="CJ91" s="173">
        <f t="shared" si="62"/>
        <v>4.5599999999999996</v>
      </c>
      <c r="CK91" s="173">
        <f t="shared" si="62"/>
        <v>4.5599999999999996</v>
      </c>
      <c r="CL91" s="173">
        <f t="shared" si="62"/>
        <v>4.5599999999999996</v>
      </c>
      <c r="CM91" s="173">
        <f t="shared" si="62"/>
        <v>4.5599999999999996</v>
      </c>
      <c r="CN91" s="173">
        <f t="shared" si="62"/>
        <v>4.5599999999999996</v>
      </c>
      <c r="CO91" s="173">
        <f t="shared" si="62"/>
        <v>4.5599999999999996</v>
      </c>
      <c r="CP91" s="173">
        <f t="shared" si="62"/>
        <v>4.5599999999999996</v>
      </c>
      <c r="CQ91" s="173">
        <f t="shared" si="62"/>
        <v>4.5599999999999996</v>
      </c>
      <c r="CR91" s="173">
        <f t="shared" si="62"/>
        <v>4.5599999999999996</v>
      </c>
      <c r="CS91" s="173">
        <f t="shared" si="62"/>
        <v>4.5599999999999996</v>
      </c>
      <c r="CT91" s="173">
        <f t="shared" si="62"/>
        <v>3.8</v>
      </c>
      <c r="CU91" s="173">
        <f t="shared" si="62"/>
        <v>3.8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1148.7</v>
      </c>
      <c r="C92" s="5"/>
      <c r="D92" s="202">
        <f>IF(B92=0,0,B92/Troupeau!$C$17)</f>
        <v>60.457894736842107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broutards</v>
      </c>
      <c r="CB93" s="173">
        <f t="shared" si="62"/>
        <v>10.6</v>
      </c>
      <c r="CC93" s="173">
        <f t="shared" si="62"/>
        <v>10.6</v>
      </c>
      <c r="CD93" s="173">
        <f t="shared" si="62"/>
        <v>10.6</v>
      </c>
      <c r="CE93" s="173">
        <f t="shared" si="62"/>
        <v>10.6</v>
      </c>
      <c r="CF93" s="173">
        <f t="shared" si="62"/>
        <v>10.6</v>
      </c>
      <c r="CG93" s="173">
        <f t="shared" si="62"/>
        <v>5.04</v>
      </c>
      <c r="CH93" s="173">
        <f t="shared" si="62"/>
        <v>3.36</v>
      </c>
      <c r="CI93" s="173">
        <f t="shared" si="62"/>
        <v>1.68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1.68</v>
      </c>
      <c r="CU93" s="173">
        <f t="shared" si="62"/>
        <v>5.04</v>
      </c>
      <c r="CV93" s="173">
        <f t="shared" si="62"/>
        <v>6.72</v>
      </c>
      <c r="CW93" s="173">
        <f t="shared" si="62"/>
        <v>8.4</v>
      </c>
      <c r="CX93" s="173">
        <f t="shared" si="62"/>
        <v>10.6</v>
      </c>
      <c r="CY93" s="173">
        <f t="shared" si="62"/>
        <v>11.8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2765.2398260869559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323.82608695652175</v>
      </c>
      <c r="BH99" s="62">
        <f t="shared" si="68"/>
        <v>323.82608695652175</v>
      </c>
      <c r="BI99" s="62">
        <f t="shared" si="68"/>
        <v>323.82608695652175</v>
      </c>
      <c r="BJ99" s="62">
        <f t="shared" si="68"/>
        <v>323.82608695652175</v>
      </c>
      <c r="BK99" s="62">
        <f t="shared" si="68"/>
        <v>323.82608695652175</v>
      </c>
      <c r="BL99" s="62">
        <f t="shared" si="68"/>
        <v>323.82608695652175</v>
      </c>
      <c r="BM99" s="62">
        <f t="shared" si="68"/>
        <v>323.82608695652175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6.4765217391304351</v>
      </c>
      <c r="BH100" s="173">
        <f t="shared" si="71"/>
        <v>6.4765217391304351</v>
      </c>
      <c r="BI100" s="173">
        <f t="shared" si="71"/>
        <v>6.4765217391304351</v>
      </c>
      <c r="BJ100" s="173">
        <f t="shared" si="71"/>
        <v>6.4765217391304351</v>
      </c>
      <c r="BK100" s="173">
        <f t="shared" si="71"/>
        <v>6.4765217391304351</v>
      </c>
      <c r="BL100" s="173">
        <f t="shared" si="71"/>
        <v>6.4765217391304351</v>
      </c>
      <c r="BM100" s="173">
        <f t="shared" si="71"/>
        <v>6.4765217391304351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5.4765217391304351</v>
      </c>
      <c r="BH101" s="173">
        <f t="shared" si="74"/>
        <v>5.4765217391304351</v>
      </c>
      <c r="BI101" s="173">
        <f t="shared" si="74"/>
        <v>5.4765217391304351</v>
      </c>
      <c r="BJ101" s="173">
        <f t="shared" si="74"/>
        <v>5.4765217391304351</v>
      </c>
      <c r="BK101" s="173">
        <f t="shared" si="74"/>
        <v>5.4765217391304351</v>
      </c>
      <c r="BL101" s="173">
        <f t="shared" si="74"/>
        <v>5.4765217391304351</v>
      </c>
      <c r="BM101" s="173">
        <f t="shared" si="74"/>
        <v>5.4765217391304351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30.583913043478262</v>
      </c>
      <c r="BH102" s="62">
        <f t="shared" si="77"/>
        <v>30.583913043478262</v>
      </c>
      <c r="BI102" s="62">
        <f t="shared" si="77"/>
        <v>30.583913043478262</v>
      </c>
      <c r="BJ102" s="62">
        <f t="shared" si="77"/>
        <v>30.583913043478262</v>
      </c>
      <c r="BK102" s="62">
        <f t="shared" si="77"/>
        <v>30.583913043478262</v>
      </c>
      <c r="BL102" s="62">
        <f t="shared" si="77"/>
        <v>30.583913043478262</v>
      </c>
      <c r="BM102" s="62">
        <f t="shared" si="77"/>
        <v>30.583913043478262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5.25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14</v>
      </c>
      <c r="BP107" s="190">
        <f>IF(BP61&gt;0,HLOOKUP(BP61,[1]Trav!$C$11:$O$31,$AU$105),0)</f>
        <v>14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257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broutards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4.9000000000000004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28</v>
      </c>
      <c r="BG117" s="173">
        <f t="shared" si="83"/>
        <v>28</v>
      </c>
      <c r="BH117" s="173">
        <f t="shared" si="83"/>
        <v>28</v>
      </c>
      <c r="BI117" s="173">
        <f t="shared" si="83"/>
        <v>28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5.25</v>
      </c>
      <c r="CH117" s="173">
        <f t="shared" si="84"/>
        <v>15.75</v>
      </c>
      <c r="CI117" s="173">
        <f t="shared" si="84"/>
        <v>15.75</v>
      </c>
      <c r="CJ117" s="173">
        <f t="shared" si="84"/>
        <v>19.25</v>
      </c>
      <c r="CK117" s="173">
        <f t="shared" si="84"/>
        <v>19.25</v>
      </c>
      <c r="CL117" s="173">
        <f t="shared" si="84"/>
        <v>10.5</v>
      </c>
      <c r="CM117" s="173">
        <f t="shared" si="84"/>
        <v>10.5</v>
      </c>
      <c r="CN117" s="173">
        <f t="shared" si="84"/>
        <v>10.5</v>
      </c>
      <c r="CO117" s="173">
        <f t="shared" si="84"/>
        <v>10.5</v>
      </c>
      <c r="CP117" s="173">
        <f t="shared" si="84"/>
        <v>8.75</v>
      </c>
      <c r="CQ117" s="173">
        <f t="shared" si="84"/>
        <v>8.75</v>
      </c>
      <c r="CR117" s="173">
        <f t="shared" si="84"/>
        <v>10.5</v>
      </c>
      <c r="CS117" s="173">
        <f t="shared" si="84"/>
        <v>10.5</v>
      </c>
      <c r="CT117" s="173">
        <f t="shared" si="84"/>
        <v>15.75</v>
      </c>
      <c r="CU117" s="173">
        <f t="shared" si="84"/>
        <v>15.75</v>
      </c>
      <c r="CV117" s="173">
        <f t="shared" si="84"/>
        <v>15.75</v>
      </c>
      <c r="CW117" s="173">
        <f t="shared" si="84"/>
        <v>15.75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3007.889826086956</v>
      </c>
      <c r="D118" s="202">
        <f>B118/Troupeau!$B$17</f>
        <v>9.8943744279176187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1238.7</v>
      </c>
      <c r="D119" s="202">
        <f>IF(B119=0,0,B119/Troupeau!$C$17)</f>
        <v>65.194736842105272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4246.5898260869562</v>
      </c>
    </row>
    <row r="123" spans="1:132" x14ac:dyDescent="0.25">
      <c r="A123" s="2" t="s">
        <v>856</v>
      </c>
      <c r="B123" s="30">
        <f>B108</f>
        <v>257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22.9</v>
      </c>
    </row>
    <row r="128" spans="1:132" x14ac:dyDescent="0.25">
      <c r="A128" s="2" t="s">
        <v>873</v>
      </c>
      <c r="B128" s="201">
        <f>SUM(B122:B126)</f>
        <v>5331.4898260869559</v>
      </c>
    </row>
    <row r="129" spans="1:2" x14ac:dyDescent="0.25">
      <c r="A129" s="2" t="s">
        <v>874</v>
      </c>
      <c r="B129" s="30">
        <f>IF(Scénario!K129=1,Travail!F77+Travail!F86,F86)</f>
        <v>534</v>
      </c>
    </row>
    <row r="130" spans="1:2" x14ac:dyDescent="0.25">
      <c r="A130" s="2" t="s">
        <v>875</v>
      </c>
      <c r="B130" s="201">
        <f>ROUND((B128-B129)/(Scénario!K4+Scénario!K6),0)</f>
        <v>3198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1.94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35.659999999999997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7380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35.659999999999997</v>
      </c>
      <c r="AA39" s="14" t="s">
        <v>979</v>
      </c>
      <c r="AB39" s="173">
        <f>IF(Z39&gt;50,25,IF(Z39&gt;25,Z39-25,0))</f>
        <v>10.659999999999997</v>
      </c>
      <c r="AC39" s="173">
        <f>AC40+0.66*AC36</f>
        <v>240.28</v>
      </c>
      <c r="AD39" s="173">
        <f t="shared" ref="AD39:AD40" si="21">AB39*AC39</f>
        <v>2561.3847999999994</v>
      </c>
      <c r="AE39" s="282">
        <f>IF($AJ$40=0,AB39*$AC$40,AD39*$AJ$40/100)</f>
        <v>2305.2463199999997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0</v>
      </c>
      <c r="AC40" s="190">
        <f>[1]Eco!$B$34</f>
        <v>70</v>
      </c>
      <c r="AD40" s="173">
        <f t="shared" si="21"/>
        <v>0</v>
      </c>
      <c r="AE40" s="282">
        <f>IF($AJ$40=0,AB40*$AC$40,AD40*$AJ$40/100)</f>
        <v>0</v>
      </c>
      <c r="AF40" s="280"/>
      <c r="AG40" s="280"/>
      <c r="AH40" s="280"/>
      <c r="AI40" s="285" t="s">
        <v>1439</v>
      </c>
      <c r="AJ40" s="282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10761.3848</v>
      </c>
      <c r="AE41" s="283">
        <f>ROUND(SUM(AE38:AE40)*T25,0)</f>
        <v>9685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35.659999999999997</v>
      </c>
      <c r="C42" s="215">
        <f>[1]Eco!$B$24</f>
        <v>97</v>
      </c>
      <c r="J42" s="173">
        <f>B42*C42</f>
        <v>3459.0199999999995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35.659999999999997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1747.34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35.659999999999997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2389.2199999999998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9685</v>
      </c>
      <c r="K45" s="173"/>
      <c r="L45" s="173"/>
      <c r="M45" s="173"/>
      <c r="N45" s="173"/>
      <c r="O45" s="210"/>
      <c r="U45" s="14" t="s">
        <v>990</v>
      </c>
      <c r="V45" s="173">
        <f>S55</f>
        <v>0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35.659999999999997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12.273999999999999</v>
      </c>
      <c r="BJ47" s="217">
        <f>CdTrp2!C39</f>
        <v>12.273999999999999</v>
      </c>
      <c r="BK47" s="217">
        <f>CdTrp2!D39</f>
        <v>12.273999999999999</v>
      </c>
      <c r="BL47" s="217">
        <f>CdTrp2!E39</f>
        <v>12.273999999999999</v>
      </c>
      <c r="BM47" s="217">
        <f>CdTrp2!F39</f>
        <v>12.273999999999999</v>
      </c>
      <c r="BN47" s="217">
        <f>CdTrp2!G39</f>
        <v>12.273999999999999</v>
      </c>
      <c r="BO47" s="217">
        <f>CdTrp2!H39</f>
        <v>12.273999999999999</v>
      </c>
      <c r="BP47" s="217">
        <f>CdTrp2!I39</f>
        <v>12.273999999999999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11.628</v>
      </c>
      <c r="CB47" s="217">
        <f>CdTrp2!U39</f>
        <v>11.628</v>
      </c>
      <c r="CC47" s="217">
        <f>CdTrp2!V39</f>
        <v>12.273999999999999</v>
      </c>
      <c r="CD47" s="217">
        <f>CdTrp2!W39</f>
        <v>12.273999999999999</v>
      </c>
      <c r="CE47" s="217">
        <f>CdTrp2!X39</f>
        <v>12.273999999999999</v>
      </c>
      <c r="CF47" s="217">
        <f>CdTrp2!Y39</f>
        <v>12.273999999999999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92632.38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broutards</v>
      </c>
      <c r="BI50" s="217">
        <f>CdTrp2!B42</f>
        <v>1.5899999999999999</v>
      </c>
      <c r="BJ50" s="217">
        <f>CdTrp2!C42</f>
        <v>1.5899999999999999</v>
      </c>
      <c r="BK50" s="217">
        <f>CdTrp2!D42</f>
        <v>1.5899999999999999</v>
      </c>
      <c r="BL50" s="217">
        <f>CdTrp2!E42</f>
        <v>1.5899999999999999</v>
      </c>
      <c r="BM50" s="217">
        <f>CdTrp2!F42</f>
        <v>1.5899999999999999</v>
      </c>
      <c r="BN50" s="217">
        <f>CdTrp2!G42</f>
        <v>0.75600000000000001</v>
      </c>
      <c r="BO50" s="217">
        <f>CdTrp2!H42</f>
        <v>0.504</v>
      </c>
      <c r="BP50" s="217">
        <f>CdTrp2!I42</f>
        <v>0.252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0.252</v>
      </c>
      <c r="CB50" s="217">
        <f>CdTrp2!U42</f>
        <v>0.75600000000000001</v>
      </c>
      <c r="CC50" s="217">
        <f>CdTrp2!V42</f>
        <v>1.008</v>
      </c>
      <c r="CD50" s="217">
        <f>CdTrp2!W42</f>
        <v>1.26</v>
      </c>
      <c r="CE50" s="217">
        <f>CdTrp2!X42</f>
        <v>1.5899999999999999</v>
      </c>
      <c r="CF50" s="217">
        <f>CdTrp2!Y42</f>
        <v>1.77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broutards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broutards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81.179999999999978</v>
      </c>
      <c r="C118" s="190">
        <f>IF(Scénario!$K$12="BV",[1]Eco!$B$78,IF(Scénario!$K$12="BL",[1]Eco!$B$77,[1]Eco!$B$76))</f>
        <v>223</v>
      </c>
      <c r="J118" s="173">
        <f>B118*C118</f>
        <v>18103.139999999996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60.838999999999999</v>
      </c>
      <c r="C119" s="190">
        <f>[1]Eco!$B$79</f>
        <v>80</v>
      </c>
      <c r="J119" s="173">
        <f>B119*C119</f>
        <v>4867.12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297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5.4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251.74799999999999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6.6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330.858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388.53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57965.796000000002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17</v>
      </c>
      <c r="X153" t="s">
        <v>52</v>
      </c>
      <c r="Y153" s="173">
        <f>W153-Scénario!K28</f>
        <v>-6.5</v>
      </c>
      <c r="Z153" s="173">
        <f>Y153-Y156</f>
        <v>-5.85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11.6</v>
      </c>
      <c r="X154" t="s">
        <v>52</v>
      </c>
      <c r="Y154" s="173">
        <f>W154-Scénario!K29</f>
        <v>-4.4000000000000004</v>
      </c>
      <c r="Z154" s="173">
        <f>Y154</f>
        <v>-4.4000000000000004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-0.65</v>
      </c>
      <c r="Z156" s="173">
        <f t="shared" si="68"/>
        <v>-0.65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-5.85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-211.77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-4.4000000000000004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-132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-0.65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-101.01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311.89999999999998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3315.4969999999998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0.4</v>
      </c>
      <c r="T168" s="173">
        <f>VLOOKUP(R168,[1]MEP!$A$4:$M$300,13)</f>
        <v>1</v>
      </c>
      <c r="U168" s="173">
        <f t="shared" si="72"/>
        <v>0.4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0.4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0.4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296</v>
      </c>
      <c r="S169" s="173">
        <f>Alim_Surf!R12</f>
        <v>4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4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4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32923.517</v>
      </c>
      <c r="K170" s="62"/>
      <c r="L170" s="62"/>
      <c r="M170" s="62"/>
      <c r="N170" s="62"/>
      <c r="Q170">
        <v>7</v>
      </c>
      <c r="R170" s="173">
        <f>Alim_Surf!Q13</f>
        <v>253</v>
      </c>
      <c r="S170" s="173">
        <f>Alim_Surf!R13</f>
        <v>6.6</v>
      </c>
      <c r="T170" s="173">
        <f>VLOOKUP(R170,[1]MEP!$A$4:$M$300,13)</f>
        <v>2</v>
      </c>
      <c r="U170" s="173">
        <f t="shared" si="72"/>
        <v>6.6</v>
      </c>
      <c r="V170" s="173">
        <f t="shared" si="73"/>
        <v>6.6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6.6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6.6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1743.0670000000027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1162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638.69640800783895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-10295.629408007837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-6864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17</v>
      </c>
      <c r="V228" s="62">
        <f t="shared" ref="V228:W228" si="84">SUM(V164:V227)</f>
        <v>11.6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11</v>
      </c>
      <c r="AI228" s="62">
        <f t="shared" si="86"/>
        <v>5.4</v>
      </c>
      <c r="AJ228" s="62">
        <f t="shared" si="86"/>
        <v>6.6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4317</v>
      </c>
      <c r="U234" t="s">
        <v>1101</v>
      </c>
      <c r="V234" s="173"/>
      <c r="W234" s="173">
        <f>[1]Protect!$B$4</f>
        <v>6</v>
      </c>
      <c r="X234" s="173">
        <f>T234*W234</f>
        <v>25902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25902</v>
      </c>
      <c r="Z237" s="30">
        <f>IF(Scénario!K84=1,MIN(0.8*'Calcul éco'!X237,[1]Protect!$B$68),IF(Scénario!K84=2,MIN(0.8*'Calcul éco'!X237,[1]Protect!$B$67),0))</f>
        <v>20721.600000000002</v>
      </c>
      <c r="AA237" s="30">
        <f>X237-Z237</f>
        <v>5180.3999999999978</v>
      </c>
      <c r="AB237" s="30">
        <f>(Scénario!K127/100)*AA237</f>
        <v>0</v>
      </c>
      <c r="AC237" s="30">
        <f>AA237-AB237</f>
        <v>5180.3999999999978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638.69640800783895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64.754999999999995</v>
      </c>
      <c r="U272" s="173"/>
      <c r="V272" s="173"/>
      <c r="W272" s="173">
        <f>W234</f>
        <v>6</v>
      </c>
      <c r="X272" s="173">
        <f>T272*W272</f>
        <v>388.53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Z1_OLBV_T3PT_Ms4</v>
      </c>
      <c r="D1" s="275" t="str">
        <f>CONCATENATE(C1,"_corr")</f>
        <v>Z1_OLBV_T3PT_Ms4_corr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4</v>
      </c>
      <c r="D51" s="177">
        <f t="shared" si="0"/>
        <v>4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broutards</v>
      </c>
      <c r="CA67" s="274"/>
      <c r="CB67" s="173">
        <f>CdTrp2!B18*$G$63</f>
        <v>10.177057356608477</v>
      </c>
      <c r="CC67" s="173">
        <f>CdTrp2!C18*$G$63</f>
        <v>10.177057356608477</v>
      </c>
      <c r="CD67" s="173">
        <f>CdTrp2!D18*$G$63</f>
        <v>10.177057356608477</v>
      </c>
      <c r="CE67" s="173">
        <f>CdTrp2!E18*$G$63</f>
        <v>10.177057356608477</v>
      </c>
      <c r="CF67" s="173">
        <f>CdTrp2!F18*$G$63</f>
        <v>10.177057356608477</v>
      </c>
      <c r="CG67" s="173">
        <f>CdTrp2!G18*$G$63</f>
        <v>4.8389027431421443</v>
      </c>
      <c r="CH67" s="173">
        <f>CdTrp2!H18*$G$63</f>
        <v>3.2259351620947627</v>
      </c>
      <c r="CI67" s="173">
        <f>CdTrp2!I18*$G$63</f>
        <v>1.6129675810473814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1.6129675810473814</v>
      </c>
      <c r="CU67" s="173">
        <f>CdTrp2!U18*$G$63</f>
        <v>4.8389027431421443</v>
      </c>
      <c r="CV67" s="173">
        <f>CdTrp2!V18*$G$63</f>
        <v>6.4518703241895254</v>
      </c>
      <c r="CW67" s="173">
        <f>CdTrp2!W18*$G$63</f>
        <v>8.0648379052369084</v>
      </c>
      <c r="CX67" s="173">
        <f>CdTrp2!X18*$G$63</f>
        <v>10.177057356608477</v>
      </c>
      <c r="CY67" s="173">
        <f>CdTrp2!Y18*$G$63</f>
        <v>11.329177057356608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20.163166666666665</v>
      </c>
      <c r="D68" s="258">
        <f>ROUND(C68*$D$82/$C$82,3)</f>
        <v>19.359000000000002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62.186540579710154</v>
      </c>
      <c r="D70" s="258">
        <f>ROUND(C70*$D$82/$C$82,3)</f>
        <v>59.704999999999998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broutards</v>
      </c>
      <c r="CB78" s="173">
        <f t="shared" si="7"/>
        <v>1</v>
      </c>
      <c r="CC78" s="173">
        <f t="shared" si="7"/>
        <v>1</v>
      </c>
      <c r="CD78" s="173">
        <f t="shared" si="7"/>
        <v>1</v>
      </c>
      <c r="CE78" s="173">
        <f t="shared" si="7"/>
        <v>1</v>
      </c>
      <c r="CF78" s="173">
        <f t="shared" si="7"/>
        <v>1</v>
      </c>
      <c r="CG78" s="173">
        <f t="shared" si="7"/>
        <v>1</v>
      </c>
      <c r="CH78" s="173">
        <f t="shared" si="7"/>
        <v>1</v>
      </c>
      <c r="CI78" s="173">
        <f t="shared" si="7"/>
        <v>1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1</v>
      </c>
      <c r="CU78" s="173">
        <f t="shared" si="7"/>
        <v>1</v>
      </c>
      <c r="CV78" s="173">
        <f t="shared" si="7"/>
        <v>1</v>
      </c>
      <c r="CW78" s="173">
        <f t="shared" si="7"/>
        <v>1</v>
      </c>
      <c r="CX78" s="173">
        <f t="shared" si="7"/>
        <v>1</v>
      </c>
      <c r="CY78" s="173">
        <f t="shared" si="7"/>
        <v>1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17</v>
      </c>
      <c r="D85" s="261">
        <f>ROUND(C85*$D$82/$C$82,3)</f>
        <v>16.321999999999999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11.6</v>
      </c>
      <c r="D86" s="261">
        <f t="shared" ref="D86:D97" si="14">ROUND(C86*$D$82/$C$82,3)</f>
        <v>11.137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1.7</v>
      </c>
      <c r="D88" s="261">
        <f t="shared" si="14"/>
        <v>1.6319999999999999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broutards</v>
      </c>
      <c r="CA90" s="192" t="str">
        <f>Scénario!K109</f>
        <v>fort</v>
      </c>
      <c r="CB90" s="173">
        <f t="shared" si="21"/>
        <v>2</v>
      </c>
      <c r="CC90" s="173">
        <f t="shared" si="18"/>
        <v>2</v>
      </c>
      <c r="CD90" s="173">
        <f t="shared" si="18"/>
        <v>2</v>
      </c>
      <c r="CE90" s="173">
        <f t="shared" si="18"/>
        <v>2</v>
      </c>
      <c r="CF90" s="173">
        <f t="shared" si="18"/>
        <v>2</v>
      </c>
      <c r="CG90" s="173">
        <f t="shared" si="18"/>
        <v>2</v>
      </c>
      <c r="CH90" s="173">
        <f t="shared" si="18"/>
        <v>2</v>
      </c>
      <c r="CI90" s="173">
        <f t="shared" si="18"/>
        <v>2</v>
      </c>
      <c r="CJ90" s="173">
        <f t="shared" si="18"/>
        <v>2</v>
      </c>
      <c r="CK90" s="173">
        <f t="shared" si="18"/>
        <v>2</v>
      </c>
      <c r="CL90" s="173">
        <f t="shared" si="18"/>
        <v>2</v>
      </c>
      <c r="CM90" s="173">
        <f t="shared" si="18"/>
        <v>2</v>
      </c>
      <c r="CN90" s="173">
        <f t="shared" si="18"/>
        <v>2</v>
      </c>
      <c r="CO90" s="173">
        <f t="shared" si="18"/>
        <v>2</v>
      </c>
      <c r="CP90" s="173">
        <f t="shared" si="18"/>
        <v>2</v>
      </c>
      <c r="CQ90" s="173">
        <f t="shared" si="18"/>
        <v>2</v>
      </c>
      <c r="CR90" s="173">
        <f t="shared" si="18"/>
        <v>2</v>
      </c>
      <c r="CS90" s="173">
        <f t="shared" si="18"/>
        <v>2</v>
      </c>
      <c r="CT90" s="173">
        <f t="shared" si="18"/>
        <v>2</v>
      </c>
      <c r="CU90" s="173">
        <f t="shared" si="18"/>
        <v>2</v>
      </c>
      <c r="CV90" s="173">
        <f t="shared" si="18"/>
        <v>2</v>
      </c>
      <c r="CW90" s="173">
        <f t="shared" si="18"/>
        <v>2</v>
      </c>
      <c r="CX90" s="173">
        <f t="shared" si="18"/>
        <v>2</v>
      </c>
      <c r="CY90" s="173">
        <f t="shared" si="18"/>
        <v>2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3</v>
      </c>
      <c r="CH99" s="173">
        <f>IF(CdTrp2!H53=1,3,IF(CdTrp2!H53=0.5,2,IF(CdTrp2!H53=0,1,0)))</f>
        <v>3</v>
      </c>
      <c r="CI99" s="173">
        <f>IF(CdTrp2!I53=1,3,IF(CdTrp2!I53=0.5,2,IF(CdTrp2!I53=0,1,0)))</f>
        <v>3</v>
      </c>
      <c r="CJ99" s="173">
        <f>IF(CdTrp2!J53=1,3,IF(CdTrp2!J53=0.5,2,IF(CdTrp2!J53=0,1,0)))</f>
        <v>3</v>
      </c>
      <c r="CK99" s="173">
        <f>IF(CdTrp2!K53=1,3,IF(CdTrp2!K53=0.5,2,IF(CdTrp2!K53=0,1,0)))</f>
        <v>3</v>
      </c>
      <c r="CL99" s="173">
        <f>IF(CdTrp2!L53=1,3,IF(CdTrp2!L53=0.5,2,IF(CdTrp2!L53=0,1,0)))</f>
        <v>3</v>
      </c>
      <c r="CM99" s="173">
        <f>IF(CdTrp2!M53=1,3,IF(CdTrp2!M53=0.5,2,IF(CdTrp2!M53=0,1,0)))</f>
        <v>3</v>
      </c>
      <c r="CN99" s="173">
        <f>IF(CdTrp2!N53=1,3,IF(CdTrp2!N53=0.5,2,IF(CdTrp2!N53=0,1,0)))</f>
        <v>3</v>
      </c>
      <c r="CO99" s="173">
        <f>IF(CdTrp2!O53=1,3,IF(CdTrp2!O53=0.5,2,IF(CdTrp2!O53=0,1,0)))</f>
        <v>3</v>
      </c>
      <c r="CP99" s="173">
        <f>IF(CdTrp2!P53=1,3,IF(CdTrp2!P53=0.5,2,IF(CdTrp2!P53=0,1,0)))</f>
        <v>3</v>
      </c>
      <c r="CQ99" s="173">
        <f>IF(CdTrp2!Q53=1,3,IF(CdTrp2!Q53=0.5,2,IF(CdTrp2!Q53=0,1,0)))</f>
        <v>3</v>
      </c>
      <c r="CR99" s="173">
        <f>IF(CdTrp2!R53=1,3,IF(CdTrp2!R53=0.5,2,IF(CdTrp2!R53=0,1,0)))</f>
        <v>3</v>
      </c>
      <c r="CS99" s="173">
        <f>IF(CdTrp2!S53=1,3,IF(CdTrp2!S53=0.5,2,IF(CdTrp2!S53=0,1,0)))</f>
        <v>3</v>
      </c>
      <c r="CT99" s="173">
        <f>IF(CdTrp2!T53=1,3,IF(CdTrp2!T53=0.5,2,IF(CdTrp2!T53=0,1,0)))</f>
        <v>3</v>
      </c>
      <c r="CU99" s="173">
        <f>IF(CdTrp2!U53=1,3,IF(CdTrp2!U53=0.5,2,IF(CdTrp2!U53=0,1,0)))</f>
        <v>3</v>
      </c>
      <c r="CV99" s="173">
        <f>IF(CdTrp2!V53=1,3,IF(CdTrp2!V53=0.5,2,IF(CdTrp2!V53=0,1,0)))</f>
        <v>3</v>
      </c>
      <c r="CW99" s="173">
        <f>IF(CdTrp2!W53=1,3,IF(CdTrp2!W53=0.5,2,IF(CdTrp2!W53=0,1,0)))</f>
        <v>3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broutards</v>
      </c>
      <c r="CA101" s="32"/>
      <c r="CB101" s="173">
        <f>IF(CdTrp2!B55=1,3,IF(CdTrp2!B55=0.5,2,IF(CdTrp2!B55=0,1,0)))</f>
        <v>3</v>
      </c>
      <c r="CC101" s="173">
        <f>IF(CdTrp2!C55=1,3,IF(CdTrp2!C55=0.5,2,IF(CdTrp2!C55=0,1,0)))</f>
        <v>3</v>
      </c>
      <c r="CD101" s="173">
        <f>IF(CdTrp2!D55=1,3,IF(CdTrp2!D55=0.5,2,IF(CdTrp2!D55=0,1,0)))</f>
        <v>3</v>
      </c>
      <c r="CE101" s="173">
        <f>IF(CdTrp2!E55=1,3,IF(CdTrp2!E55=0.5,2,IF(CdTrp2!E55=0,1,0)))</f>
        <v>3</v>
      </c>
      <c r="CF101" s="173">
        <f>IF(CdTrp2!F55=1,3,IF(CdTrp2!F55=0.5,2,IF(CdTrp2!F55=0,1,0)))</f>
        <v>3</v>
      </c>
      <c r="CG101" s="173">
        <f>IF(CdTrp2!G55=1,3,IF(CdTrp2!G55=0.5,2,IF(CdTrp2!G55=0,1,0)))</f>
        <v>3</v>
      </c>
      <c r="CH101" s="173">
        <f>IF(CdTrp2!H55=1,3,IF(CdTrp2!H55=0.5,2,IF(CdTrp2!H55=0,1,0)))</f>
        <v>3</v>
      </c>
      <c r="CI101" s="173">
        <f>IF(CdTrp2!I55=1,3,IF(CdTrp2!I55=0.5,2,IF(CdTrp2!I55=0,1,0)))</f>
        <v>3</v>
      </c>
      <c r="CJ101" s="173">
        <f>IF(CdTrp2!J55=1,3,IF(CdTrp2!J55=0.5,2,IF(CdTrp2!J55=0,1,0)))</f>
        <v>3</v>
      </c>
      <c r="CK101" s="173">
        <f>IF(CdTrp2!K55=1,3,IF(CdTrp2!K55=0.5,2,IF(CdTrp2!K55=0,1,0)))</f>
        <v>3</v>
      </c>
      <c r="CL101" s="173">
        <f>IF(CdTrp2!L55=1,3,IF(CdTrp2!L55=0.5,2,IF(CdTrp2!L55=0,1,0)))</f>
        <v>3</v>
      </c>
      <c r="CM101" s="173">
        <f>IF(CdTrp2!M55=1,3,IF(CdTrp2!M55=0.5,2,IF(CdTrp2!M55=0,1,0)))</f>
        <v>3</v>
      </c>
      <c r="CN101" s="173">
        <f>IF(CdTrp2!N55=1,3,IF(CdTrp2!N55=0.5,2,IF(CdTrp2!N55=0,1,0)))</f>
        <v>3</v>
      </c>
      <c r="CO101" s="173">
        <f>IF(CdTrp2!O55=1,3,IF(CdTrp2!O55=0.5,2,IF(CdTrp2!O55=0,1,0)))</f>
        <v>3</v>
      </c>
      <c r="CP101" s="173">
        <f>IF(CdTrp2!P55=1,3,IF(CdTrp2!P55=0.5,2,IF(CdTrp2!P55=0,1,0)))</f>
        <v>3</v>
      </c>
      <c r="CQ101" s="173">
        <f>IF(CdTrp2!Q55=1,3,IF(CdTrp2!Q55=0.5,2,IF(CdTrp2!Q55=0,1,0)))</f>
        <v>3</v>
      </c>
      <c r="CR101" s="173">
        <f>IF(CdTrp2!R55=1,3,IF(CdTrp2!R55=0.5,2,IF(CdTrp2!R55=0,1,0)))</f>
        <v>3</v>
      </c>
      <c r="CS101" s="173">
        <f>IF(CdTrp2!S55=1,3,IF(CdTrp2!S55=0.5,2,IF(CdTrp2!S55=0,1,0)))</f>
        <v>3</v>
      </c>
      <c r="CT101" s="173">
        <f>IF(CdTrp2!T55=1,3,IF(CdTrp2!T55=0.5,2,IF(CdTrp2!T55=0,1,0)))</f>
        <v>3</v>
      </c>
      <c r="CU101" s="173">
        <f>IF(CdTrp2!U55=1,3,IF(CdTrp2!U55=0.5,2,IF(CdTrp2!U55=0,1,0)))</f>
        <v>3</v>
      </c>
      <c r="CV101" s="173">
        <f>IF(CdTrp2!V55=1,3,IF(CdTrp2!V55=0.5,2,IF(CdTrp2!V55=0,1,0)))</f>
        <v>3</v>
      </c>
      <c r="CW101" s="173">
        <f>IF(CdTrp2!W55=1,3,IF(CdTrp2!W55=0.5,2,IF(CdTrp2!W55=0,1,0)))</f>
        <v>3</v>
      </c>
      <c r="CX101" s="173">
        <f>IF(CdTrp2!X55=1,3,IF(CdTrp2!X55=0.5,2,IF(CdTrp2!X55=0,1,0)))</f>
        <v>3</v>
      </c>
      <c r="CY101" s="173">
        <f>IF(CdTrp2!Y55=1,3,IF(CdTrp2!Y55=0.5,2,IF(CdTrp2!Y55=0,1,0)))</f>
        <v>3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3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broutards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2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broutards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2</v>
      </c>
      <c r="D117" s="173">
        <f t="shared" si="25"/>
        <v>2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221</v>
      </c>
      <c r="BH121" s="173">
        <f>IF(BH75=0,0,IF(BH98=3,0,VALUE(CONCATENATE(Travail!BH26,Travail!BH37,Travail!BH48))))</f>
        <v>221</v>
      </c>
      <c r="BI121" s="173">
        <f>IF(BI75=0,0,IF(BI98=3,0,VALUE(CONCATENATE(Travail!BI26,Travail!BI37,Travail!BI48))))</f>
        <v>221</v>
      </c>
      <c r="BJ121" s="173">
        <f>IF(BJ75=0,0,IF(BJ98=3,0,VALUE(CONCATENATE(Travail!BJ26,Travail!BJ37,Travail!BJ48))))</f>
        <v>221</v>
      </c>
      <c r="BK121" s="173">
        <f>IF(BK75=0,0,IF(BK98=3,0,VALUE(CONCATENATE(Travail!BK26,Travail!BK37,Travail!BK48))))</f>
        <v>221</v>
      </c>
      <c r="BL121" s="173">
        <f>IF(BL75=0,0,IF(BL98=3,0,VALUE(CONCATENATE(Travail!BL26,Travail!BL37,Travail!BL48))))</f>
        <v>221</v>
      </c>
      <c r="BM121" s="173">
        <f>IF(BM75=0,0,IF(BM98=3,0,VALUE(CONCATENATE(Travail!BM26,Travail!BM37,Travail!BM48))))</f>
        <v>221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212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221</v>
      </c>
      <c r="BA122" s="173">
        <f>IF(BA76=0,0,IF(BA99=3,0,VALUE(CONCATENATE(Travail!BA27,Travail!BA38,Travail!BA49))))</f>
        <v>221</v>
      </c>
      <c r="BB122" s="173">
        <f>IF(BB76=0,0,IF(BB99=3,0,VALUE(CONCATENATE(Travail!BB27,Travail!BB38,Travail!BB49))))</f>
        <v>221</v>
      </c>
      <c r="BC122" s="173">
        <f>IF(BC76=0,0,IF(BC99=3,0,VALUE(CONCATENATE(Travail!BC27,Travail!BC38,Travail!BC49))))</f>
        <v>221</v>
      </c>
      <c r="BD122" s="173">
        <f>IF(BD76=0,0,IF(BD99=3,0,VALUE(CONCATENATE(Travail!BD27,Travail!BD38,Travail!BD49))))</f>
        <v>221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221</v>
      </c>
      <c r="BP122" s="173">
        <f>IF(BP76=0,0,IF(BP99=3,0,VALUE(CONCATENATE(Travail!BP27,Travail!BP38,Travail!BP49))))</f>
        <v>221</v>
      </c>
      <c r="BQ122" s="173">
        <f>IF(BQ76=0,0,IF(BQ99=3,0,VALUE(CONCATENATE(Travail!BQ27,Travail!BQ38,Travail!BQ49))))</f>
        <v>221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231</v>
      </c>
      <c r="CH122" s="173">
        <f>IF(CH76=0,0,VALUE(CONCATENATE(Travail!CH27,Travail!CH38,Travail!CH49)))</f>
        <v>231</v>
      </c>
      <c r="CI122" s="173">
        <f>IF(CI76=0,0,VALUE(CONCATENATE(Travail!CI27,Travail!CI38,Travail!CI49)))</f>
        <v>231</v>
      </c>
      <c r="CJ122" s="173">
        <f>IF(CJ76=0,0,VALUE(CONCATENATE(Travail!CJ27,Travail!CJ38,Travail!CJ49)))</f>
        <v>231</v>
      </c>
      <c r="CK122" s="173">
        <f>IF(CK76=0,0,VALUE(CONCATENATE(Travail!CK27,Travail!CK38,Travail!CK49)))</f>
        <v>231</v>
      </c>
      <c r="CL122" s="173">
        <f>IF(CL76=0,0,VALUE(CONCATENATE(Travail!CL27,Travail!CL38,Travail!CL49)))</f>
        <v>231</v>
      </c>
      <c r="CM122" s="173">
        <f>IF(CM76=0,0,VALUE(CONCATENATE(Travail!CM27,Travail!CM38,Travail!CM49)))</f>
        <v>231</v>
      </c>
      <c r="CN122" s="173">
        <f>IF(CN76=0,0,VALUE(CONCATENATE(Travail!CN27,Travail!CN38,Travail!CN49)))</f>
        <v>231</v>
      </c>
      <c r="CO122" s="173">
        <f>IF(CO76=0,0,VALUE(CONCATENATE(Travail!CO27,Travail!CO38,Travail!CO49)))</f>
        <v>231</v>
      </c>
      <c r="CP122" s="173">
        <f>IF(CP76=0,0,VALUE(CONCATENATE(Travail!CP27,Travail!CP38,Travail!CP49)))</f>
        <v>231</v>
      </c>
      <c r="CQ122" s="173">
        <f>IF(CQ76=0,0,VALUE(CONCATENATE(Travail!CQ27,Travail!CQ38,Travail!CQ49)))</f>
        <v>231</v>
      </c>
      <c r="CR122" s="173">
        <f>IF(CR76=0,0,VALUE(CONCATENATE(Travail!CR27,Travail!CR38,Travail!CR49)))</f>
        <v>231</v>
      </c>
      <c r="CS122" s="173">
        <f>IF(CS76=0,0,VALUE(CONCATENATE(Travail!CS27,Travail!CS38,Travail!CS49)))</f>
        <v>231</v>
      </c>
      <c r="CT122" s="173">
        <f>IF(CT76=0,0,VALUE(CONCATENATE(Travail!CT27,Travail!CT38,Travail!CT49)))</f>
        <v>231</v>
      </c>
      <c r="CU122" s="173">
        <f>IF(CU76=0,0,VALUE(CONCATENATE(Travail!CU27,Travail!CU38,Travail!CU49)))</f>
        <v>231</v>
      </c>
      <c r="CV122" s="173">
        <f>IF(CV76=0,0,VALUE(CONCATENATE(Travail!CV27,Travail!CV38,Travail!CV49)))</f>
        <v>231</v>
      </c>
      <c r="CW122" s="173">
        <f>IF(CW76=0,0,VALUE(CONCATENATE(Travail!CW27,Travail!CW38,Travail!CW49)))</f>
        <v>231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broutards</v>
      </c>
      <c r="CB124" s="173">
        <f>IF(CB78=0,0,VALUE(CONCATENATE(Travail!CB29,Travail!CB40,Travail!CB51)))</f>
        <v>230</v>
      </c>
      <c r="CC124" s="173">
        <f>IF(CC78=0,0,VALUE(CONCATENATE(Travail!CC29,Travail!CC40,Travail!CC51)))</f>
        <v>230</v>
      </c>
      <c r="CD124" s="173">
        <f>IF(CD78=0,0,VALUE(CONCATENATE(Travail!CD29,Travail!CD40,Travail!CD51)))</f>
        <v>230</v>
      </c>
      <c r="CE124" s="173">
        <f>IF(CE78=0,0,VALUE(CONCATENATE(Travail!CE29,Travail!CE40,Travail!CE51)))</f>
        <v>230</v>
      </c>
      <c r="CF124" s="173">
        <f>IF(CF78=0,0,VALUE(CONCATENATE(Travail!CF29,Travail!CF40,Travail!CF51)))</f>
        <v>230</v>
      </c>
      <c r="CG124" s="173">
        <f>IF(CG78=0,0,VALUE(CONCATENATE(Travail!CG29,Travail!CG40,Travail!CG51)))</f>
        <v>230</v>
      </c>
      <c r="CH124" s="173">
        <f>IF(CH78=0,0,VALUE(CONCATENATE(Travail!CH29,Travail!CH40,Travail!CH51)))</f>
        <v>230</v>
      </c>
      <c r="CI124" s="173">
        <f>IF(CI78=0,0,VALUE(CONCATENATE(Travail!CI29,Travail!CI40,Travail!CI51)))</f>
        <v>230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230</v>
      </c>
      <c r="CU124" s="173">
        <f>IF(CU78=0,0,VALUE(CONCATENATE(Travail!CU29,Travail!CU40,Travail!CU51)))</f>
        <v>230</v>
      </c>
      <c r="CV124" s="173">
        <f>IF(CV78=0,0,VALUE(CONCATENATE(Travail!CV29,Travail!CV40,Travail!CV51)))</f>
        <v>230</v>
      </c>
      <c r="CW124" s="173">
        <f>IF(CW78=0,0,VALUE(CONCATENATE(Travail!CW29,Travail!CW40,Travail!CW51)))</f>
        <v>230</v>
      </c>
      <c r="CX124" s="173">
        <f>IF(CX78=0,0,VALUE(CONCATENATE(Travail!CX29,Travail!CX40,Travail!CX51)))</f>
        <v>230</v>
      </c>
      <c r="CY124" s="173">
        <f>IF(CY78=0,0,VALUE(CONCATENATE(Travail!CY29,Travail!CY40,Travail!CY51)))</f>
        <v>230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22</v>
      </c>
      <c r="BH132" s="173">
        <f t="shared" si="39"/>
        <v>22</v>
      </c>
      <c r="BI132" s="173">
        <f t="shared" si="39"/>
        <v>22</v>
      </c>
      <c r="BJ132" s="173">
        <f t="shared" si="39"/>
        <v>22</v>
      </c>
      <c r="BK132" s="173">
        <f t="shared" si="39"/>
        <v>22</v>
      </c>
      <c r="BL132" s="173">
        <f t="shared" si="39"/>
        <v>22</v>
      </c>
      <c r="BM132" s="173">
        <f t="shared" si="39"/>
        <v>22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23</v>
      </c>
      <c r="CH133" s="173">
        <f t="shared" si="40"/>
        <v>23</v>
      </c>
      <c r="CI133" s="173">
        <f t="shared" si="40"/>
        <v>23</v>
      </c>
      <c r="CJ133" s="173">
        <f t="shared" si="40"/>
        <v>23</v>
      </c>
      <c r="CK133" s="173">
        <f t="shared" si="40"/>
        <v>23</v>
      </c>
      <c r="CL133" s="173">
        <f t="shared" si="40"/>
        <v>23</v>
      </c>
      <c r="CM133" s="173">
        <f t="shared" si="40"/>
        <v>23</v>
      </c>
      <c r="CN133" s="173">
        <f t="shared" si="40"/>
        <v>23</v>
      </c>
      <c r="CO133" s="173">
        <f t="shared" si="40"/>
        <v>23</v>
      </c>
      <c r="CP133" s="173">
        <f t="shared" si="40"/>
        <v>23</v>
      </c>
      <c r="CQ133" s="173">
        <f t="shared" si="40"/>
        <v>23</v>
      </c>
      <c r="CR133" s="173">
        <f t="shared" si="40"/>
        <v>23</v>
      </c>
      <c r="CS133" s="173">
        <f t="shared" si="40"/>
        <v>23</v>
      </c>
      <c r="CT133" s="173">
        <f t="shared" si="40"/>
        <v>23</v>
      </c>
      <c r="CU133" s="173">
        <f t="shared" si="40"/>
        <v>23</v>
      </c>
      <c r="CV133" s="173">
        <f t="shared" si="40"/>
        <v>23</v>
      </c>
      <c r="CW133" s="173">
        <f t="shared" si="40"/>
        <v>23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broutards</v>
      </c>
      <c r="CB135" s="173">
        <f t="shared" si="40"/>
        <v>23</v>
      </c>
      <c r="CC135" s="173">
        <f t="shared" si="40"/>
        <v>23</v>
      </c>
      <c r="CD135" s="173">
        <f t="shared" si="40"/>
        <v>23</v>
      </c>
      <c r="CE135" s="173">
        <f t="shared" si="40"/>
        <v>23</v>
      </c>
      <c r="CF135" s="173">
        <f t="shared" si="40"/>
        <v>23</v>
      </c>
      <c r="CG135" s="173">
        <f t="shared" si="40"/>
        <v>23</v>
      </c>
      <c r="CH135" s="173">
        <f t="shared" si="40"/>
        <v>23</v>
      </c>
      <c r="CI135" s="173">
        <f t="shared" si="40"/>
        <v>23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23</v>
      </c>
      <c r="CU135" s="173">
        <f t="shared" si="40"/>
        <v>23</v>
      </c>
      <c r="CV135" s="173">
        <f t="shared" si="40"/>
        <v>23</v>
      </c>
      <c r="CW135" s="173">
        <f t="shared" si="40"/>
        <v>23</v>
      </c>
      <c r="CX135" s="173">
        <f t="shared" si="40"/>
        <v>23</v>
      </c>
      <c r="CY135" s="173">
        <f t="shared" si="40"/>
        <v>23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0.7021276595744681</v>
      </c>
      <c r="D136" s="262">
        <f t="shared" si="25"/>
        <v>0.7021276595744681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2</v>
      </c>
      <c r="CC142" s="173">
        <f>COUNTIF(CC$132:CC$141,23)</f>
        <v>2</v>
      </c>
      <c r="CD142" s="173">
        <f t="shared" ref="CD142:CY142" si="59">COUNTIF(CD$132:CD$141,23)</f>
        <v>2</v>
      </c>
      <c r="CE142" s="173">
        <f t="shared" si="59"/>
        <v>2</v>
      </c>
      <c r="CF142" s="173">
        <f t="shared" si="59"/>
        <v>2</v>
      </c>
      <c r="CG142" s="173">
        <f t="shared" si="59"/>
        <v>3</v>
      </c>
      <c r="CH142" s="173">
        <f t="shared" si="59"/>
        <v>2</v>
      </c>
      <c r="CI142" s="173">
        <f t="shared" si="59"/>
        <v>2</v>
      </c>
      <c r="CJ142" s="173">
        <f t="shared" si="59"/>
        <v>1</v>
      </c>
      <c r="CK142" s="173">
        <f t="shared" si="59"/>
        <v>1</v>
      </c>
      <c r="CL142" s="173">
        <f t="shared" si="59"/>
        <v>1</v>
      </c>
      <c r="CM142" s="173">
        <f t="shared" si="59"/>
        <v>1</v>
      </c>
      <c r="CN142" s="173">
        <f t="shared" si="59"/>
        <v>1</v>
      </c>
      <c r="CO142" s="173">
        <f t="shared" si="59"/>
        <v>1</v>
      </c>
      <c r="CP142" s="173">
        <f t="shared" si="59"/>
        <v>1</v>
      </c>
      <c r="CQ142" s="173">
        <f t="shared" si="59"/>
        <v>1</v>
      </c>
      <c r="CR142" s="173">
        <f t="shared" si="59"/>
        <v>1</v>
      </c>
      <c r="CS142" s="173">
        <f t="shared" si="59"/>
        <v>1</v>
      </c>
      <c r="CT142" s="173">
        <f t="shared" si="59"/>
        <v>2</v>
      </c>
      <c r="CU142" s="173">
        <f t="shared" si="59"/>
        <v>2</v>
      </c>
      <c r="CV142" s="173">
        <f t="shared" si="59"/>
        <v>2</v>
      </c>
      <c r="CW142" s="173">
        <f t="shared" si="59"/>
        <v>2</v>
      </c>
      <c r="CX142" s="173">
        <f t="shared" si="59"/>
        <v>2</v>
      </c>
      <c r="CY142" s="173">
        <f t="shared" si="59"/>
        <v>2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2</v>
      </c>
      <c r="BH144" s="173">
        <f t="shared" si="64"/>
        <v>2</v>
      </c>
      <c r="BI144" s="173">
        <f t="shared" si="64"/>
        <v>2</v>
      </c>
      <c r="BJ144" s="173">
        <f t="shared" si="64"/>
        <v>2</v>
      </c>
      <c r="BK144" s="173">
        <f t="shared" si="64"/>
        <v>2</v>
      </c>
      <c r="BL144" s="173">
        <f t="shared" si="64"/>
        <v>2</v>
      </c>
      <c r="BM144" s="173">
        <f t="shared" si="64"/>
        <v>2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1</v>
      </c>
      <c r="CW144" s="173">
        <f t="shared" si="65"/>
        <v>1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23</v>
      </c>
      <c r="CI146" s="62">
        <f t="shared" si="71"/>
        <v>23</v>
      </c>
      <c r="CJ146" s="62">
        <f t="shared" si="71"/>
        <v>23</v>
      </c>
      <c r="CK146" s="62">
        <f t="shared" si="71"/>
        <v>23</v>
      </c>
      <c r="CL146" s="62">
        <f t="shared" si="71"/>
        <v>23</v>
      </c>
      <c r="CM146" s="62">
        <f t="shared" si="71"/>
        <v>23</v>
      </c>
      <c r="CN146" s="62">
        <f t="shared" si="71"/>
        <v>23</v>
      </c>
      <c r="CO146" s="62">
        <f t="shared" si="71"/>
        <v>23</v>
      </c>
      <c r="CP146" s="62">
        <f t="shared" si="71"/>
        <v>23</v>
      </c>
      <c r="CQ146" s="62">
        <f t="shared" si="71"/>
        <v>23</v>
      </c>
      <c r="CR146" s="62">
        <f t="shared" si="71"/>
        <v>23</v>
      </c>
      <c r="CS146" s="62">
        <f t="shared" si="71"/>
        <v>23</v>
      </c>
      <c r="CT146" s="62">
        <f t="shared" si="71"/>
        <v>23</v>
      </c>
      <c r="CU146" s="62">
        <f t="shared" si="71"/>
        <v>23</v>
      </c>
      <c r="CV146" s="62">
        <f t="shared" si="71"/>
        <v>23</v>
      </c>
      <c r="CW146" s="62">
        <f t="shared" si="71"/>
        <v>23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42</v>
      </c>
      <c r="CI147" s="190">
        <f>IF(CI146=0,0,HLOOKUP(CI146,[1]Trav!$C$39:$G$59,$AU$166))</f>
        <v>42</v>
      </c>
      <c r="CJ147" s="190">
        <f>IF(CJ146=0,0,HLOOKUP(CJ146,[1]Trav!$C$39:$G$59,$AU$166))</f>
        <v>42</v>
      </c>
      <c r="CK147" s="190">
        <f>IF(CK146=0,0,HLOOKUP(CK146,[1]Trav!$C$39:$G$59,$AU$166))</f>
        <v>42</v>
      </c>
      <c r="CL147" s="190">
        <f>IF(CL146=0,0,HLOOKUP(CL146,[1]Trav!$C$39:$G$59,$AU$166))</f>
        <v>42</v>
      </c>
      <c r="CM147" s="190">
        <f>IF(CM146=0,0,HLOOKUP(CM146,[1]Trav!$C$39:$G$59,$AU$166))</f>
        <v>42</v>
      </c>
      <c r="CN147" s="190">
        <f>IF(CN146=0,0,HLOOKUP(CN146,[1]Trav!$C$39:$G$59,$AU$166))</f>
        <v>42</v>
      </c>
      <c r="CO147" s="190">
        <f>IF(CO146=0,0,HLOOKUP(CO146,[1]Trav!$C$39:$G$59,$AU$166))</f>
        <v>42</v>
      </c>
      <c r="CP147" s="190">
        <f>IF(CP146=0,0,HLOOKUP(CP146,[1]Trav!$C$39:$G$59,$AU$166))</f>
        <v>42</v>
      </c>
      <c r="CQ147" s="190">
        <f>IF(CQ146=0,0,HLOOKUP(CQ146,[1]Trav!$C$39:$G$59,$AU$166))</f>
        <v>42</v>
      </c>
      <c r="CR147" s="190">
        <f>IF(CR146=0,0,HLOOKUP(CR146,[1]Trav!$C$39:$G$59,$AU$166))</f>
        <v>42</v>
      </c>
      <c r="CS147" s="190">
        <f>IF(CS146=0,0,HLOOKUP(CS146,[1]Trav!$C$39:$G$59,$AU$166))</f>
        <v>42</v>
      </c>
      <c r="CT147" s="190">
        <f>IF(CT146=0,0,HLOOKUP(CT146,[1]Trav!$C$39:$G$59,$AU$166))</f>
        <v>42</v>
      </c>
      <c r="CU147" s="190">
        <f>IF(CU146=0,0,HLOOKUP(CU146,[1]Trav!$C$39:$G$59,$AU$166))</f>
        <v>42</v>
      </c>
      <c r="CV147" s="190">
        <f>IF(CV146=0,0,HLOOKUP(CV146,[1]Trav!$C$39:$G$59,$AU$166))</f>
        <v>42</v>
      </c>
      <c r="CW147" s="190">
        <f>IF(CW146=0,0,HLOOKUP(CW146,[1]Trav!$C$39:$G$59,$AU$166))</f>
        <v>42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1.75</v>
      </c>
      <c r="CM148" s="190">
        <f>IF(CM146=0,0,HLOOKUP(CM146,[1]Trav!$C$62:$G$82,$AU$166))</f>
        <v>1.75</v>
      </c>
      <c r="CN148" s="190">
        <f>IF(CN146=0,0,HLOOKUP(CN146,[1]Trav!$C$62:$G$82,$AU$166))</f>
        <v>1.75</v>
      </c>
      <c r="CO148" s="190">
        <f>IF(CO146=0,0,HLOOKUP(CO146,[1]Trav!$C$62:$G$82,$AU$166))</f>
        <v>1.75</v>
      </c>
      <c r="CP148" s="190">
        <f>IF(CP146=0,0,HLOOKUP(CP146,[1]Trav!$C$62:$G$82,$AU$166))</f>
        <v>1.75</v>
      </c>
      <c r="CQ148" s="190">
        <f>IF(CQ146=0,0,HLOOKUP(CQ146,[1]Trav!$C$62:$G$82,$AU$166))</f>
        <v>1.75</v>
      </c>
      <c r="CR148" s="190">
        <f>IF(CR146=0,0,HLOOKUP(CR146,[1]Trav!$C$62:$G$82,$AU$166))</f>
        <v>1.75</v>
      </c>
      <c r="CS148" s="190">
        <f>IF(CS146=0,0,HLOOKUP(CS146,[1]Trav!$C$62:$G$82,$AU$166))</f>
        <v>1.75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244.91727203729803</v>
      </c>
      <c r="BH151" s="173">
        <f t="shared" si="74"/>
        <v>244.91727203729803</v>
      </c>
      <c r="BI151" s="173">
        <f t="shared" si="74"/>
        <v>244.91727203729803</v>
      </c>
      <c r="BJ151" s="173">
        <f t="shared" si="74"/>
        <v>244.91727203729803</v>
      </c>
      <c r="BK151" s="173">
        <f t="shared" si="74"/>
        <v>244.91727203729803</v>
      </c>
      <c r="BL151" s="173">
        <f t="shared" si="74"/>
        <v>244.91727203729803</v>
      </c>
      <c r="BM151" s="173">
        <f t="shared" si="74"/>
        <v>244.91727203729803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1.4593516209476309</v>
      </c>
      <c r="CH152" s="173">
        <f t="shared" si="76"/>
        <v>2.9187032418952619</v>
      </c>
      <c r="CI152" s="173">
        <f t="shared" si="76"/>
        <v>4.3780548628428919</v>
      </c>
      <c r="CJ152" s="173">
        <f t="shared" si="76"/>
        <v>4.3780548628428919</v>
      </c>
      <c r="CK152" s="173">
        <f t="shared" si="76"/>
        <v>4.3780548628428919</v>
      </c>
      <c r="CL152" s="173">
        <f t="shared" si="76"/>
        <v>4.3780548628428919</v>
      </c>
      <c r="CM152" s="173">
        <f t="shared" si="76"/>
        <v>4.3780548628428919</v>
      </c>
      <c r="CN152" s="173">
        <f t="shared" si="76"/>
        <v>4.3780548628428919</v>
      </c>
      <c r="CO152" s="173">
        <f t="shared" si="76"/>
        <v>4.3780548628428919</v>
      </c>
      <c r="CP152" s="173">
        <f t="shared" si="76"/>
        <v>4.3780548628428919</v>
      </c>
      <c r="CQ152" s="173">
        <f t="shared" si="76"/>
        <v>4.3780548628428919</v>
      </c>
      <c r="CR152" s="173">
        <f t="shared" si="76"/>
        <v>4.3780548628428919</v>
      </c>
      <c r="CS152" s="173">
        <f t="shared" si="76"/>
        <v>4.3780548628428919</v>
      </c>
      <c r="CT152" s="173">
        <f t="shared" si="76"/>
        <v>3.6483790523690769</v>
      </c>
      <c r="CU152" s="173">
        <f t="shared" si="76"/>
        <v>3.6483790523690769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broutards</v>
      </c>
      <c r="CB154" s="173">
        <f t="shared" si="76"/>
        <v>10.177057356608477</v>
      </c>
      <c r="CC154" s="173">
        <f t="shared" si="76"/>
        <v>10.177057356608477</v>
      </c>
      <c r="CD154" s="173">
        <f t="shared" si="76"/>
        <v>10.177057356608477</v>
      </c>
      <c r="CE154" s="173">
        <f t="shared" si="76"/>
        <v>10.177057356608477</v>
      </c>
      <c r="CF154" s="173">
        <f t="shared" si="76"/>
        <v>10.177057356608477</v>
      </c>
      <c r="CG154" s="173">
        <f t="shared" si="76"/>
        <v>4.8389027431421443</v>
      </c>
      <c r="CH154" s="173">
        <f t="shared" si="76"/>
        <v>3.2259351620947627</v>
      </c>
      <c r="CI154" s="173">
        <f t="shared" si="76"/>
        <v>1.6129675810473814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1.6129675810473814</v>
      </c>
      <c r="CU154" s="173">
        <f t="shared" si="76"/>
        <v>4.8389027431421443</v>
      </c>
      <c r="CV154" s="173">
        <f t="shared" si="76"/>
        <v>6.4518703241895254</v>
      </c>
      <c r="CW154" s="173">
        <f t="shared" si="76"/>
        <v>8.0648379052369084</v>
      </c>
      <c r="CX154" s="173">
        <f t="shared" si="76"/>
        <v>10.177057356608477</v>
      </c>
      <c r="CY154" s="173">
        <f t="shared" si="76"/>
        <v>11.329177057356608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310.90534533232136</v>
      </c>
      <c r="BH160" s="62">
        <f t="shared" si="83"/>
        <v>310.90534533232136</v>
      </c>
      <c r="BI160" s="62">
        <f t="shared" si="83"/>
        <v>310.90534533232136</v>
      </c>
      <c r="BJ160" s="62">
        <f t="shared" si="83"/>
        <v>310.90534533232136</v>
      </c>
      <c r="BK160" s="62">
        <f t="shared" si="83"/>
        <v>310.90534533232136</v>
      </c>
      <c r="BL160" s="62">
        <f t="shared" si="83"/>
        <v>310.90534533232136</v>
      </c>
      <c r="BM160" s="62">
        <f t="shared" si="83"/>
        <v>310.90534533232136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79.665779258921688</v>
      </c>
      <c r="D161" s="263">
        <f t="shared" si="50"/>
        <v>76.487094799712835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6.218106906646427</v>
      </c>
      <c r="BH161" s="173">
        <f t="shared" si="86"/>
        <v>6.218106906646427</v>
      </c>
      <c r="BI161" s="173">
        <f t="shared" si="86"/>
        <v>6.218106906646427</v>
      </c>
      <c r="BJ161" s="173">
        <f t="shared" si="86"/>
        <v>6.218106906646427</v>
      </c>
      <c r="BK161" s="173">
        <f t="shared" si="86"/>
        <v>6.218106906646427</v>
      </c>
      <c r="BL161" s="173">
        <f t="shared" si="86"/>
        <v>6.218106906646427</v>
      </c>
      <c r="BM161" s="173">
        <f t="shared" si="86"/>
        <v>6.218106906646427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137.53698662596875</v>
      </c>
      <c r="D162" s="263">
        <f t="shared" si="50"/>
        <v>132.04922656109218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5.218106906646427</v>
      </c>
      <c r="BH162" s="173">
        <f t="shared" si="89"/>
        <v>5.218106906646427</v>
      </c>
      <c r="BI162" s="173">
        <f t="shared" si="89"/>
        <v>5.218106906646427</v>
      </c>
      <c r="BJ162" s="173">
        <f t="shared" si="89"/>
        <v>5.218106906646427</v>
      </c>
      <c r="BK162" s="173">
        <f t="shared" si="89"/>
        <v>5.218106906646427</v>
      </c>
      <c r="BL162" s="173">
        <f t="shared" si="89"/>
        <v>5.218106906646427</v>
      </c>
      <c r="BM162" s="173">
        <f t="shared" si="89"/>
        <v>5.218106906646427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30.131687086631246</v>
      </c>
      <c r="BH163" s="62">
        <f t="shared" si="92"/>
        <v>30.131687086631246</v>
      </c>
      <c r="BI163" s="62">
        <f t="shared" si="92"/>
        <v>30.131687086631246</v>
      </c>
      <c r="BJ163" s="62">
        <f t="shared" si="92"/>
        <v>30.131687086631246</v>
      </c>
      <c r="BK163" s="62">
        <f t="shared" si="92"/>
        <v>30.131687086631246</v>
      </c>
      <c r="BL163" s="62">
        <f t="shared" si="92"/>
        <v>30.131687086631246</v>
      </c>
      <c r="BM163" s="62">
        <f t="shared" si="92"/>
        <v>30.131687086631246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42</v>
      </c>
      <c r="CI163" s="62">
        <f t="shared" si="93"/>
        <v>42</v>
      </c>
      <c r="CJ163" s="62">
        <f t="shared" si="93"/>
        <v>42</v>
      </c>
      <c r="CK163" s="62">
        <f t="shared" si="93"/>
        <v>42</v>
      </c>
      <c r="CL163" s="62">
        <f t="shared" si="93"/>
        <v>42</v>
      </c>
      <c r="CM163" s="62">
        <f t="shared" si="93"/>
        <v>42</v>
      </c>
      <c r="CN163" s="62">
        <f t="shared" si="93"/>
        <v>42</v>
      </c>
      <c r="CO163" s="62">
        <f t="shared" si="93"/>
        <v>42</v>
      </c>
      <c r="CP163" s="62">
        <f t="shared" si="93"/>
        <v>42</v>
      </c>
      <c r="CQ163" s="62">
        <f t="shared" si="93"/>
        <v>42</v>
      </c>
      <c r="CR163" s="62">
        <f t="shared" si="93"/>
        <v>42</v>
      </c>
      <c r="CS163" s="62">
        <f t="shared" si="93"/>
        <v>42</v>
      </c>
      <c r="CT163" s="62">
        <f t="shared" si="93"/>
        <v>42</v>
      </c>
      <c r="CU163" s="62">
        <f t="shared" si="93"/>
        <v>42</v>
      </c>
      <c r="CV163" s="62">
        <f t="shared" si="93"/>
        <v>42</v>
      </c>
      <c r="CW163" s="62">
        <f t="shared" si="93"/>
        <v>42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54.765400499999991</v>
      </c>
      <c r="D165" s="263">
        <f t="shared" si="50"/>
        <v>52.580247362842883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40.133852076499998</v>
      </c>
      <c r="D166" s="263">
        <f t="shared" si="50"/>
        <v>38.532501370205729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14</v>
      </c>
      <c r="BH167" s="190">
        <f>IF(BH121&gt;0,HLOOKUP(BH121,[1]Trav!$C$11:$O$31,$AU$166),0)</f>
        <v>14</v>
      </c>
      <c r="BI167" s="190">
        <f>IF(BI121&gt;0,HLOOKUP(BI121,[1]Trav!$C$11:$O$31,$AU$166),0)</f>
        <v>14</v>
      </c>
      <c r="BJ167" s="190">
        <f>IF(BJ121&gt;0,HLOOKUP(BJ121,[1]Trav!$C$11:$O$31,$AU$166),0)</f>
        <v>14</v>
      </c>
      <c r="BK167" s="190">
        <f>IF(BK121&gt;0,HLOOKUP(BK121,[1]Trav!$C$11:$O$31,$AU$166),0)</f>
        <v>14</v>
      </c>
      <c r="BL167" s="190">
        <f>IF(BL121&gt;0,HLOOKUP(BL121,[1]Trav!$C$11:$O$31,$AU$166),0)</f>
        <v>14</v>
      </c>
      <c r="BM167" s="190">
        <f>IF(BM121&gt;0,HLOOKUP(BM121,[1]Trav!$C$11:$O$31,$AU$166),0)</f>
        <v>14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28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14</v>
      </c>
      <c r="BA168" s="190">
        <f>IF(BA122&gt;0,HLOOKUP(BA122,[1]Trav!$C$11:$O$31,$AU$166),0)</f>
        <v>14</v>
      </c>
      <c r="BB168" s="190">
        <f>IF(BB122&gt;0,HLOOKUP(BB122,[1]Trav!$C$11:$O$31,$AU$166),0)</f>
        <v>14</v>
      </c>
      <c r="BC168" s="190">
        <f>IF(BC122&gt;0,HLOOKUP(BC122,[1]Trav!$C$11:$O$31,$AU$166),0)</f>
        <v>14</v>
      </c>
      <c r="BD168" s="190">
        <f>IF(BD122&gt;0,HLOOKUP(BD122,[1]Trav!$C$11:$O$31,$AU$166),0)</f>
        <v>14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14</v>
      </c>
      <c r="BP168" s="190">
        <f>IF(BP122&gt;0,HLOOKUP(BP122,[1]Trav!$C$11:$O$31,$AU$166),0)</f>
        <v>14</v>
      </c>
      <c r="BQ168" s="190">
        <f>IF(BQ122&gt;0,HLOOKUP(BQ122,[1]Trav!$C$11:$O$31,$AU$166),0)</f>
        <v>14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21</v>
      </c>
      <c r="CW168" s="190">
        <f>IF(CW122&gt;0,HLOOKUP(CW122,[1]Trav!$C$11:$O$31,$AU$166),0)</f>
        <v>21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170.19900000000001</v>
      </c>
      <c r="D169" s="263">
        <f t="shared" si="50"/>
        <v>163.40801745635909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134.43117975892173</v>
      </c>
      <c r="D170" s="263">
        <f t="shared" si="50"/>
        <v>129.06734216255578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broutards</v>
      </c>
      <c r="CB170" s="190">
        <f>IF(CB124&gt;0,HLOOKUP(CB124,[1]Trav!$C$11:$O$31,$AU$166),0)</f>
        <v>21</v>
      </c>
      <c r="CC170" s="190">
        <f>IF(CC124&gt;0,HLOOKUP(CC124,[1]Trav!$C$11:$O$31,$AU$166),0)</f>
        <v>21</v>
      </c>
      <c r="CD170" s="190">
        <f>IF(CD124&gt;0,HLOOKUP(CD124,[1]Trav!$C$11:$O$31,$AU$166),0)</f>
        <v>21</v>
      </c>
      <c r="CE170" s="190">
        <f>IF(CE124&gt;0,HLOOKUP(CE124,[1]Trav!$C$11:$O$31,$AU$166),0)</f>
        <v>21</v>
      </c>
      <c r="CF170" s="190">
        <f>IF(CF124&gt;0,HLOOKUP(CF124,[1]Trav!$C$11:$O$31,$AU$166),0)</f>
        <v>21</v>
      </c>
      <c r="CG170" s="190">
        <f>IF(CG124&gt;0,HLOOKUP(CG124,[1]Trav!$C$11:$O$31,$AU$166),0)</f>
        <v>21</v>
      </c>
      <c r="CH170" s="190">
        <f>IF(CH124&gt;0,HLOOKUP(CH124,[1]Trav!$C$11:$O$31,$AU$166),0)</f>
        <v>21</v>
      </c>
      <c r="CI170" s="190">
        <f>IF(CI124&gt;0,HLOOKUP(CI124,[1]Trav!$C$11:$O$31,$AU$166),0)</f>
        <v>21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21</v>
      </c>
      <c r="CU170" s="190">
        <f>IF(CU124&gt;0,HLOOKUP(CU124,[1]Trav!$C$11:$O$31,$AU$166),0)</f>
        <v>21</v>
      </c>
      <c r="CV170" s="190">
        <f>IF(CV124&gt;0,HLOOKUP(CV124,[1]Trav!$C$11:$O$31,$AU$166),0)</f>
        <v>21</v>
      </c>
      <c r="CW170" s="190">
        <f>IF(CW124&gt;0,HLOOKUP(CW124,[1]Trav!$C$11:$O$31,$AU$166),0)</f>
        <v>21</v>
      </c>
      <c r="CX170" s="190">
        <f>IF(CX124&gt;0,HLOOKUP(CX124,[1]Trav!$C$11:$O$31,$AU$166),0)</f>
        <v>21</v>
      </c>
      <c r="CY170" s="190">
        <f>IF(CY124&gt;0,HLOOKUP(CY124,[1]Trav!$C$11:$O$31,$AU$166),0)</f>
        <v>21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84.62</v>
      </c>
      <c r="D171" s="263">
        <f t="shared" si="50"/>
        <v>81.243640897755611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165.79999999999998</v>
      </c>
      <c r="D172" s="263">
        <f t="shared" si="50"/>
        <v>159.18453865336656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35.767820241078283</v>
      </c>
      <c r="D173" s="263">
        <f t="shared" si="50"/>
        <v>34.340675293803336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79</v>
      </c>
      <c r="D174" s="263">
        <f t="shared" si="50"/>
        <v>75.847880299251869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-81.179999999999978</v>
      </c>
      <c r="D175" s="263">
        <f>C175*$D$82/$C$82</f>
        <v>-77.940897755610948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81.179999999999978</v>
      </c>
      <c r="D176" s="263">
        <f>C176*$D$82/$C$82</f>
        <v>77.940897755610948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73</v>
      </c>
      <c r="D178" s="173">
        <f>ROUND((D170+D171)/(D170+D172),2)*100</f>
        <v>73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28</v>
      </c>
      <c r="BB178" s="173">
        <f t="shared" si="98"/>
        <v>28</v>
      </c>
      <c r="BC178" s="173">
        <f t="shared" si="98"/>
        <v>28</v>
      </c>
      <c r="BD178" s="173">
        <f t="shared" si="98"/>
        <v>28</v>
      </c>
      <c r="BE178" s="173">
        <f t="shared" si="98"/>
        <v>28</v>
      </c>
      <c r="BF178" s="173">
        <f t="shared" si="98"/>
        <v>28</v>
      </c>
      <c r="BG178" s="173">
        <f t="shared" si="98"/>
        <v>28</v>
      </c>
      <c r="BH178" s="173">
        <f t="shared" si="98"/>
        <v>28</v>
      </c>
      <c r="BI178" s="173">
        <f t="shared" si="98"/>
        <v>28</v>
      </c>
      <c r="BJ178" s="173">
        <f t="shared" si="98"/>
        <v>28</v>
      </c>
      <c r="BK178" s="173">
        <f t="shared" si="98"/>
        <v>28</v>
      </c>
      <c r="BL178" s="173">
        <f t="shared" si="98"/>
        <v>28</v>
      </c>
      <c r="BM178" s="173">
        <f t="shared" si="98"/>
        <v>28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42</v>
      </c>
      <c r="CC178" s="173">
        <f t="shared" ref="CC178:CY178" si="99">SUM(CC167:CC176)</f>
        <v>42</v>
      </c>
      <c r="CD178" s="173">
        <f t="shared" si="99"/>
        <v>49</v>
      </c>
      <c r="CE178" s="173">
        <f t="shared" si="99"/>
        <v>49</v>
      </c>
      <c r="CF178" s="173">
        <f t="shared" si="99"/>
        <v>49</v>
      </c>
      <c r="CG178" s="173">
        <f t="shared" si="99"/>
        <v>70</v>
      </c>
      <c r="CH178" s="173">
        <f t="shared" si="99"/>
        <v>63</v>
      </c>
      <c r="CI178" s="173">
        <f t="shared" si="99"/>
        <v>63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56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63</v>
      </c>
      <c r="CU178" s="173">
        <f t="shared" si="99"/>
        <v>63</v>
      </c>
      <c r="CV178" s="173">
        <f t="shared" si="99"/>
        <v>63</v>
      </c>
      <c r="CW178" s="173">
        <f t="shared" si="99"/>
        <v>63</v>
      </c>
      <c r="CX178" s="173">
        <f t="shared" si="99"/>
        <v>42</v>
      </c>
      <c r="CY178" s="173">
        <f t="shared" si="99"/>
        <v>42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4317</v>
      </c>
      <c r="D183" s="264">
        <f>ROUND(D184*D185,0)</f>
        <v>4147</v>
      </c>
      <c r="E183" s="17" t="s">
        <v>1295</v>
      </c>
    </row>
    <row r="184" spans="1:132" x14ac:dyDescent="0.25">
      <c r="B184" s="14" t="s">
        <v>1296</v>
      </c>
      <c r="C184" s="173">
        <f>Protection!AK26</f>
        <v>18.7</v>
      </c>
      <c r="D184" s="265">
        <f>C184*D82/C82</f>
        <v>17.953865336658353</v>
      </c>
    </row>
    <row r="185" spans="1:132" x14ac:dyDescent="0.25">
      <c r="B185" s="14" t="s">
        <v>1297</v>
      </c>
      <c r="C185" s="173">
        <f>IF(C183=0,0,ROUND(C183/C184,0))</f>
        <v>231</v>
      </c>
      <c r="D185" s="173">
        <f>C185</f>
        <v>231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0.61250000000000004</v>
      </c>
      <c r="D192" s="266">
        <f>ROUND((D183/1000)*([1]Protect!$B$25*8/10+[1]Protect!$B$26),2)/8</f>
        <v>0.58625000000000005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12.75</v>
      </c>
      <c r="D193" s="173">
        <f>C193</f>
        <v>12.75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3459</v>
      </c>
      <c r="D206" s="261">
        <f>ROUND(C206*D$82/C$82,0)</f>
        <v>3321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1747</v>
      </c>
      <c r="D207" s="264">
        <f>IF(L212&gt;52,52,L212)*IF(Scénario!K2="Exploit. Ind.",1,Scénario!K3)*'Calcul éco'!C43</f>
        <v>1677.6228000000001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2389</v>
      </c>
      <c r="D208" s="261">
        <f>ROUND(C208*D$82/C$82,0)</f>
        <v>2294</v>
      </c>
      <c r="S208" s="14" t="s">
        <v>978</v>
      </c>
      <c r="T208" s="30">
        <f>L212</f>
        <v>34.237200000000001</v>
      </c>
      <c r="W208" s="14" t="s">
        <v>979</v>
      </c>
      <c r="X208" s="173">
        <f>IF(T208&gt;50,25,IF(T208&gt;25,T208-25,0))</f>
        <v>9.2372000000000014</v>
      </c>
      <c r="Y208" s="173">
        <f>Y209+0.66*Y205</f>
        <v>240.28</v>
      </c>
      <c r="Z208" s="173">
        <f t="shared" ref="Z208:Z209" si="105">X208*Y208</f>
        <v>2219.5144160000004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9685</v>
      </c>
      <c r="D209" s="264">
        <f>IF(Scénario!K9=0,0,ROUND(Z210,0))</f>
        <v>10420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0</v>
      </c>
      <c r="Y209" s="190">
        <f>[1]Eco!$B$34</f>
        <v>70</v>
      </c>
      <c r="Z209" s="173">
        <f t="shared" si="105"/>
        <v>0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0</v>
      </c>
      <c r="Y210" s="40" t="s">
        <v>949</v>
      </c>
      <c r="Z210" s="62">
        <f>SUM(Z207:Z209)*IF(Scénario!K2="Exploit. Ind.",1,Scénario!K3)</f>
        <v>10419.514416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30715.200000000001</v>
      </c>
      <c r="D211" s="264">
        <f>ROUND(SUM(D201:D210),0)</f>
        <v>31450</v>
      </c>
      <c r="E211" s="17" t="s">
        <v>1331</v>
      </c>
      <c r="K211" s="40" t="s">
        <v>995</v>
      </c>
      <c r="L211" s="62">
        <f>L209+L210</f>
        <v>34.237200000000001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34.237200000000001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62.204999999999998</v>
      </c>
      <c r="AK216" s="173"/>
      <c r="AL216" s="173"/>
      <c r="AM216" s="173">
        <f>'Calcul éco'!W272</f>
        <v>6</v>
      </c>
      <c r="AN216" s="173">
        <f>AJ216*AM216</f>
        <v>373.23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1907.0060000000001</v>
      </c>
      <c r="D217" s="261">
        <f t="shared" si="106"/>
        <v>1831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22970.259999999995</v>
      </c>
      <c r="D218" s="261">
        <f t="shared" si="106"/>
        <v>22054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3473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388.53</v>
      </c>
      <c r="D220" s="264">
        <f>SUM(AN215:AN219)</f>
        <v>373.23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3">
        <f>ROUND(SUM(C216:C220),0)</f>
        <v>57966</v>
      </c>
      <c r="D221" s="264">
        <f>ROUND(SUM(D216:D220),0)</f>
        <v>55654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4147</v>
      </c>
      <c r="AL225" t="s">
        <v>1101</v>
      </c>
      <c r="AM225" s="173"/>
      <c r="AN225" s="173">
        <f>[1]Protect!$B$4</f>
        <v>6</v>
      </c>
      <c r="AO225" s="173">
        <f>AK225*AN225</f>
        <v>24882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24882</v>
      </c>
      <c r="AQ228" s="30">
        <f>IF(Scénario!K84=1,MIN(0.8*AO228,[1]Protect!$B$68),IF(Scénario!K84=2,MIN(0.8*AO228,[1]Protect!$B$67),0))</f>
        <v>19905.600000000002</v>
      </c>
      <c r="AR228" s="30">
        <f>AO228-AQ228</f>
        <v>4976.3999999999978</v>
      </c>
      <c r="AS228" s="30">
        <f>(1-Scénario!K127/100)*AR228</f>
        <v>4976.3999999999978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-211.77</v>
      </c>
      <c r="D230" s="261">
        <f t="shared" si="109"/>
        <v>-203</v>
      </c>
    </row>
    <row r="231" spans="1:49" x14ac:dyDescent="0.25">
      <c r="B231" s="14" t="s">
        <v>1083</v>
      </c>
      <c r="C231" s="173">
        <f>'Calcul éco'!J159</f>
        <v>-132</v>
      </c>
      <c r="D231" s="261">
        <f t="shared" si="109"/>
        <v>-127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-101.01</v>
      </c>
      <c r="D233" s="261">
        <f t="shared" si="109"/>
        <v>-97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3315.4969999999998</v>
      </c>
      <c r="D235" s="264">
        <f>(D191+D192)*8*[1]Eco!$B$106</f>
        <v>2226.8787000000002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32924</v>
      </c>
      <c r="D236" s="264">
        <f>ROUND(SUM(D222:D235),0)</f>
        <v>30899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1742.1999999999971</v>
      </c>
      <c r="D237" s="264">
        <f>D194+D211-D221-D236</f>
        <v>4343</v>
      </c>
    </row>
    <row r="238" spans="1:49" x14ac:dyDescent="0.25">
      <c r="B238" s="211" t="s">
        <v>1090</v>
      </c>
      <c r="C238" s="173">
        <f>ROUND(C237/Scénario!$K$4,0)</f>
        <v>1161</v>
      </c>
      <c r="D238" s="264">
        <f>ROUND(D237/D83,0)</f>
        <v>2172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638.69640800783895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-10296</v>
      </c>
      <c r="D241" s="268">
        <f>ROUND(D237-D239-D240,0)</f>
        <v>-7057</v>
      </c>
    </row>
    <row r="242" spans="1:15" x14ac:dyDescent="0.25">
      <c r="B242" s="211" t="s">
        <v>1094</v>
      </c>
      <c r="C242" s="173">
        <f>ROUND(C241/Scénario!K4,0)</f>
        <v>-6864</v>
      </c>
      <c r="D242" s="264">
        <f>ROUND(D241/D83,0)</f>
        <v>-3529</v>
      </c>
    </row>
    <row r="243" spans="1:15" x14ac:dyDescent="0.25">
      <c r="B243" s="211" t="s">
        <v>1357</v>
      </c>
      <c r="C243" s="173">
        <f>'Calcul éco'!X237+'Calcul éco'!X240</f>
        <v>25902</v>
      </c>
      <c r="D243" s="173">
        <f>C243</f>
        <v>25902</v>
      </c>
    </row>
    <row r="244" spans="1:15" x14ac:dyDescent="0.25">
      <c r="B244" s="211" t="s">
        <v>1358</v>
      </c>
      <c r="C244" s="173">
        <f>'Calcul éco'!AA237+'Calcul éco'!AA240</f>
        <v>5180.3999999999978</v>
      </c>
      <c r="D244" s="173">
        <f>C244</f>
        <v>5180.3999999999978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140.69999999999999</v>
      </c>
      <c r="D246" s="173">
        <f t="shared" ref="D246:D247" si="112">C246</f>
        <v>140.69999999999999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1042.5398260869561</v>
      </c>
      <c r="D248" s="264">
        <f>ROUND(SUM(AV163:BS163),1)</f>
        <v>1031.0999999999999</v>
      </c>
    </row>
    <row r="249" spans="1:15" x14ac:dyDescent="0.25">
      <c r="B249" s="14" t="s">
        <v>601</v>
      </c>
      <c r="C249" s="270">
        <f>Travail!F10</f>
        <v>1008</v>
      </c>
      <c r="D249" s="264">
        <f>SUM(CB163:CY163)</f>
        <v>1008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14.6898</v>
      </c>
      <c r="L258" s="190">
        <f>IF(K258&gt;[1]Trav!E121,[1]Trav!C121,[1]Trav!B121)</f>
        <v>7.2</v>
      </c>
      <c r="N258" s="274"/>
      <c r="O258">
        <f t="shared" si="114"/>
        <v>105.76656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11.137</v>
      </c>
      <c r="L259" s="190">
        <f>IF(K259&gt;[1]Trav!E121,[1]Trav!C121,[1]Trav!B121)</f>
        <v>7.2</v>
      </c>
      <c r="N259" s="274"/>
      <c r="O259">
        <f t="shared" si="114"/>
        <v>80.186400000000006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1.6319999999999999</v>
      </c>
      <c r="L261" s="190">
        <f>IF(K261&gt;[1]Trav!E122,[1]Trav!C122,[1]Trav!B122)</f>
        <v>4.4000000000000004</v>
      </c>
      <c r="M261" s="5"/>
      <c r="N261" s="274"/>
      <c r="O261">
        <f t="shared" si="114"/>
        <v>7.1808000000000005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110</v>
      </c>
      <c r="D267" s="264">
        <f t="shared" si="116"/>
        <v>106</v>
      </c>
    </row>
    <row r="268" spans="1:15" x14ac:dyDescent="0.25">
      <c r="B268" s="32" t="s">
        <v>791</v>
      </c>
      <c r="C268" s="270">
        <f>Travail!F56</f>
        <v>84</v>
      </c>
      <c r="D268" s="264">
        <f t="shared" si="116"/>
        <v>80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7</v>
      </c>
      <c r="D270" s="264">
        <f t="shared" si="116"/>
        <v>7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4.9000000000000004</v>
      </c>
      <c r="D276" s="264">
        <f>D192*8</f>
        <v>4.6900000000000004</v>
      </c>
    </row>
    <row r="277" spans="1:4" x14ac:dyDescent="0.25">
      <c r="B277" s="32" t="s">
        <v>1419</v>
      </c>
      <c r="C277" s="270">
        <f>Travail!F75+Travail!F81</f>
        <v>102</v>
      </c>
      <c r="D277" s="173">
        <f>C277</f>
        <v>102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3008</v>
      </c>
      <c r="D281" s="264">
        <f>ROUND(D245+D248+D251+D254+D257+D260+D261,0)</f>
        <v>2950</v>
      </c>
    </row>
    <row r="282" spans="1:4" x14ac:dyDescent="0.25">
      <c r="B282" s="14" t="s">
        <v>1372</v>
      </c>
      <c r="C282" s="173">
        <f>ROUND(C246+C249+C252+C255+C258,0)</f>
        <v>1239</v>
      </c>
      <c r="D282" s="264">
        <f>ROUND(D246+D249+D252+D255+D258,0)</f>
        <v>1235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9.89</v>
      </c>
      <c r="D284" s="173">
        <f>ROUND(D281/(Troupeau!$B$17*G63),2)</f>
        <v>10.11</v>
      </c>
    </row>
    <row r="285" spans="1:4" x14ac:dyDescent="0.25">
      <c r="B285" s="14" t="s">
        <v>1375</v>
      </c>
      <c r="C285" s="173">
        <f>IF(Troupeau!$C$17=0,0,ROUND(C282/Troupeau!$C$17,2))</f>
        <v>65.209999999999994</v>
      </c>
      <c r="D285" s="173">
        <f>IF(Troupeau!$C$17=0,0,ROUND(D282/Troupeau!$C$17*G63,2))</f>
        <v>62.41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4247</v>
      </c>
      <c r="D287" s="264">
        <f>SUM(D281:D283)</f>
        <v>4185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257</v>
      </c>
      <c r="D289" s="264">
        <f>SUM(D262:D271)</f>
        <v>250</v>
      </c>
    </row>
    <row r="290" spans="2:4" x14ac:dyDescent="0.25">
      <c r="B290" s="14" t="s">
        <v>1421</v>
      </c>
      <c r="C290" s="270">
        <f>C275+C276+C277</f>
        <v>311.70000000000005</v>
      </c>
      <c r="D290" s="277">
        <f>D275+D276+D277</f>
        <v>311.49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5416</v>
      </c>
      <c r="D292" s="264">
        <f>ROUND(SUM(D287:D291),0)</f>
        <v>5346</v>
      </c>
    </row>
    <row r="293" spans="2:4" x14ac:dyDescent="0.25">
      <c r="B293" s="14" t="s">
        <v>874</v>
      </c>
      <c r="C293" s="173">
        <f>ROUND(IF(Scénario!$K$129=1,SUM(C275:C280),SUM(C278:C280)),0)</f>
        <v>312</v>
      </c>
      <c r="D293" s="173">
        <f>ROUND(IF(Scénario!$K$129=1,SUM(D275:D280),SUM(D278:D280)),0)</f>
        <v>311</v>
      </c>
    </row>
    <row r="294" spans="2:4" x14ac:dyDescent="0.25">
      <c r="B294" s="14" t="s">
        <v>875</v>
      </c>
      <c r="C294" s="173">
        <f>ROUND((C292-C293)/C83,0)</f>
        <v>3403</v>
      </c>
      <c r="D294" s="173">
        <f>ROUND((D292-D293)/D83,0)</f>
        <v>2518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79.665779258921717</v>
      </c>
    </row>
    <row r="299" spans="2:4" x14ac:dyDescent="0.25">
      <c r="B299" s="14" t="s">
        <v>1451</v>
      </c>
      <c r="C299" s="173">
        <f>IF(Troupeau!$B$3="OL",CdTrp1!AA221,0)</f>
        <v>0</v>
      </c>
    </row>
    <row r="300" spans="2:4" x14ac:dyDescent="0.25">
      <c r="B300" s="14" t="s">
        <v>1452</v>
      </c>
      <c r="C300" s="173">
        <f>IF(Troupeau!$B$3="BV",CdTrp1!AA220,0)+IF(Troupeau!$C$3="BV",CdTrp2!AA220,0)</f>
        <v>54.765400499999977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0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25902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25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44.783999999999999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267.85043478260872</v>
      </c>
      <c r="N63" s="61">
        <f t="shared" si="18"/>
        <v>276.77878260869568</v>
      </c>
      <c r="O63" s="61">
        <f t="shared" si="18"/>
        <v>276.77878260869568</v>
      </c>
      <c r="P63" s="61">
        <f t="shared" si="18"/>
        <v>276.77878260869568</v>
      </c>
      <c r="Q63" s="61">
        <f t="shared" si="18"/>
        <v>276.77878260869568</v>
      </c>
      <c r="R63" s="61">
        <f t="shared" si="18"/>
        <v>267.85043478260872</v>
      </c>
      <c r="S63" s="61">
        <f t="shared" si="18"/>
        <v>267.85043478260872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304</v>
      </c>
      <c r="N73" s="64">
        <f t="shared" si="28"/>
        <v>314</v>
      </c>
      <c r="O73" s="64">
        <f t="shared" si="28"/>
        <v>314</v>
      </c>
      <c r="P73" s="64">
        <f t="shared" si="28"/>
        <v>314</v>
      </c>
      <c r="Q73" s="64">
        <f t="shared" si="28"/>
        <v>314</v>
      </c>
      <c r="R73" s="64">
        <f t="shared" si="28"/>
        <v>304</v>
      </c>
      <c r="S73" s="64">
        <f t="shared" si="28"/>
        <v>304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9952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156">
        <v>0.8</v>
      </c>
      <c r="N123" s="156">
        <v>0.8</v>
      </c>
      <c r="O123" s="156">
        <v>0.6</v>
      </c>
      <c r="P123" s="156">
        <v>0.6</v>
      </c>
      <c r="Q123" s="156">
        <v>0.6</v>
      </c>
      <c r="R123" s="156">
        <v>0.7</v>
      </c>
      <c r="S123" s="156">
        <v>0.7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1.0789015513043476</v>
      </c>
      <c r="N136" s="61">
        <f t="shared" si="51"/>
        <v>1.1148649363478258</v>
      </c>
      <c r="O136" s="61">
        <f t="shared" si="51"/>
        <v>2.2297298726956525</v>
      </c>
      <c r="P136" s="61">
        <f t="shared" si="51"/>
        <v>2.2297298726956525</v>
      </c>
      <c r="Q136" s="61">
        <f t="shared" si="51"/>
        <v>2.2297298726956525</v>
      </c>
      <c r="R136" s="61">
        <f t="shared" si="51"/>
        <v>1.6183523269565221</v>
      </c>
      <c r="S136" s="61">
        <f t="shared" si="51"/>
        <v>1.6183523269565221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116.85133467499135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125.03362420542614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137.53698662596875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4.3156062052173922</v>
      </c>
      <c r="N149" s="61">
        <f t="shared" si="55"/>
        <v>4.459459745391305</v>
      </c>
      <c r="O149" s="61">
        <f t="shared" si="55"/>
        <v>3.3445948090434783</v>
      </c>
      <c r="P149" s="61">
        <f t="shared" si="55"/>
        <v>3.3445948090434783</v>
      </c>
      <c r="Q149" s="61">
        <f t="shared" si="55"/>
        <v>3.3445948090434783</v>
      </c>
      <c r="R149" s="61">
        <f t="shared" si="55"/>
        <v>3.7761554295652173</v>
      </c>
      <c r="S149" s="61">
        <f t="shared" si="55"/>
        <v>3.7761554295652173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79.665779258921688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4.3156062052173922</v>
      </c>
      <c r="N162" s="61">
        <f t="shared" si="65"/>
        <v>4.459459745391305</v>
      </c>
      <c r="O162" s="61">
        <f t="shared" si="65"/>
        <v>3.3445948090434783</v>
      </c>
      <c r="P162" s="61">
        <f t="shared" si="65"/>
        <v>3.3445948090434783</v>
      </c>
      <c r="Q162" s="61">
        <f t="shared" si="65"/>
        <v>3.3445948090434783</v>
      </c>
      <c r="R162" s="61">
        <f t="shared" si="65"/>
        <v>3.7761554295652173</v>
      </c>
      <c r="S162" s="61">
        <f t="shared" si="65"/>
        <v>3.7761554295652173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0.70843895652173916</v>
      </c>
      <c r="G163" s="61">
        <f t="shared" si="66"/>
        <v>0.70843895652173916</v>
      </c>
      <c r="H163" s="61">
        <f t="shared" si="66"/>
        <v>0.6855860869565219</v>
      </c>
      <c r="I163" s="61">
        <f t="shared" si="66"/>
        <v>0.6855860869565219</v>
      </c>
      <c r="J163" s="61">
        <f t="shared" si="66"/>
        <v>0.70843895652173916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0.70843895652173916</v>
      </c>
      <c r="V163" s="61">
        <f t="shared" si="66"/>
        <v>0.6855860869565219</v>
      </c>
      <c r="W163" s="61">
        <f t="shared" si="66"/>
        <v>0.6855860869565219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0.70843895652173916</v>
      </c>
      <c r="G172" s="61">
        <f t="shared" si="75"/>
        <v>6.0856971450434791</v>
      </c>
      <c r="H172" s="61">
        <f t="shared" si="75"/>
        <v>5.8624216486956549</v>
      </c>
      <c r="I172" s="61">
        <f t="shared" si="75"/>
        <v>5.8354589634782617</v>
      </c>
      <c r="J172" s="61">
        <f t="shared" si="75"/>
        <v>5.9742513794782619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5.2537766400000008</v>
      </c>
      <c r="N172" s="61">
        <f t="shared" si="75"/>
        <v>5.4289025280000009</v>
      </c>
      <c r="O172" s="61">
        <f t="shared" si="75"/>
        <v>4.3140375916521743</v>
      </c>
      <c r="P172" s="61">
        <f t="shared" si="75"/>
        <v>4.3140375916521743</v>
      </c>
      <c r="Q172" s="61">
        <f t="shared" si="75"/>
        <v>4.3140375916521743</v>
      </c>
      <c r="R172" s="61">
        <f t="shared" si="75"/>
        <v>4.7143258643478259</v>
      </c>
      <c r="S172" s="61">
        <f t="shared" si="75"/>
        <v>4.7143258643478259</v>
      </c>
      <c r="T172" s="61">
        <f t="shared" si="75"/>
        <v>2.4143940950956533</v>
      </c>
      <c r="U172" s="61">
        <f t="shared" si="75"/>
        <v>3.5643055353043485</v>
      </c>
      <c r="V172" s="61">
        <f t="shared" si="75"/>
        <v>0.6855860869565219</v>
      </c>
      <c r="W172" s="61">
        <f t="shared" si="75"/>
        <v>0.6855860869565219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79.665779258921717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0.70843895652173916</v>
      </c>
      <c r="G215" s="61">
        <f t="shared" si="108"/>
        <v>6.0856971450434791</v>
      </c>
      <c r="H215" s="61">
        <f t="shared" si="108"/>
        <v>5.8624216486956549</v>
      </c>
      <c r="I215" s="61">
        <f t="shared" si="108"/>
        <v>5.8354589634782617</v>
      </c>
      <c r="J215" s="61">
        <f t="shared" si="108"/>
        <v>5.9742513794782619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5.2537766400000008</v>
      </c>
      <c r="N215" s="61">
        <f t="shared" si="108"/>
        <v>5.4289025280000009</v>
      </c>
      <c r="O215" s="61">
        <f t="shared" si="108"/>
        <v>4.3140375916521743</v>
      </c>
      <c r="P215" s="61">
        <f t="shared" si="108"/>
        <v>4.3140375916521743</v>
      </c>
      <c r="Q215" s="61">
        <f t="shared" si="108"/>
        <v>4.3140375916521743</v>
      </c>
      <c r="R215" s="61">
        <f t="shared" si="108"/>
        <v>4.7143258643478259</v>
      </c>
      <c r="S215" s="61">
        <f t="shared" si="108"/>
        <v>4.7143258643478259</v>
      </c>
      <c r="T215" s="61">
        <f t="shared" si="108"/>
        <v>2.4143940950956533</v>
      </c>
      <c r="U215" s="61">
        <f t="shared" si="108"/>
        <v>3.5643055353043485</v>
      </c>
      <c r="V215" s="61">
        <f t="shared" si="108"/>
        <v>0.6855860869565219</v>
      </c>
      <c r="W215" s="61">
        <f t="shared" si="108"/>
        <v>0.6855860869565219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79.665779258921717</v>
      </c>
      <c r="AB219" t="s">
        <v>222</v>
      </c>
    </row>
    <row r="220" spans="1:28" x14ac:dyDescent="0.25">
      <c r="AA220" s="30">
        <f>SUM(B215:Y217)</f>
        <v>79.665779258921717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B18" sqref="B18:Y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1464</v>
      </c>
      <c r="B18" s="162">
        <v>10.6</v>
      </c>
      <c r="C18" s="162">
        <v>10.6</v>
      </c>
      <c r="D18" s="162">
        <v>10.6</v>
      </c>
      <c r="E18" s="162">
        <v>10.6</v>
      </c>
      <c r="F18" s="162">
        <v>10.6</v>
      </c>
      <c r="G18" s="162">
        <v>5.04</v>
      </c>
      <c r="H18" s="162">
        <v>3.36</v>
      </c>
      <c r="I18" s="162">
        <v>1.68</v>
      </c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>
        <v>1.68</v>
      </c>
      <c r="U18" s="162">
        <v>5.04</v>
      </c>
      <c r="V18" s="162">
        <v>6.72</v>
      </c>
      <c r="W18" s="162">
        <v>8.4</v>
      </c>
      <c r="X18" s="162">
        <v>10.6</v>
      </c>
      <c r="Y18" s="162">
        <v>11.8</v>
      </c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broutards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12.273999999999999</v>
      </c>
      <c r="C39" s="61">
        <f t="shared" ref="C39:Y48" si="13">C15*C27</f>
        <v>12.273999999999999</v>
      </c>
      <c r="D39" s="61">
        <f t="shared" si="13"/>
        <v>12.273999999999999</v>
      </c>
      <c r="E39" s="61">
        <f t="shared" si="13"/>
        <v>12.273999999999999</v>
      </c>
      <c r="F39" s="61">
        <f t="shared" si="13"/>
        <v>12.273999999999999</v>
      </c>
      <c r="G39" s="61">
        <f t="shared" si="13"/>
        <v>12.273999999999999</v>
      </c>
      <c r="H39" s="61">
        <f t="shared" si="13"/>
        <v>12.273999999999999</v>
      </c>
      <c r="I39" s="61">
        <f t="shared" si="13"/>
        <v>12.273999999999999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11.628</v>
      </c>
      <c r="U39" s="61">
        <f t="shared" si="13"/>
        <v>11.628</v>
      </c>
      <c r="V39" s="61">
        <f t="shared" si="13"/>
        <v>12.273999999999999</v>
      </c>
      <c r="W39" s="61">
        <f t="shared" si="13"/>
        <v>12.273999999999999</v>
      </c>
      <c r="X39" s="61">
        <f t="shared" si="13"/>
        <v>12.273999999999999</v>
      </c>
      <c r="Y39" s="61">
        <f t="shared" si="13"/>
        <v>12.273999999999999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broutards</v>
      </c>
      <c r="B42" s="61">
        <f t="shared" si="14"/>
        <v>1.5899999999999999</v>
      </c>
      <c r="C42" s="61">
        <f t="shared" si="13"/>
        <v>1.5899999999999999</v>
      </c>
      <c r="D42" s="61">
        <f t="shared" si="13"/>
        <v>1.5899999999999999</v>
      </c>
      <c r="E42" s="61">
        <f t="shared" si="13"/>
        <v>1.5899999999999999</v>
      </c>
      <c r="F42" s="61">
        <f t="shared" si="13"/>
        <v>1.5899999999999999</v>
      </c>
      <c r="G42" s="61">
        <f t="shared" si="13"/>
        <v>0.75600000000000001</v>
      </c>
      <c r="H42" s="61">
        <f t="shared" si="13"/>
        <v>0.504</v>
      </c>
      <c r="I42" s="61">
        <f t="shared" si="13"/>
        <v>0.252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0.252</v>
      </c>
      <c r="U42" s="61">
        <f t="shared" si="13"/>
        <v>0.75600000000000001</v>
      </c>
      <c r="V42" s="61">
        <f t="shared" si="13"/>
        <v>1.008</v>
      </c>
      <c r="W42" s="61">
        <f t="shared" si="13"/>
        <v>1.26</v>
      </c>
      <c r="X42" s="61">
        <f t="shared" si="13"/>
        <v>1.5899999999999999</v>
      </c>
      <c r="Y42" s="61">
        <f t="shared" si="13"/>
        <v>1.77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20.247999999999998</v>
      </c>
      <c r="C49" s="62">
        <f t="shared" ref="C49:Y49" si="15">SUM(C39:C48)</f>
        <v>20.247999999999998</v>
      </c>
      <c r="D49" s="62">
        <f t="shared" si="15"/>
        <v>20.247999999999998</v>
      </c>
      <c r="E49" s="62">
        <f t="shared" si="15"/>
        <v>20.247999999999998</v>
      </c>
      <c r="F49" s="62">
        <f t="shared" si="15"/>
        <v>20.247999999999998</v>
      </c>
      <c r="G49" s="62">
        <f t="shared" si="15"/>
        <v>19.945999999999998</v>
      </c>
      <c r="H49" s="62">
        <f t="shared" si="15"/>
        <v>20.225999999999999</v>
      </c>
      <c r="I49" s="62">
        <f t="shared" si="15"/>
        <v>20.505999999999997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19.593999999999998</v>
      </c>
      <c r="U49" s="62">
        <f t="shared" si="15"/>
        <v>20.097999999999999</v>
      </c>
      <c r="V49" s="62">
        <f t="shared" si="15"/>
        <v>20.197999999999997</v>
      </c>
      <c r="W49" s="62">
        <f t="shared" si="15"/>
        <v>20.184000000000001</v>
      </c>
      <c r="X49" s="62">
        <f t="shared" si="15"/>
        <v>20.247999999999998</v>
      </c>
      <c r="Y49" s="62">
        <f t="shared" si="15"/>
        <v>20.427999999999997</v>
      </c>
      <c r="Z49" s="23"/>
      <c r="AA49" s="46">
        <f>AVERAGE(B49:Y49)</f>
        <v>20.163166666666665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broutards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16.055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>B39*B52*B$3</f>
        <v>190.24699999999999</v>
      </c>
      <c r="C63" s="61">
        <f t="shared" ref="B63:Y72" si="18">C39*C52*C$3</f>
        <v>190.24699999999999</v>
      </c>
      <c r="D63" s="61">
        <f t="shared" si="18"/>
        <v>171.83599999999998</v>
      </c>
      <c r="E63" s="61">
        <f t="shared" si="18"/>
        <v>171.83599999999998</v>
      </c>
      <c r="F63" s="61">
        <f t="shared" si="18"/>
        <v>190.24699999999999</v>
      </c>
      <c r="G63" s="61">
        <f t="shared" si="18"/>
        <v>190.24699999999999</v>
      </c>
      <c r="H63" s="61">
        <f t="shared" si="18"/>
        <v>92.054999999999993</v>
      </c>
      <c r="I63" s="61">
        <f t="shared" si="18"/>
        <v>92.054999999999993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90.117000000000004</v>
      </c>
      <c r="U63" s="61">
        <f t="shared" si="18"/>
        <v>90.117000000000004</v>
      </c>
      <c r="V63" s="61">
        <f t="shared" si="18"/>
        <v>92.054999999999993</v>
      </c>
      <c r="W63" s="61">
        <f t="shared" si="18"/>
        <v>92.054999999999993</v>
      </c>
      <c r="X63" s="61">
        <f t="shared" si="18"/>
        <v>190.24699999999999</v>
      </c>
      <c r="Y63" s="61">
        <f t="shared" si="18"/>
        <v>190.24699999999999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8.2459999999999987</v>
      </c>
      <c r="H64" s="61">
        <f t="shared" si="18"/>
        <v>15.959999999999997</v>
      </c>
      <c r="I64" s="61">
        <f t="shared" si="18"/>
        <v>23.939999999999998</v>
      </c>
      <c r="J64" s="61">
        <f t="shared" si="18"/>
        <v>24.738</v>
      </c>
      <c r="K64" s="61">
        <f t="shared" si="18"/>
        <v>24.738</v>
      </c>
      <c r="L64" s="61">
        <f t="shared" si="18"/>
        <v>23.939999999999998</v>
      </c>
      <c r="M64" s="61">
        <f t="shared" si="18"/>
        <v>23.939999999999998</v>
      </c>
      <c r="N64" s="61">
        <f t="shared" si="18"/>
        <v>24.738</v>
      </c>
      <c r="O64" s="61">
        <f t="shared" si="18"/>
        <v>24.738</v>
      </c>
      <c r="P64" s="61">
        <f t="shared" si="18"/>
        <v>24.738</v>
      </c>
      <c r="Q64" s="61">
        <f t="shared" si="18"/>
        <v>24.738</v>
      </c>
      <c r="R64" s="61">
        <f t="shared" si="18"/>
        <v>23.939999999999998</v>
      </c>
      <c r="S64" s="61">
        <f t="shared" si="18"/>
        <v>23.939999999999998</v>
      </c>
      <c r="T64" s="61">
        <f t="shared" si="18"/>
        <v>20.614999999999998</v>
      </c>
      <c r="U64" s="61">
        <f t="shared" si="18"/>
        <v>20.614999999999998</v>
      </c>
      <c r="V64" s="61">
        <f t="shared" si="18"/>
        <v>7.9799999999999986</v>
      </c>
      <c r="W64" s="61">
        <f t="shared" si="18"/>
        <v>3.9899999999999993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broutards</v>
      </c>
      <c r="B66" s="61">
        <f t="shared" si="18"/>
        <v>24.644999999999996</v>
      </c>
      <c r="C66" s="61">
        <f t="shared" si="18"/>
        <v>24.644999999999996</v>
      </c>
      <c r="D66" s="61">
        <f t="shared" si="18"/>
        <v>22.259999999999998</v>
      </c>
      <c r="E66" s="61">
        <f t="shared" si="18"/>
        <v>22.259999999999998</v>
      </c>
      <c r="F66" s="61">
        <f t="shared" si="18"/>
        <v>24.644999999999996</v>
      </c>
      <c r="G66" s="61">
        <f t="shared" si="18"/>
        <v>11.718</v>
      </c>
      <c r="H66" s="61">
        <f t="shared" si="18"/>
        <v>7.5600000000000005</v>
      </c>
      <c r="I66" s="61">
        <f t="shared" si="18"/>
        <v>3.7800000000000002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3.9060000000000001</v>
      </c>
      <c r="U66" s="61">
        <f t="shared" si="18"/>
        <v>11.718</v>
      </c>
      <c r="V66" s="61">
        <f t="shared" si="18"/>
        <v>15.120000000000001</v>
      </c>
      <c r="W66" s="61">
        <f t="shared" si="18"/>
        <v>18.899999999999999</v>
      </c>
      <c r="X66" s="61">
        <f t="shared" si="18"/>
        <v>24.644999999999996</v>
      </c>
      <c r="Y66" s="61">
        <f t="shared" si="18"/>
        <v>27.434999999999999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314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210</v>
      </c>
      <c r="H73" s="64">
        <f t="shared" si="19"/>
        <v>116</v>
      </c>
      <c r="I73" s="64">
        <f t="shared" si="19"/>
        <v>120</v>
      </c>
      <c r="J73" s="64">
        <f t="shared" si="19"/>
        <v>120</v>
      </c>
      <c r="K73" s="64">
        <f t="shared" si="19"/>
        <v>120</v>
      </c>
      <c r="L73" s="64">
        <f t="shared" si="19"/>
        <v>24</v>
      </c>
      <c r="M73" s="64">
        <f t="shared" si="19"/>
        <v>24</v>
      </c>
      <c r="N73" s="64">
        <f t="shared" si="19"/>
        <v>25</v>
      </c>
      <c r="O73" s="64">
        <f t="shared" si="19"/>
        <v>25</v>
      </c>
      <c r="P73" s="64">
        <f t="shared" si="19"/>
        <v>25</v>
      </c>
      <c r="Q73" s="64">
        <f t="shared" si="19"/>
        <v>25</v>
      </c>
      <c r="R73" s="64">
        <f t="shared" si="19"/>
        <v>24</v>
      </c>
      <c r="S73" s="64">
        <f t="shared" si="19"/>
        <v>24</v>
      </c>
      <c r="T73" s="64">
        <f t="shared" si="19"/>
        <v>115</v>
      </c>
      <c r="U73" s="64">
        <f t="shared" si="19"/>
        <v>122</v>
      </c>
      <c r="V73" s="64">
        <f t="shared" si="19"/>
        <v>115</v>
      </c>
      <c r="W73" s="64">
        <f t="shared" si="19"/>
        <v>115</v>
      </c>
      <c r="X73" s="64">
        <f t="shared" si="19"/>
        <v>314</v>
      </c>
      <c r="Y73" s="64">
        <f t="shared" si="19"/>
        <v>317</v>
      </c>
      <c r="Z73" s="52"/>
      <c r="AA73" s="56">
        <f>ROUND(SUM(B73:Y73),0)</f>
        <v>3211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1</v>
      </c>
      <c r="Q76" s="60">
        <v>1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3</v>
      </c>
      <c r="G78" s="60">
        <v>2</v>
      </c>
      <c r="H78" s="60">
        <v>2</v>
      </c>
      <c r="I78" s="60">
        <v>2</v>
      </c>
      <c r="J78" s="60">
        <v>3</v>
      </c>
      <c r="K78" s="60">
        <v>2</v>
      </c>
      <c r="L78" s="60">
        <v>2</v>
      </c>
      <c r="M78" s="60">
        <v>2</v>
      </c>
      <c r="N78" s="60">
        <v>3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3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broutards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2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broutards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broutards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2.3692093066666668</v>
      </c>
      <c r="C110" s="61">
        <f t="shared" si="31"/>
        <v>2.3692093066666668</v>
      </c>
      <c r="D110" s="61">
        <f t="shared" si="31"/>
        <v>2.1399309866666663</v>
      </c>
      <c r="E110" s="61">
        <f t="shared" si="31"/>
        <v>2.1399309866666663</v>
      </c>
      <c r="F110" s="61">
        <f t="shared" si="31"/>
        <v>2.3692093066666668</v>
      </c>
      <c r="G110" s="61">
        <f t="shared" si="31"/>
        <v>2.3692093066666668</v>
      </c>
      <c r="H110" s="61">
        <f t="shared" si="31"/>
        <v>2.2553475000000001</v>
      </c>
      <c r="I110" s="61">
        <f t="shared" si="31"/>
        <v>2.2553475000000001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2.5232760000000001</v>
      </c>
      <c r="U110" s="61">
        <f t="shared" si="31"/>
        <v>2.5232760000000001</v>
      </c>
      <c r="V110" s="61">
        <f t="shared" si="31"/>
        <v>2.5775399999999999</v>
      </c>
      <c r="W110" s="61">
        <f t="shared" si="31"/>
        <v>2.5775399999999999</v>
      </c>
      <c r="X110" s="61">
        <f t="shared" si="31"/>
        <v>2.3692093066666668</v>
      </c>
      <c r="Y110" s="61">
        <f t="shared" si="31"/>
        <v>2.3692093066666668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broutards</v>
      </c>
      <c r="B113" s="61">
        <f t="shared" si="31"/>
        <v>0.30190124999999995</v>
      </c>
      <c r="C113" s="61">
        <f t="shared" si="31"/>
        <v>0.30190124999999995</v>
      </c>
      <c r="D113" s="61">
        <f t="shared" si="31"/>
        <v>0.27268500000000001</v>
      </c>
      <c r="E113" s="61">
        <f t="shared" si="31"/>
        <v>0.27268500000000001</v>
      </c>
      <c r="F113" s="61">
        <f t="shared" si="31"/>
        <v>0.30190124999999995</v>
      </c>
      <c r="G113" s="61">
        <f t="shared" si="31"/>
        <v>0.14354549999999999</v>
      </c>
      <c r="H113" s="61">
        <f t="shared" si="31"/>
        <v>9.2609999999999998E-2</v>
      </c>
      <c r="I113" s="61">
        <f t="shared" si="31"/>
        <v>4.6304999999999999E-2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4.7848500000000002E-2</v>
      </c>
      <c r="U113" s="61">
        <f t="shared" si="31"/>
        <v>0.14354549999999999</v>
      </c>
      <c r="V113" s="61">
        <f t="shared" si="31"/>
        <v>0.18522</v>
      </c>
      <c r="W113" s="61">
        <f t="shared" si="31"/>
        <v>0.23152499999999998</v>
      </c>
      <c r="X113" s="61">
        <f t="shared" si="31"/>
        <v>0.30190124999999995</v>
      </c>
      <c r="Y113" s="61">
        <f t="shared" si="31"/>
        <v>0.33607874999999998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3.9033927966666666</v>
      </c>
      <c r="D120" s="61">
        <f t="shared" si="32"/>
        <v>3.5256451066666665</v>
      </c>
      <c r="E120" s="61">
        <f t="shared" si="32"/>
        <v>3.5256451066666665</v>
      </c>
      <c r="F120" s="61">
        <f t="shared" si="32"/>
        <v>3.9574865566666664</v>
      </c>
      <c r="G120" s="61">
        <f t="shared" si="32"/>
        <v>3.906328806666667</v>
      </c>
      <c r="H120" s="61">
        <f t="shared" si="32"/>
        <v>3.8003174999999998</v>
      </c>
      <c r="I120" s="61">
        <f t="shared" si="32"/>
        <v>3.8577524999999997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4.1254954999999995</v>
      </c>
      <c r="U120" s="61">
        <f t="shared" si="32"/>
        <v>4.2211924999999999</v>
      </c>
      <c r="V120" s="61">
        <f t="shared" si="32"/>
        <v>4.1113800000000005</v>
      </c>
      <c r="W120" s="61">
        <f t="shared" si="32"/>
        <v>4.1058149999999998</v>
      </c>
      <c r="X120" s="61">
        <f t="shared" si="32"/>
        <v>3.9033927966666666</v>
      </c>
      <c r="Y120" s="61">
        <f t="shared" si="32"/>
        <v>3.9375702966666668</v>
      </c>
      <c r="AA120" s="57">
        <f>SUM(B120:Y120)</f>
        <v>93.084723966666672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broutards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2.3692093066666668</v>
      </c>
      <c r="C136" s="61">
        <f t="shared" ref="C136:Y136" si="33">C110*(1-C123)</f>
        <v>2.3692093066666668</v>
      </c>
      <c r="D136" s="61">
        <f t="shared" si="33"/>
        <v>2.1399309866666663</v>
      </c>
      <c r="E136" s="61">
        <f t="shared" si="33"/>
        <v>2.1399309866666663</v>
      </c>
      <c r="F136" s="61">
        <f t="shared" si="33"/>
        <v>2.3692093066666668</v>
      </c>
      <c r="G136" s="61">
        <f t="shared" si="33"/>
        <v>2.3692093066666668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1.261638</v>
      </c>
      <c r="U136" s="61">
        <f t="shared" si="33"/>
        <v>1.261638</v>
      </c>
      <c r="V136" s="61">
        <f t="shared" si="33"/>
        <v>1.28877</v>
      </c>
      <c r="W136" s="61">
        <f t="shared" si="33"/>
        <v>1.28877</v>
      </c>
      <c r="X136" s="61">
        <f t="shared" si="33"/>
        <v>2.3692093066666668</v>
      </c>
      <c r="Y136" s="61">
        <f t="shared" si="33"/>
        <v>2.3692093066666668</v>
      </c>
      <c r="AA136" s="61">
        <f>SUM(B136:Y136)</f>
        <v>23.595933813333332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0.10719799999999997</v>
      </c>
      <c r="H137" s="61">
        <f t="shared" si="34"/>
        <v>0.20747999999999997</v>
      </c>
      <c r="I137" s="61">
        <f t="shared" si="34"/>
        <v>0.31122</v>
      </c>
      <c r="J137" s="61">
        <f t="shared" si="34"/>
        <v>0.32159399999999999</v>
      </c>
      <c r="K137" s="61">
        <f t="shared" si="34"/>
        <v>0.32159399999999999</v>
      </c>
      <c r="L137" s="61">
        <f t="shared" si="34"/>
        <v>0.31122</v>
      </c>
      <c r="M137" s="61">
        <f t="shared" si="34"/>
        <v>0.31122</v>
      </c>
      <c r="N137" s="61">
        <f t="shared" si="34"/>
        <v>0.32159399999999999</v>
      </c>
      <c r="O137" s="61">
        <f t="shared" si="34"/>
        <v>0.32159399999999999</v>
      </c>
      <c r="P137" s="61">
        <f t="shared" si="34"/>
        <v>0.32159399999999999</v>
      </c>
      <c r="Q137" s="61">
        <f t="shared" si="34"/>
        <v>0.32159399999999999</v>
      </c>
      <c r="R137" s="61">
        <f t="shared" si="34"/>
        <v>0.31122</v>
      </c>
      <c r="S137" s="61">
        <f t="shared" si="34"/>
        <v>0.31122</v>
      </c>
      <c r="T137" s="61">
        <f t="shared" si="34"/>
        <v>0.26799499999999998</v>
      </c>
      <c r="U137" s="61">
        <f t="shared" si="34"/>
        <v>0.26799499999999998</v>
      </c>
      <c r="V137" s="61">
        <f t="shared" si="34"/>
        <v>0.10373999999999999</v>
      </c>
      <c r="W137" s="61">
        <f t="shared" si="34"/>
        <v>5.1869999999999993E-2</v>
      </c>
      <c r="X137" s="61">
        <f t="shared" si="34"/>
        <v>0</v>
      </c>
      <c r="Y137" s="61">
        <f t="shared" si="34"/>
        <v>0</v>
      </c>
      <c r="AA137" s="61">
        <f>SUM(B137:Y137)</f>
        <v>4.4919420000000008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broutards</v>
      </c>
      <c r="B139" s="61">
        <f t="shared" si="34"/>
        <v>0.30190124999999995</v>
      </c>
      <c r="C139" s="61">
        <f t="shared" si="34"/>
        <v>0.30190124999999995</v>
      </c>
      <c r="D139" s="61">
        <f t="shared" si="34"/>
        <v>0.27268500000000001</v>
      </c>
      <c r="E139" s="61">
        <f t="shared" si="34"/>
        <v>0.27268500000000001</v>
      </c>
      <c r="F139" s="61">
        <f t="shared" si="34"/>
        <v>0.30190124999999995</v>
      </c>
      <c r="G139" s="61">
        <f t="shared" si="34"/>
        <v>0.14354549999999999</v>
      </c>
      <c r="H139" s="61">
        <f t="shared" si="34"/>
        <v>9.2609999999999998E-2</v>
      </c>
      <c r="I139" s="61">
        <f t="shared" si="34"/>
        <v>4.6304999999999999E-2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4.7848500000000002E-2</v>
      </c>
      <c r="U139" s="61">
        <f t="shared" si="34"/>
        <v>0.14354549999999999</v>
      </c>
      <c r="V139" s="61">
        <f t="shared" si="34"/>
        <v>0.18522</v>
      </c>
      <c r="W139" s="61">
        <f t="shared" si="34"/>
        <v>0.23152499999999998</v>
      </c>
      <c r="X139" s="61">
        <f t="shared" si="34"/>
        <v>0.30190124999999995</v>
      </c>
      <c r="Y139" s="61">
        <f t="shared" si="34"/>
        <v>0.33607874999999998</v>
      </c>
      <c r="AA139" s="61">
        <f t="shared" si="35"/>
        <v>2.9796532500000001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38.222716263333332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40.133852076499998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2.2553475000000001</v>
      </c>
      <c r="I149" s="61">
        <f t="shared" si="37"/>
        <v>2.2553475000000001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1.261638</v>
      </c>
      <c r="U149" s="61">
        <f t="shared" si="37"/>
        <v>1.261638</v>
      </c>
      <c r="V149" s="61">
        <f t="shared" si="37"/>
        <v>1.28877</v>
      </c>
      <c r="W149" s="61">
        <f t="shared" si="37"/>
        <v>1.28877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broutards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54.765400499999991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2.2553475000000001</v>
      </c>
      <c r="I162" s="61">
        <f t="shared" si="47"/>
        <v>2.2553475000000001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1.261638</v>
      </c>
      <c r="U162" s="61">
        <f t="shared" si="47"/>
        <v>1.261638</v>
      </c>
      <c r="V162" s="61">
        <f t="shared" si="47"/>
        <v>1.28877</v>
      </c>
      <c r="W162" s="61">
        <f t="shared" si="47"/>
        <v>1.28877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broutards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2.2553475000000001</v>
      </c>
      <c r="I172" s="61">
        <f t="shared" si="57"/>
        <v>2.2553475000000001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2.3305257499999996</v>
      </c>
      <c r="Q172" s="61">
        <f t="shared" si="57"/>
        <v>2.3305257499999996</v>
      </c>
      <c r="R172" s="61">
        <f t="shared" si="57"/>
        <v>0</v>
      </c>
      <c r="S172" s="61">
        <f t="shared" si="57"/>
        <v>0</v>
      </c>
      <c r="T172" s="61">
        <f t="shared" si="57"/>
        <v>1.261638</v>
      </c>
      <c r="U172" s="61">
        <f t="shared" si="57"/>
        <v>1.261638</v>
      </c>
      <c r="V172" s="61">
        <f t="shared" si="57"/>
        <v>1.28877</v>
      </c>
      <c r="W172" s="61">
        <f t="shared" si="57"/>
        <v>1.28877</v>
      </c>
      <c r="X172" s="61">
        <f t="shared" si="57"/>
        <v>0</v>
      </c>
      <c r="Y172" s="61">
        <f t="shared" si="57"/>
        <v>0</v>
      </c>
      <c r="AA172" s="64">
        <f>SUM(B172:Y172)</f>
        <v>14.272562499999998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2.3305257499999996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0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0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1.24488</v>
      </c>
      <c r="W177" s="61">
        <f t="shared" si="60"/>
        <v>1.24488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broutards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2.3305257499999996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2.3305257499999996</v>
      </c>
      <c r="O185" s="61">
        <f>SUM(CdTrp2!O175:O184)</f>
        <v>3.6169017499999994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1.24488</v>
      </c>
      <c r="W185" s="61">
        <f>SUM(CdTrp2!W175:W184)</f>
        <v>1.24488</v>
      </c>
      <c r="X185" s="61">
        <f>SUM(CdTrp2!X175:X184)</f>
        <v>0</v>
      </c>
      <c r="Y185" s="61">
        <f>SUM(CdTrp2!Y175:Y184)</f>
        <v>0</v>
      </c>
      <c r="AA185" s="64">
        <f>SUM(B185:Y185)</f>
        <v>35.347334000000004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1.286376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1.286376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1.286376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1.286376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broutards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1.286376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1.286376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1.286376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1.286376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5.1455039999999999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broutards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2.2553475000000001</v>
      </c>
      <c r="I215" s="61">
        <f t="shared" si="90"/>
        <v>2.2553475000000001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2.3305257499999996</v>
      </c>
      <c r="Q215" s="61">
        <f t="shared" si="90"/>
        <v>2.3305257499999996</v>
      </c>
      <c r="R215" s="61">
        <f t="shared" si="90"/>
        <v>0</v>
      </c>
      <c r="S215" s="61">
        <f t="shared" si="90"/>
        <v>0</v>
      </c>
      <c r="T215" s="61">
        <f t="shared" si="90"/>
        <v>1.261638</v>
      </c>
      <c r="U215" s="61">
        <f t="shared" si="90"/>
        <v>1.261638</v>
      </c>
      <c r="V215" s="61">
        <f t="shared" si="90"/>
        <v>1.28877</v>
      </c>
      <c r="W215" s="61">
        <f t="shared" si="90"/>
        <v>1.28877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2.3305257499999996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2.3305257499999996</v>
      </c>
      <c r="O216" s="61">
        <f t="shared" si="91"/>
        <v>3.6169017499999994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1.286376</v>
      </c>
      <c r="U216" s="61">
        <f t="shared" si="91"/>
        <v>0</v>
      </c>
      <c r="V216" s="61">
        <f t="shared" si="91"/>
        <v>1.24488</v>
      </c>
      <c r="W216" s="61">
        <f t="shared" si="91"/>
        <v>1.24488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1.286376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1.286376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1.286376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1.286376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54.765400499999977</v>
      </c>
      <c r="AB219" t="s">
        <v>222</v>
      </c>
    </row>
    <row r="220" spans="1:28" x14ac:dyDescent="0.25">
      <c r="AA220" s="30">
        <f>SUM(B215:Y217)</f>
        <v>54.765400499999977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2023-01-09T10:06:23Z</dcterms:modified>
</cp:coreProperties>
</file>