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134" r:id="rId18"/>
  </pivotCaches>
</workbook>
</file>

<file path=xl/calcChain.xml><?xml version="1.0" encoding="utf-8"?>
<calcChain xmlns="http://schemas.openxmlformats.org/spreadsheetml/2006/main">
  <c r="AV5" i="29" l="1"/>
  <c r="AW5" i="29"/>
  <c r="BD5" i="29" s="1"/>
  <c r="BE5" i="29" s="1"/>
  <c r="BF5" i="29" s="1"/>
  <c r="AX5" i="29"/>
  <c r="AY5" i="29"/>
  <c r="AZ5" i="29"/>
  <c r="AV6" i="29"/>
  <c r="AW6" i="29"/>
  <c r="BD6" i="29" s="1"/>
  <c r="AX6" i="29"/>
  <c r="AY6" i="29"/>
  <c r="AZ6" i="29"/>
  <c r="BA6" i="29"/>
  <c r="BB6" i="29"/>
  <c r="BC6" i="29"/>
  <c r="BE6" i="29"/>
  <c r="BF6" i="29" s="1"/>
  <c r="AV7" i="29"/>
  <c r="AW7" i="29"/>
  <c r="BK7" i="29" s="1"/>
  <c r="AX7" i="29"/>
  <c r="AY7" i="29"/>
  <c r="AZ7" i="29"/>
  <c r="BA7" i="29"/>
  <c r="BB7" i="29"/>
  <c r="BC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AV9" i="29"/>
  <c r="AW9" i="29"/>
  <c r="AX9" i="29"/>
  <c r="AY9" i="29"/>
  <c r="BD9" i="29" s="1"/>
  <c r="BE9" i="29" s="1"/>
  <c r="BF9" i="29" s="1"/>
  <c r="AZ9" i="29"/>
  <c r="AV10" i="29"/>
  <c r="AW10" i="29"/>
  <c r="AX10" i="29"/>
  <c r="AY10" i="29"/>
  <c r="BD10" i="29" s="1"/>
  <c r="BE10" i="29" s="1"/>
  <c r="BF10" i="29" s="1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BL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BD17" i="29" s="1"/>
  <c r="BE17" i="29" s="1"/>
  <c r="BF17" i="29" s="1"/>
  <c r="AZ17" i="29"/>
  <c r="BA17" i="29"/>
  <c r="BB17" i="29"/>
  <c r="BC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 s="1"/>
  <c r="BF20" i="29" s="1"/>
  <c r="BL20" i="29" s="1"/>
  <c r="AV21" i="29"/>
  <c r="AW21" i="29"/>
  <c r="BD21" i="29" s="1"/>
  <c r="BE21" i="29" s="1"/>
  <c r="BF21" i="29" s="1"/>
  <c r="AX21" i="29"/>
  <c r="AY21" i="29"/>
  <c r="AZ21" i="29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AV24" i="29"/>
  <c r="AW24" i="29"/>
  <c r="AX24" i="29"/>
  <c r="AY24" i="29"/>
  <c r="AZ24" i="29"/>
  <c r="AV25" i="29"/>
  <c r="AW25" i="29"/>
  <c r="AX25" i="29"/>
  <c r="AY25" i="29"/>
  <c r="BD25" i="29" s="1"/>
  <c r="BE25" i="29" s="1"/>
  <c r="BF25" i="29" s="1"/>
  <c r="AZ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K22" i="29" l="1"/>
  <c r="BG22" i="29"/>
  <c r="BJ22" i="29"/>
  <c r="BG18" i="29"/>
  <c r="BI18" i="29"/>
  <c r="BJ18" i="29"/>
  <c r="BK18" i="29"/>
  <c r="BL18" i="29"/>
  <c r="BH17" i="29"/>
  <c r="BI17" i="29"/>
  <c r="BJ17" i="29"/>
  <c r="BK17" i="29"/>
  <c r="BL17" i="29"/>
  <c r="BG17" i="29"/>
  <c r="BJ23" i="29"/>
  <c r="BK23" i="29"/>
  <c r="BL23" i="29"/>
  <c r="BG23" i="29"/>
  <c r="BI23" i="29"/>
  <c r="BH23" i="29"/>
  <c r="BL21" i="29"/>
  <c r="BK21" i="29"/>
  <c r="BG21" i="29"/>
  <c r="BH21" i="29"/>
  <c r="BI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H15" i="29"/>
  <c r="BI15" i="29"/>
  <c r="BH25" i="29"/>
  <c r="BI25" i="29"/>
  <c r="BJ25" i="29"/>
  <c r="BK25" i="29"/>
  <c r="BL25" i="29"/>
  <c r="BG25" i="29"/>
  <c r="BL13" i="29"/>
  <c r="BK13" i="29"/>
  <c r="BG13" i="29"/>
  <c r="BH13" i="29"/>
  <c r="BI13" i="29"/>
  <c r="BJ13" i="29"/>
  <c r="BG12" i="29"/>
  <c r="BH10" i="29"/>
  <c r="BI9" i="29"/>
  <c r="BK6" i="29"/>
  <c r="BG6" i="29"/>
  <c r="BH6" i="29"/>
  <c r="BJ6" i="29"/>
  <c r="BI6" i="29"/>
  <c r="BL5" i="29"/>
  <c r="BG5" i="29"/>
  <c r="BH5" i="29"/>
  <c r="BI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H14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H20" i="29"/>
  <c r="BD16" i="29"/>
  <c r="BE16" i="29" s="1"/>
  <c r="BF16" i="29" s="1"/>
  <c r="BJ16" i="29" s="1"/>
  <c r="BH12" i="29"/>
  <c r="BD8" i="29"/>
  <c r="BE8" i="29" s="1"/>
  <c r="BF8" i="29" s="1"/>
  <c r="BJ8" i="29" s="1"/>
  <c r="BH27" i="29"/>
  <c r="BL30" i="29"/>
  <c r="BL22" i="29"/>
  <c r="BL14" i="29"/>
  <c r="BL6" i="29"/>
  <c r="BK8" i="29" l="1"/>
  <c r="BJ24" i="29"/>
  <c r="BK16" i="29"/>
  <c r="BK11" i="29"/>
  <c r="BL24" i="29"/>
  <c r="BL8" i="29"/>
  <c r="BI11" i="29"/>
  <c r="BG16" i="29"/>
  <c r="BG11" i="29"/>
  <c r="BH11" i="29"/>
  <c r="BL19" i="29"/>
  <c r="BI16" i="29"/>
  <c r="BH16" i="29"/>
  <c r="BJ11" i="29"/>
  <c r="BG8" i="29"/>
  <c r="BG19" i="29"/>
  <c r="BH19" i="29"/>
  <c r="BL16" i="29"/>
  <c r="BK19" i="29"/>
  <c r="BK24" i="29"/>
  <c r="BI19" i="29"/>
  <c r="BI8" i="29"/>
  <c r="BH8" i="29"/>
  <c r="BI24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C108" i="30"/>
  <c r="CB108" i="30"/>
  <c r="CY106" i="30"/>
  <c r="CX106" i="30"/>
  <c r="CG106" i="30"/>
  <c r="CF106" i="30"/>
  <c r="CE106" i="30"/>
  <c r="CD106" i="30"/>
  <c r="CC106" i="30"/>
  <c r="CB106" i="30"/>
  <c r="CA105" i="30"/>
  <c r="CT108" i="30" s="1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AU105" i="30"/>
  <c r="CJ87" i="30" s="1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S87" i="30"/>
  <c r="CR87" i="30"/>
  <c r="CQ87" i="30"/>
  <c r="CP87" i="30"/>
  <c r="CO87" i="30"/>
  <c r="CN87" i="30"/>
  <c r="CM87" i="30"/>
  <c r="CL87" i="30"/>
  <c r="CS86" i="30"/>
  <c r="CR86" i="30"/>
  <c r="CQ86" i="30"/>
  <c r="CP86" i="30"/>
  <c r="CO86" i="30"/>
  <c r="CN86" i="30"/>
  <c r="CM86" i="30"/>
  <c r="CL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V33" i="29"/>
  <c r="U33" i="29"/>
  <c r="M33" i="29"/>
  <c r="L33" i="29"/>
  <c r="K33" i="29"/>
  <c r="J33" i="29"/>
  <c r="I33" i="29"/>
  <c r="C33" i="29"/>
  <c r="V31" i="29"/>
  <c r="U31" i="29"/>
  <c r="M31" i="29"/>
  <c r="L31" i="29"/>
  <c r="K31" i="29"/>
  <c r="J31" i="29"/>
  <c r="I31" i="29"/>
  <c r="C31" i="29"/>
  <c r="Z30" i="29"/>
  <c r="Y30" i="29"/>
  <c r="V30" i="29"/>
  <c r="U30" i="29"/>
  <c r="M30" i="29"/>
  <c r="L30" i="29"/>
  <c r="K30" i="29"/>
  <c r="J30" i="29"/>
  <c r="I30" i="29"/>
  <c r="D30" i="29"/>
  <c r="C30" i="29"/>
  <c r="Z29" i="29"/>
  <c r="Y29" i="29"/>
  <c r="V29" i="29"/>
  <c r="U29" i="29"/>
  <c r="M29" i="29"/>
  <c r="L29" i="29"/>
  <c r="K29" i="29"/>
  <c r="J29" i="29"/>
  <c r="I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CH87" i="30" l="1"/>
  <c r="CH86" i="30"/>
  <c r="CJ86" i="30"/>
  <c r="CI86" i="30"/>
  <c r="CI87" i="30"/>
  <c r="CK86" i="30"/>
  <c r="CK87" i="30"/>
  <c r="CT86" i="30"/>
  <c r="CT87" i="30"/>
  <c r="CM107" i="30"/>
  <c r="CU86" i="30"/>
  <c r="CU87" i="30"/>
  <c r="CV86" i="30"/>
  <c r="CV87" i="30"/>
  <c r="CG86" i="30"/>
  <c r="CW86" i="30"/>
  <c r="CG87" i="30"/>
  <c r="CW87" i="30"/>
  <c r="CE108" i="30"/>
  <c r="CU108" i="30"/>
  <c r="CU107" i="30"/>
  <c r="CM106" i="30"/>
  <c r="CU106" i="30"/>
  <c r="CN106" i="30"/>
  <c r="CV107" i="30"/>
  <c r="CF108" i="30"/>
  <c r="CV108" i="30"/>
  <c r="CO106" i="30"/>
  <c r="CW107" i="30"/>
  <c r="CG108" i="30"/>
  <c r="CW108" i="30"/>
  <c r="CH106" i="30"/>
  <c r="CP106" i="30"/>
  <c r="CH107" i="30"/>
  <c r="CH108" i="30"/>
  <c r="CP108" i="30"/>
  <c r="CI106" i="30"/>
  <c r="CQ106" i="30"/>
  <c r="CI107" i="30"/>
  <c r="CI108" i="30"/>
  <c r="CQ108" i="30"/>
  <c r="CJ106" i="30"/>
  <c r="CR106" i="30"/>
  <c r="CJ107" i="30"/>
  <c r="CJ108" i="30"/>
  <c r="CR108" i="30"/>
  <c r="CK106" i="30"/>
  <c r="CS106" i="30"/>
  <c r="CK107" i="30"/>
  <c r="CK108" i="30"/>
  <c r="CS108" i="30"/>
  <c r="CL106" i="30"/>
  <c r="CT106" i="30"/>
  <c r="CL107" i="30"/>
  <c r="CT107" i="30"/>
  <c r="CD108" i="30"/>
  <c r="CL108" i="30"/>
  <c r="R8" i="7"/>
  <c r="S8" i="7"/>
  <c r="U8" i="7"/>
  <c r="R9" i="7"/>
  <c r="S9" i="7"/>
  <c r="U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DO87" i="33" l="1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X6" i="30"/>
  <c r="CX17" i="30" s="1"/>
  <c r="CX62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G91" i="30" s="1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B93" i="30" s="1"/>
  <c r="BA40" i="30"/>
  <c r="AZ40" i="30"/>
  <c r="AY40" i="30"/>
  <c r="AX40" i="30"/>
  <c r="AX93" i="30" s="1"/>
  <c r="AW40" i="30"/>
  <c r="AV40" i="30"/>
  <c r="AV93" i="30" s="1"/>
  <c r="BS39" i="30"/>
  <c r="BR39" i="30"/>
  <c r="BR92" i="30" s="1"/>
  <c r="BQ39" i="30"/>
  <c r="BP39" i="30"/>
  <c r="BO39" i="30"/>
  <c r="BO92" i="30" s="1"/>
  <c r="BN39" i="30"/>
  <c r="BM39" i="30"/>
  <c r="BL39" i="30"/>
  <c r="BK39" i="30"/>
  <c r="BJ39" i="30"/>
  <c r="BJ92" i="30" s="1"/>
  <c r="BI39" i="30"/>
  <c r="BH39" i="30"/>
  <c r="BG39" i="30"/>
  <c r="BF39" i="30"/>
  <c r="BE39" i="30"/>
  <c r="BD39" i="30"/>
  <c r="BC39" i="30"/>
  <c r="BB39" i="30"/>
  <c r="BB92" i="30" s="1"/>
  <c r="BA39" i="30"/>
  <c r="AZ39" i="30"/>
  <c r="AY39" i="30"/>
  <c r="AX39" i="30"/>
  <c r="AW39" i="30"/>
  <c r="AV39" i="30"/>
  <c r="BS38" i="30"/>
  <c r="BR38" i="30"/>
  <c r="BR91" i="30" s="1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B91" i="30" s="1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J90" i="30" s="1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Q93" i="30"/>
  <c r="BP93" i="30"/>
  <c r="BO93" i="30"/>
  <c r="BM93" i="30"/>
  <c r="BK93" i="30"/>
  <c r="BI93" i="30"/>
  <c r="BH93" i="30"/>
  <c r="BG93" i="30"/>
  <c r="BE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Q92" i="30"/>
  <c r="BI92" i="30"/>
  <c r="BG92" i="30"/>
  <c r="BE92" i="30"/>
  <c r="BC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I91" i="30"/>
  <c r="CF91" i="30"/>
  <c r="CD91" i="30"/>
  <c r="BS91" i="30"/>
  <c r="BQ91" i="30"/>
  <c r="BP91" i="30"/>
  <c r="BO91" i="30"/>
  <c r="BM91" i="30"/>
  <c r="BI91" i="30"/>
  <c r="BH91" i="30"/>
  <c r="BG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V15" i="30"/>
  <c r="CT15" i="30"/>
  <c r="CP15" i="30"/>
  <c r="CN15" i="30"/>
  <c r="CL15" i="30"/>
  <c r="CH15" i="30"/>
  <c r="CF15" i="30"/>
  <c r="CF60" i="30" s="1"/>
  <c r="CD15" i="30"/>
  <c r="CD60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C17" i="30"/>
  <c r="CB17" i="30"/>
  <c r="CB62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B15" i="30"/>
  <c r="CB60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S3" i="29" l="1"/>
  <c r="BB90" i="30"/>
  <c r="D16" i="30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8" i="29" s="1"/>
  <c r="S20" i="29"/>
  <c r="AB171" i="28"/>
  <c r="AA171" i="28"/>
  <c r="AB171" i="31"/>
  <c r="AA171" i="31"/>
  <c r="AC171" i="31"/>
  <c r="K113" i="31"/>
  <c r="K111" i="31"/>
  <c r="K110" i="31"/>
  <c r="CC91" i="30"/>
  <c r="CK91" i="30"/>
  <c r="CE91" i="30"/>
  <c r="CE92" i="30"/>
  <c r="CW90" i="30"/>
  <c r="CU90" i="30"/>
  <c r="CG15" i="30"/>
  <c r="CG60" i="30" s="1"/>
  <c r="Q71" i="29"/>
  <c r="P71" i="29"/>
  <c r="BK92" i="30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AX99" i="30" s="1"/>
  <c r="AX100" i="30" s="1"/>
  <c r="AX101" i="30" s="1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L114" i="31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H99" i="30" s="1"/>
  <c r="BH100" i="30" s="1"/>
  <c r="BH101" i="30" s="1"/>
  <c r="BP92" i="30"/>
  <c r="BP99" i="30" s="1"/>
  <c r="BP100" i="30" s="1"/>
  <c r="BP101" i="30" s="1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4" i="29"/>
  <c r="P3" i="29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U72" i="30" s="1"/>
  <c r="Y5" i="29"/>
  <c r="Y9" i="29" s="1"/>
  <c r="Y20" i="29"/>
  <c r="Y21" i="29" s="1"/>
  <c r="Y7" i="29" s="1"/>
  <c r="Y12" i="29" s="1"/>
  <c r="Y4" i="29"/>
  <c r="Y3" i="29"/>
  <c r="AC72" i="30" s="1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P29" i="29" s="1"/>
  <c r="C19" i="29"/>
  <c r="C5" i="29"/>
  <c r="C9" i="29" s="1"/>
  <c r="C41" i="29"/>
  <c r="C42" i="29" s="1"/>
  <c r="C26" i="29"/>
  <c r="C32" i="29" s="1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P72" i="30" s="1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25" i="29"/>
  <c r="U26" i="29"/>
  <c r="U25" i="29"/>
  <c r="C3" i="29"/>
  <c r="S25" i="29"/>
  <c r="S29" i="29" s="1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V106" i="30" s="1"/>
  <c r="CG26" i="30"/>
  <c r="CO26" i="30"/>
  <c r="CO60" i="30" s="1"/>
  <c r="CW26" i="30"/>
  <c r="CW60" i="30" s="1"/>
  <c r="CW106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H27" i="30"/>
  <c r="CH61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S27" i="30"/>
  <c r="CS61" i="30" s="1"/>
  <c r="CS107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M108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E106" i="30" s="1"/>
  <c r="BM71" i="30"/>
  <c r="BM60" i="30"/>
  <c r="BM106" i="30" s="1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110" i="30" s="1"/>
  <c r="BC75" i="30"/>
  <c r="BK64" i="30"/>
  <c r="BK110" i="30" s="1"/>
  <c r="BK75" i="30"/>
  <c r="BS64" i="30"/>
  <c r="BS110" i="30" s="1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F106" i="30" s="1"/>
  <c r="BN71" i="30"/>
  <c r="BN60" i="30"/>
  <c r="BN106" i="30" s="1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A111" i="30" s="1"/>
  <c r="BI65" i="30"/>
  <c r="BI111" i="30" s="1"/>
  <c r="BI76" i="30"/>
  <c r="BQ65" i="30"/>
  <c r="BQ111" i="30" s="1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AW110" i="30" s="1"/>
  <c r="BE64" i="30"/>
  <c r="BE110" i="30" s="1"/>
  <c r="BE75" i="30"/>
  <c r="BM75" i="30"/>
  <c r="BM64" i="30"/>
  <c r="BM110" i="30" s="1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H106" i="30" s="1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C111" i="30" s="1"/>
  <c r="BK76" i="30"/>
  <c r="BK65" i="30"/>
  <c r="BK111" i="30" s="1"/>
  <c r="BS76" i="30"/>
  <c r="BS65" i="30"/>
  <c r="BS111" i="30" s="1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AY110" i="30" s="1"/>
  <c r="BG75" i="30"/>
  <c r="BG64" i="30"/>
  <c r="BG110" i="30" s="1"/>
  <c r="BO75" i="30"/>
  <c r="BO64" i="30"/>
  <c r="BO110" i="30" s="1"/>
  <c r="CD75" i="30"/>
  <c r="CL75" i="30"/>
  <c r="CT75" i="30"/>
  <c r="DF75" i="30"/>
  <c r="DN75" i="30"/>
  <c r="DV75" i="30"/>
  <c r="AV76" i="30"/>
  <c r="AV65" i="30"/>
  <c r="AV111" i="30" s="1"/>
  <c r="BD76" i="30"/>
  <c r="BD65" i="30"/>
  <c r="BD111" i="30" s="1"/>
  <c r="BL76" i="30"/>
  <c r="BL65" i="30"/>
  <c r="BL111" i="30" s="1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106" i="30" s="1"/>
  <c r="BB71" i="30"/>
  <c r="BJ71" i="30"/>
  <c r="BJ60" i="30"/>
  <c r="BJ106" i="30" s="1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AW111" i="30" s="1"/>
  <c r="BE76" i="30"/>
  <c r="BE65" i="30"/>
  <c r="BE111" i="30" s="1"/>
  <c r="BM76" i="30"/>
  <c r="BM65" i="30"/>
  <c r="BM111" i="30" s="1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A110" i="30" s="1"/>
  <c r="BI75" i="30"/>
  <c r="BI64" i="30"/>
  <c r="BI110" i="30" s="1"/>
  <c r="BQ75" i="30"/>
  <c r="BQ64" i="30"/>
  <c r="BQ110" i="30" s="1"/>
  <c r="CF75" i="30"/>
  <c r="CN75" i="30"/>
  <c r="CV75" i="30"/>
  <c r="DH75" i="30"/>
  <c r="DP75" i="30"/>
  <c r="DX75" i="30"/>
  <c r="AX76" i="30"/>
  <c r="AX65" i="30"/>
  <c r="AX111" i="30" s="1"/>
  <c r="BF76" i="30"/>
  <c r="BF65" i="30"/>
  <c r="BF111" i="30" s="1"/>
  <c r="BN76" i="30"/>
  <c r="BN65" i="30"/>
  <c r="BN111" i="30" s="1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106" i="30" s="1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B110" i="30" s="1"/>
  <c r="BJ75" i="30"/>
  <c r="BJ64" i="30"/>
  <c r="BJ110" i="30" s="1"/>
  <c r="BR75" i="30"/>
  <c r="BR64" i="30"/>
  <c r="BR110" i="30" s="1"/>
  <c r="CG75" i="30"/>
  <c r="CO75" i="30"/>
  <c r="CW75" i="30"/>
  <c r="DI75" i="30"/>
  <c r="DQ75" i="30"/>
  <c r="DY75" i="30"/>
  <c r="AY65" i="30"/>
  <c r="AY111" i="30" s="1"/>
  <c r="AY76" i="30"/>
  <c r="BG65" i="30"/>
  <c r="BG111" i="30" s="1"/>
  <c r="BG76" i="30"/>
  <c r="BO76" i="30"/>
  <c r="BO65" i="30"/>
  <c r="BO111" i="30" s="1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BI106" i="30" s="1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AZ111" i="30" s="1"/>
  <c r="BH76" i="30"/>
  <c r="BH65" i="30"/>
  <c r="BH111" i="30" s="1"/>
  <c r="BP76" i="30"/>
  <c r="BP65" i="30"/>
  <c r="BP111" i="30" s="1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N110" i="30" s="1"/>
  <c r="BB65" i="30"/>
  <c r="BB111" i="30" s="1"/>
  <c r="AZ66" i="30"/>
  <c r="AX67" i="30"/>
  <c r="BA71" i="30"/>
  <c r="BA60" i="30"/>
  <c r="BA106" i="30" s="1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AZ110" i="30" s="1"/>
  <c r="BH75" i="30"/>
  <c r="BH64" i="30"/>
  <c r="BH110" i="30" s="1"/>
  <c r="BP75" i="30"/>
  <c r="BP64" i="30"/>
  <c r="BP110" i="30" s="1"/>
  <c r="CE75" i="30"/>
  <c r="CM75" i="30"/>
  <c r="CU75" i="30"/>
  <c r="DG75" i="30"/>
  <c r="DO75" i="30"/>
  <c r="DW75" i="30"/>
  <c r="BJ76" i="30"/>
  <c r="BJ65" i="30"/>
  <c r="BJ111" i="30" s="1"/>
  <c r="BR76" i="30"/>
  <c r="BR65" i="30"/>
  <c r="BR111" i="30" s="1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AV110" i="30" s="1"/>
  <c r="BD75" i="30"/>
  <c r="BD64" i="30"/>
  <c r="BD110" i="30" s="1"/>
  <c r="BL75" i="30"/>
  <c r="BL64" i="30"/>
  <c r="BL110" i="30" s="1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AX110" i="30" s="1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F110" i="30" s="1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8" i="31"/>
  <c r="U258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T13" i="7"/>
  <c r="T12" i="7"/>
  <c r="T11" i="7"/>
  <c r="R8" i="29" l="1"/>
  <c r="V72" i="30"/>
  <c r="N72" i="30"/>
  <c r="J8" i="29"/>
  <c r="J201" i="29" s="1"/>
  <c r="N8" i="29"/>
  <c r="R72" i="30"/>
  <c r="O8" i="29"/>
  <c r="O201" i="29" s="1"/>
  <c r="S72" i="30"/>
  <c r="O72" i="30"/>
  <c r="K8" i="29"/>
  <c r="K201" i="29" s="1"/>
  <c r="G72" i="30"/>
  <c r="C8" i="29"/>
  <c r="C201" i="29" s="1"/>
  <c r="C212" i="29" s="1"/>
  <c r="M72" i="30"/>
  <c r="I8" i="29"/>
  <c r="I201" i="29" s="1"/>
  <c r="P8" i="29"/>
  <c r="P201" i="29" s="1"/>
  <c r="T72" i="30"/>
  <c r="M8" i="29"/>
  <c r="Q72" i="30"/>
  <c r="Z8" i="29"/>
  <c r="AD72" i="30"/>
  <c r="Y72" i="30"/>
  <c r="E8" i="29"/>
  <c r="E201" i="29" s="1"/>
  <c r="E212" i="29" s="1"/>
  <c r="I72" i="30"/>
  <c r="T8" i="29"/>
  <c r="T201" i="29" s="1"/>
  <c r="X72" i="30"/>
  <c r="D8" i="29"/>
  <c r="D201" i="29" s="1"/>
  <c r="H72" i="30"/>
  <c r="X8" i="29"/>
  <c r="AB72" i="30"/>
  <c r="Z72" i="30"/>
  <c r="F8" i="29"/>
  <c r="F201" i="29" s="1"/>
  <c r="J72" i="30"/>
  <c r="L72" i="30"/>
  <c r="AA72" i="30"/>
  <c r="G8" i="29"/>
  <c r="K72" i="30"/>
  <c r="W72" i="30"/>
  <c r="T256" i="31"/>
  <c r="U256" i="31" s="1"/>
  <c r="T257" i="31"/>
  <c r="U257" i="31" s="1"/>
  <c r="T260" i="31"/>
  <c r="U260" i="31" s="1"/>
  <c r="U8" i="29"/>
  <c r="U201" i="29" s="1"/>
  <c r="Q8" i="29"/>
  <c r="Q201" i="29" s="1"/>
  <c r="L8" i="29"/>
  <c r="L201" i="29" s="1"/>
  <c r="AF187" i="31"/>
  <c r="H8" i="29"/>
  <c r="W8" i="29"/>
  <c r="W201" i="29" s="1"/>
  <c r="V8" i="29"/>
  <c r="V201" i="29" s="1"/>
  <c r="Y8" i="29"/>
  <c r="Y201" i="29" s="1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N201" i="29"/>
  <c r="M201" i="29"/>
  <c r="U167" i="28"/>
  <c r="V167" i="28"/>
  <c r="W167" i="28"/>
  <c r="AF188" i="28"/>
  <c r="V188" i="28"/>
  <c r="W188" i="28"/>
  <c r="AN215" i="33"/>
  <c r="C6" i="29"/>
  <c r="C10" i="29" s="1"/>
  <c r="C181" i="29"/>
  <c r="C196" i="29" s="1"/>
  <c r="G76" i="30" s="1"/>
  <c r="S59" i="29"/>
  <c r="V196" i="31"/>
  <c r="U188" i="31"/>
  <c r="AI184" i="28"/>
  <c r="AG196" i="31"/>
  <c r="AG188" i="31"/>
  <c r="V164" i="31"/>
  <c r="AI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Z201" i="29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P62" i="30"/>
  <c r="CI61" i="30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H201" i="29"/>
  <c r="G201" i="29"/>
  <c r="CL60" i="30"/>
  <c r="AI176" i="28"/>
  <c r="AG176" i="28"/>
  <c r="U190" i="31"/>
  <c r="V177" i="31"/>
  <c r="AI172" i="31"/>
  <c r="AG169" i="31"/>
  <c r="CH71" i="30"/>
  <c r="B95" i="30"/>
  <c r="D95" i="30" s="1"/>
  <c r="AG190" i="31"/>
  <c r="AE176" i="28"/>
  <c r="X201" i="29"/>
  <c r="C251" i="33"/>
  <c r="D251" i="33" s="1"/>
  <c r="CK62" i="30"/>
  <c r="CG62" i="30"/>
  <c r="CV61" i="30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S57" i="29"/>
  <c r="AE177" i="31"/>
  <c r="U172" i="31"/>
  <c r="CI60" i="30"/>
  <c r="CK60" i="30"/>
  <c r="V172" i="31"/>
  <c r="S58" i="29"/>
  <c r="AF177" i="31"/>
  <c r="AD174" i="31"/>
  <c r="AH174" i="31" s="1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2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8" i="29"/>
  <c r="U37" i="29"/>
  <c r="U36" i="29"/>
  <c r="L38" i="29"/>
  <c r="L40" i="29"/>
  <c r="L27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C11" i="29" l="1"/>
  <c r="C13" i="29" s="1"/>
  <c r="C202" i="29"/>
  <c r="C213" i="29" s="1"/>
  <c r="C214" i="29" s="1"/>
  <c r="F72" i="30"/>
  <c r="BD81" i="30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J212" i="29"/>
  <c r="U212" i="29"/>
  <c r="I212" i="29"/>
  <c r="N212" i="29"/>
  <c r="G212" i="29"/>
  <c r="V212" i="29"/>
  <c r="D212" i="29"/>
  <c r="S212" i="29"/>
  <c r="Y212" i="29"/>
  <c r="Z212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BC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H39" i="29"/>
  <c r="X42" i="29"/>
  <c r="X28" i="29" s="1"/>
  <c r="X33" i="29" s="1"/>
  <c r="K42" i="29"/>
  <c r="K28" i="29" s="1"/>
  <c r="V42" i="29"/>
  <c r="V28" i="29" s="1"/>
  <c r="H63" i="29"/>
  <c r="H49" i="29" s="1"/>
  <c r="R42" i="29"/>
  <c r="R28" i="29" s="1"/>
  <c r="R33" i="29" s="1"/>
  <c r="I42" i="29"/>
  <c r="I28" i="29" s="1"/>
  <c r="P42" i="29"/>
  <c r="P28" i="29" s="1"/>
  <c r="P33" i="29" s="1"/>
  <c r="M42" i="29"/>
  <c r="M28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203" i="29" l="1"/>
  <c r="C191" i="33"/>
  <c r="B109" i="30"/>
  <c r="B112" i="30" s="1"/>
  <c r="BA86" i="30"/>
  <c r="BA87" i="30"/>
  <c r="BD86" i="30"/>
  <c r="BD87" i="30"/>
  <c r="AW87" i="30"/>
  <c r="AW86" i="30"/>
  <c r="AX87" i="30"/>
  <c r="AX86" i="30"/>
  <c r="AV86" i="30"/>
  <c r="AV87" i="30"/>
  <c r="BC87" i="30"/>
  <c r="BC86" i="30"/>
  <c r="AY87" i="30"/>
  <c r="AY86" i="30"/>
  <c r="BB87" i="30"/>
  <c r="BB86" i="30"/>
  <c r="AZ87" i="30"/>
  <c r="AZ86" i="30"/>
  <c r="CY86" i="30"/>
  <c r="CY87" i="30"/>
  <c r="CX87" i="30"/>
  <c r="CX86" i="30"/>
  <c r="CF86" i="30"/>
  <c r="CF87" i="30"/>
  <c r="CE86" i="30"/>
  <c r="CE87" i="30"/>
  <c r="CD87" i="30"/>
  <c r="CD86" i="30"/>
  <c r="CC87" i="30"/>
  <c r="CC86" i="30"/>
  <c r="CB86" i="30"/>
  <c r="CB87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J154" i="3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S76" i="33" s="1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BB76" i="33" s="1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Q76" i="33" s="1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BC76" i="33" s="1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R76" i="33" s="1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AZ76" i="33" s="1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BA76" i="33" s="1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AW76" i="33" s="1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BD76" i="33" s="1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AV76" i="33" s="1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AY76" i="33" s="1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AX76" i="33" s="1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AW78" i="33" l="1"/>
  <c r="AW154" i="33"/>
  <c r="BP78" i="33"/>
  <c r="BP154" i="33"/>
  <c r="BS78" i="33"/>
  <c r="BS124" i="33" s="1"/>
  <c r="BS170" i="33" s="1"/>
  <c r="BS154" i="33"/>
  <c r="AY78" i="33"/>
  <c r="AY124" i="33" s="1"/>
  <c r="AY170" i="33" s="1"/>
  <c r="AY154" i="33"/>
  <c r="BD78" i="33"/>
  <c r="BD154" i="33"/>
  <c r="BC78" i="33"/>
  <c r="BC154" i="33"/>
  <c r="AZ78" i="33"/>
  <c r="AZ135" i="33" s="1"/>
  <c r="AZ154" i="33"/>
  <c r="BB78" i="33"/>
  <c r="BB124" i="33" s="1"/>
  <c r="BB170" i="33" s="1"/>
  <c r="BB154" i="33"/>
  <c r="BO78" i="33"/>
  <c r="BO135" i="33" s="1"/>
  <c r="BO154" i="33"/>
  <c r="BQ78" i="33"/>
  <c r="BQ154" i="33"/>
  <c r="AX78" i="33"/>
  <c r="AX135" i="33" s="1"/>
  <c r="AX154" i="33"/>
  <c r="BA78" i="33"/>
  <c r="BA135" i="33" s="1"/>
  <c r="BA154" i="33"/>
  <c r="AV78" i="33"/>
  <c r="AV154" i="33"/>
  <c r="BR78" i="33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AX124" i="33" l="1"/>
  <c r="AX170" i="33" s="1"/>
  <c r="AY135" i="33"/>
  <c r="BA124" i="33"/>
  <c r="BA170" i="33" s="1"/>
  <c r="BB135" i="33"/>
  <c r="AZ124" i="33"/>
  <c r="AZ170" i="33" s="1"/>
  <c r="BC160" i="33"/>
  <c r="BC161" i="33" s="1"/>
  <c r="BC162" i="33" s="1"/>
  <c r="BS135" i="33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BP160" i="33"/>
  <c r="BP161" i="33" s="1"/>
  <c r="BP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P76" i="33" s="1"/>
  <c r="BO65" i="33"/>
  <c r="BO76" i="33" s="1"/>
  <c r="BJ143" i="33" l="1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J147" i="33" l="1"/>
  <c r="BJ163" i="33" s="1"/>
  <c r="CY148" i="33"/>
  <c r="CY163" i="33" s="1"/>
  <c r="CE147" i="33"/>
  <c r="CE163" i="33" s="1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22" i="29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R87" i="30" l="1"/>
  <c r="BR86" i="30"/>
  <c r="BQ87" i="30"/>
  <c r="BQ86" i="30"/>
  <c r="BS86" i="30"/>
  <c r="BS87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X235" i="31"/>
  <c r="C308" i="33" s="1"/>
  <c r="C187" i="33"/>
  <c r="D187" i="33" s="1"/>
  <c r="C188" i="33"/>
  <c r="D188" i="33" s="1"/>
  <c r="T275" i="31"/>
  <c r="X275" i="31" s="1"/>
  <c r="X236" i="31"/>
  <c r="C309" i="33" s="1"/>
  <c r="D213" i="29"/>
  <c r="D214" i="29" s="1"/>
  <c r="AJ8" i="29" s="1"/>
  <c r="D203" i="29"/>
  <c r="AJ5" i="29" s="1"/>
  <c r="X249" i="31" s="1"/>
  <c r="BO102" i="30"/>
  <c r="Z9" i="30" s="1"/>
  <c r="Z13" i="30" s="1"/>
  <c r="F13" i="30" s="1"/>
  <c r="B39" i="18"/>
  <c r="AJ218" i="33" l="1"/>
  <c r="AN218" i="33" s="1"/>
  <c r="AK226" i="33"/>
  <c r="AO226" i="33" s="1"/>
  <c r="AJ219" i="33"/>
  <c r="AN219" i="33" s="1"/>
  <c r="AK227" i="33"/>
  <c r="AO227" i="33" s="1"/>
  <c r="B81" i="30"/>
  <c r="F81" i="30" s="1"/>
  <c r="B114" i="30" s="1"/>
  <c r="F75" i="30"/>
  <c r="T245" i="31"/>
  <c r="F76" i="30"/>
  <c r="F77" i="30"/>
  <c r="B129" i="30" s="1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D277" i="33" s="1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AL208" i="33" l="1"/>
  <c r="AL209" i="33"/>
  <c r="AL207" i="33" s="1"/>
  <c r="D210" i="33" s="1"/>
  <c r="J141" i="31"/>
  <c r="C219" i="33" s="1"/>
  <c r="D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D217" i="33" l="1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A221" i="24" s="1"/>
  <c r="C301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V185" i="24" l="1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BC21" i="29" s="1"/>
  <c r="U22" i="7"/>
  <c r="BC24" i="29" s="1"/>
  <c r="U25" i="7"/>
  <c r="U27" i="7"/>
  <c r="U28" i="7"/>
  <c r="U29" i="7"/>
  <c r="U30" i="7"/>
  <c r="U36" i="7"/>
  <c r="U37" i="7"/>
  <c r="S2" i="7"/>
  <c r="BA4" i="29" s="1"/>
  <c r="S3" i="7"/>
  <c r="BA5" i="29" s="1"/>
  <c r="S5" i="7"/>
  <c r="S6" i="7"/>
  <c r="BA8" i="29" s="1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T16" i="7"/>
  <c r="BB18" i="29" s="1"/>
  <c r="BH18" i="29" s="1"/>
  <c r="L2" i="7"/>
  <c r="M2" i="7" s="1"/>
  <c r="U23" i="7" l="1"/>
  <c r="BC25" i="29" s="1"/>
  <c r="T6" i="7"/>
  <c r="BB8" i="29" s="1"/>
  <c r="T7" i="7"/>
  <c r="BB9" i="29" s="1"/>
  <c r="T15" i="7"/>
  <c r="T10" i="7"/>
  <c r="V22" i="7"/>
  <c r="T22" i="7"/>
  <c r="BB24" i="29" s="1"/>
  <c r="V11" i="7"/>
  <c r="U11" i="7"/>
  <c r="V12" i="7"/>
  <c r="U12" i="7"/>
  <c r="V16" i="7"/>
  <c r="U16" i="7"/>
  <c r="BC18" i="29" s="1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BA9" i="29" s="1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M25" i="7"/>
  <c r="T3" i="7"/>
  <c r="BB5" i="29" s="1"/>
  <c r="L30" i="7"/>
  <c r="M26" i="7"/>
  <c r="M37" i="7"/>
  <c r="M32" i="7"/>
  <c r="M31" i="7"/>
  <c r="M33" i="7"/>
  <c r="M34" i="7"/>
  <c r="M27" i="7"/>
  <c r="M29" i="7"/>
  <c r="M36" i="7"/>
  <c r="U20" i="7"/>
  <c r="U24" i="7"/>
  <c r="M28" i="7"/>
  <c r="M39" i="7"/>
  <c r="L66" i="7"/>
  <c r="U21" i="7"/>
  <c r="V23" i="7" l="1"/>
  <c r="T23" i="7"/>
  <c r="BB25" i="29" s="1"/>
  <c r="U15" i="7"/>
  <c r="V6" i="7"/>
  <c r="V15" i="7"/>
  <c r="V4" i="7"/>
  <c r="T4" i="7"/>
  <c r="U4" i="7"/>
  <c r="V9" i="7"/>
  <c r="T9" i="7"/>
  <c r="T8" i="7"/>
  <c r="V8" i="7"/>
  <c r="U7" i="7"/>
  <c r="BC9" i="29" s="1"/>
  <c r="V7" i="7"/>
  <c r="U10" i="7"/>
  <c r="V10" i="7"/>
  <c r="V21" i="7"/>
  <c r="T21" i="7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BB21" i="29" s="1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BC5" i="29" s="1"/>
  <c r="R28" i="7"/>
  <c r="S28" i="7"/>
  <c r="U5" i="7"/>
  <c r="R21" i="7"/>
  <c r="S21" i="7"/>
  <c r="R24" i="7"/>
  <c r="S24" i="7"/>
  <c r="R20" i="7"/>
  <c r="S20" i="7"/>
  <c r="U39" i="7"/>
  <c r="R29" i="7"/>
  <c r="S29" i="7"/>
  <c r="U32" i="7"/>
  <c r="S25" i="7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U33" i="7"/>
  <c r="U26" i="7"/>
  <c r="U6" i="7"/>
  <c r="BC8" i="29" s="1"/>
  <c r="R36" i="7"/>
  <c r="S36" i="7"/>
  <c r="R19" i="7"/>
  <c r="S19" i="7"/>
  <c r="BA21" i="29" s="1"/>
  <c r="U31" i="7"/>
  <c r="M30" i="7"/>
  <c r="BH31" i="29" l="1"/>
  <c r="AP6" i="29" s="1"/>
  <c r="AD22" i="29" s="1"/>
  <c r="AF22" i="29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C183" i="33" l="1"/>
  <c r="T234" i="31"/>
  <c r="T272" i="31" s="1"/>
  <c r="X272" i="31" s="1"/>
  <c r="J142" i="31" s="1"/>
  <c r="C220" i="33" s="1"/>
  <c r="B83" i="30"/>
  <c r="F83" i="30" s="1"/>
  <c r="AK26" i="29"/>
  <c r="C184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4" i="30" l="1"/>
  <c r="C192" i="33" s="1"/>
  <c r="C276" i="33" s="1"/>
  <c r="C293" i="33" s="1"/>
  <c r="X234" i="31"/>
  <c r="C307" i="33" s="1"/>
  <c r="C185" i="33"/>
  <c r="D185" i="33" s="1"/>
  <c r="D184" i="33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X237" i="31" l="1"/>
  <c r="B115" i="30"/>
  <c r="B126" i="30" s="1"/>
  <c r="B167" i="31"/>
  <c r="J167" i="31" s="1"/>
  <c r="C235" i="33" s="1"/>
  <c r="C236" i="33" s="1"/>
  <c r="D183" i="33"/>
  <c r="AJ216" i="33" s="1"/>
  <c r="AN216" i="33" s="1"/>
  <c r="D220" i="33" s="1"/>
  <c r="C243" i="33"/>
  <c r="D243" i="33" s="1"/>
  <c r="Z237" i="31"/>
  <c r="AA237" i="31" s="1"/>
  <c r="C244" i="33" s="1"/>
  <c r="BR39" i="23"/>
  <c r="H93" i="23" s="1"/>
  <c r="H95" i="23" s="1"/>
  <c r="C290" i="33"/>
  <c r="BR37" i="23"/>
  <c r="F93" i="23" s="1"/>
  <c r="F95" i="23" s="1"/>
  <c r="W172" i="18"/>
  <c r="W215" i="18" s="1"/>
  <c r="AB5" i="22" s="1"/>
  <c r="BN15" i="23" s="1"/>
  <c r="BN21" i="2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D192" i="33" l="1"/>
  <c r="D235" i="33" s="1"/>
  <c r="D236" i="33" s="1"/>
  <c r="J170" i="31"/>
  <c r="AK225" i="33"/>
  <c r="AO225" i="33" s="1"/>
  <c r="AO228" i="33" s="1"/>
  <c r="AQ228" i="33" s="1"/>
  <c r="AR228" i="33" s="1"/>
  <c r="AS228" i="33" s="1"/>
  <c r="AT228" i="33" s="1"/>
  <c r="AW228" i="33" s="1"/>
  <c r="D240" i="33" s="1"/>
  <c r="D244" i="33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76" i="33" l="1"/>
  <c r="D290" i="33" s="1"/>
  <c r="D292" i="33" s="1"/>
  <c r="D161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3" i="33" l="1"/>
  <c r="D294" i="33" s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<sst xmlns="http://schemas.openxmlformats.org/spreadsheetml/2006/main" count="3098" uniqueCount="1464">
  <si>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</si>
  <si>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</si>
  <si>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</si>
  <si>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</si>
  <si>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</si>
  <si>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</si>
  <si>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</si>
  <si>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</si>
  <si>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</si>
  <si>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</si>
  <si>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</si>
  <si>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</si>
  <si>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</si>
  <si>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</si>
  <si>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</si>
  <si>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</si>
  <si>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</si>
  <si>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</si>
  <si>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</si>
  <si>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</si>
  <si>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</si>
  <si>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</si>
  <si>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</si>
  <si>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</si>
  <si>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</si>
  <si>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</si>
  <si>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</si>
  <si>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</si>
  <si>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</si>
  <si>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</si>
  <si>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</si>
  <si>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</si>
  <si>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</si>
  <si>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</si>
  <si>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</si>
  <si>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</si>
  <si>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</si>
  <si>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</si>
  <si>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</si>
  <si>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</si>
  <si>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</si>
  <si>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</si>
  <si>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</si>
  <si>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</si>
  <si>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</si>
  <si>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</si>
  <si>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</si>
  <si>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</si>
  <si>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</si>
  <si>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</si>
  <si>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</si>
  <si>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</si>
  <si>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</si>
  <si>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</si>
  <si>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</si>
  <si>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</si>
  <si>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</si>
  <si>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</si>
  <si>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</si>
  <si>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</si>
  <si>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</si>
  <si>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</si>
  <si>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</si>
  <si>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</si>
  <si>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</si>
  <si>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</si>
  <si>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</si>
  <si>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</si>
  <si>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</si>
  <si>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</si>
  <si>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</si>
  <si>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</si>
  <si>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</si>
  <si>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</si>
  <si>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</si>
  <si>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</si>
  <si>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</si>
  <si>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</si>
  <si>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</si>
  <si>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</si>
  <si>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</si>
  <si>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</si>
  <si>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</si>
  <si>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</si>
  <si>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</si>
  <si>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</si>
  <si>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</si>
  <si>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</si>
  <si>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</si>
  <si>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</si>
  <si>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</si>
  <si>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</si>
  <si>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</si>
  <si>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</si>
  <si>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</si>
  <si>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</si>
  <si>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</si>
  <si>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</si>
  <si>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</si>
  <si>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</si>
  <si>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</si>
  <si>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</si>
  <si>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</si>
  <si>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</si>
  <si>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</si>
  <si>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</si>
  <si>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</si>
  <si>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</si>
  <si>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</si>
  <si>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</si>
  <si>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</si>
  <si>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</si>
  <si>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</si>
  <si>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</si>
  <si>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</si>
  <si>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</si>
  <si>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</si>
  <si>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</si>
  <si>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</si>
  <si>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</si>
  <si>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</si>
  <si>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</si>
  <si>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</si>
  <si>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</si>
  <si>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</si>
  <si>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</si>
  <si>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</si>
  <si>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</si>
  <si>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</si>
  <si>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</si>
  <si>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</si>
  <si>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</si>
  <si>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</si>
  <si>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</si>
  <si>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</si>
  <si>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</si>
  <si>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</si>
  <si>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</si>
  <si>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</si>
  <si>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</si>
  <si>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</si>
  <si>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</si>
  <si>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</si>
  <si>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</si>
  <si>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</si>
  <si>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</si>
  <si>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</si>
  <si>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</si>
  <si>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</si>
  <si>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</si>
  <si>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</si>
  <si>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</si>
  <si>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</si>
  <si>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</si>
  <si>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</si>
  <si>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</si>
  <si>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</si>
  <si>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</si>
  <si>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</si>
  <si>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</si>
  <si>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</si>
  <si>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</si>
  <si>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</si>
  <si>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</si>
  <si>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</si>
  <si>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</si>
  <si>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</si>
  <si>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</si>
  <si>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</si>
  <si>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</si>
  <si>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</si>
  <si>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</si>
  <si>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</si>
  <si>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</si>
  <si>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</si>
  <si>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</si>
  <si>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</si>
  <si>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</si>
  <si>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</si>
  <si>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</si>
  <si>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</si>
  <si>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</si>
  <si>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</si>
  <si>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</si>
  <si>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</si>
  <si>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</si>
  <si>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</si>
  <si>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</si>
  <si>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</si>
  <si>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</si>
  <si>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</si>
  <si>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</si>
  <si>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</si>
  <si>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</si>
  <si>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</si>
  <si>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</si>
  <si>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</si>
  <si>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</si>
  <si>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</si>
  <si>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</si>
  <si>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</si>
  <si>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</si>
  <si>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</si>
  <si>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</si>
  <si>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</si>
  <si>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</si>
  <si>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</si>
  <si>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</si>
  <si>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</si>
  <si>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</si>
  <si>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</si>
  <si>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</si>
  <si>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</si>
  <si>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</si>
  <si>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</si>
  <si>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</si>
  <si>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</si>
  <si>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</si>
  <si>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</si>
  <si>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</si>
  <si>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</si>
  <si>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</si>
  <si>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</si>
  <si>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</si>
  <si>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</si>
  <si>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</si>
  <si>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</si>
  <si>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</si>
  <si>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</si>
  <si>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</si>
  <si>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</si>
  <si>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</si>
  <si>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</si>
  <si>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</si>
  <si>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</si>
  <si>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</si>
  <si>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</si>
  <si>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</si>
  <si>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</si>
  <si>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</si>
  <si>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</si>
  <si>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</si>
  <si>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</si>
  <si>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</si>
  <si>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</si>
  <si>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</si>
  <si>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</si>
  <si>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</si>
  <si>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</si>
  <si>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</si>
  <si>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</si>
  <si>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</si>
  <si>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</si>
  <si>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</si>
  <si>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</si>
  <si>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</si>
  <si>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</si>
  <si>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</si>
  <si>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</si>
  <si>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</si>
  <si>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</si>
  <si>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</si>
  <si>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</si>
  <si>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</si>
  <si>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</si>
  <si>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</si>
  <si>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</si>
  <si>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</si>
  <si>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</si>
  <si>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</si>
  <si>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</si>
  <si>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</si>
  <si>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</si>
  <si>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</si>
  <si>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</si>
  <si>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</si>
  <si>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</si>
  <si>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</si>
  <si>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</si>
  <si>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</si>
  <si>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</si>
  <si>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</si>
  <si>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</si>
  <si>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</si>
  <si>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</si>
  <si>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</si>
  <si>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</si>
  <si>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</si>
  <si>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</si>
  <si>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</si>
  <si>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</si>
  <si>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</si>
  <si>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</si>
  <si>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</si>
  <si>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</si>
  <si>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</si>
  <si>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</si>
  <si>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</si>
  <si>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</si>
  <si>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</si>
  <si>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</si>
  <si>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</si>
  <si>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</si>
  <si>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</si>
  <si>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</si>
  <si>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</si>
  <si>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</si>
  <si>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</si>
  <si>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</si>
  <si>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</si>
  <si>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</si>
  <si>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</si>
  <si>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</si>
  <si>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</si>
  <si>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</si>
  <si>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</si>
  <si>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</si>
  <si>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</si>
  <si>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</si>
  <si>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</si>
  <si>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</si>
  <si>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</si>
  <si>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</si>
  <si>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</si>
  <si>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</si>
  <si>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</si>
  <si>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</si>
  <si>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</si>
  <si>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</si>
  <si>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</si>
  <si>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</si>
  <si>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</si>
  <si>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</si>
  <si>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</si>
  <si>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</si>
  <si>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</si>
  <si>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</si>
  <si>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</si>
  <si>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</si>
  <si>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</si>
  <si>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</si>
  <si>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</si>
  <si>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</si>
  <si>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</si>
  <si>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</si>
  <si>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</si>
  <si>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</si>
  <si>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</si>
  <si>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</si>
  <si>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</si>
  <si>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</si>
  <si>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</si>
  <si>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</si>
  <si>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</si>
  <si>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</si>
  <si>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</si>
  <si>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</si>
  <si>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</si>
  <si>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</si>
  <si>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</si>
  <si>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</si>
  <si>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</si>
  <si>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</si>
  <si>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</si>
  <si>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</si>
  <si>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</si>
  <si>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</si>
  <si>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</si>
  <si>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</si>
  <si>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</si>
  <si>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</si>
  <si>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</si>
  <si>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</si>
  <si>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</si>
  <si>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</si>
  <si>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</si>
  <si>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</si>
  <si>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</si>
  <si>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</si>
  <si>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</si>
  <si>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</si>
  <si>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</si>
  <si>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</si>
  <si>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</si>
  <si>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</si>
  <si>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</si>
  <si>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</si>
  <si>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</si>
  <si>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</si>
  <si>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</si>
  <si>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</si>
  <si>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</si>
  <si>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</si>
  <si>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</si>
  <si>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</si>
  <si>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</si>
  <si>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</si>
  <si>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</si>
  <si>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</si>
  <si>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</si>
  <si>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</si>
  <si>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</si>
  <si>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</si>
  <si>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</si>
  <si>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</si>
  <si>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</si>
  <si>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</si>
  <si>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</si>
  <si>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</si>
  <si>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</si>
  <si>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</si>
  <si>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</si>
  <si>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</si>
  <si>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</si>
  <si>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</si>
  <si>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</si>
  <si>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</si>
  <si>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</si>
  <si>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</si>
  <si>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</si>
  <si>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</si>
  <si>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</si>
  <si>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</si>
  <si>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</si>
  <si>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</si>
  <si>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</si>
  <si>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</si>
  <si>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</si>
  <si>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</si>
  <si>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</si>
  <si>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</si>
  <si>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</si>
  <si>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</si>
  <si>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</si>
  <si>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</si>
  <si>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</si>
  <si>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</si>
  <si>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</si>
  <si>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</si>
  <si>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</si>
  <si>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</si>
  <si>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</si>
  <si>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</si>
  <si>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</si>
  <si>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</si>
  <si>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</si>
  <si>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</si>
  <si>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</si>
  <si>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</si>
  <si>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</si>
  <si>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</si>
  <si>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</si>
  <si>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</si>
  <si>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</si>
  <si>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</si>
  <si>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</si>
  <si>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</si>
  <si>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</si>
  <si>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</si>
  <si>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</si>
  <si>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</si>
  <si>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</si>
  <si>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</si>
  <si>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</si>
  <si>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</si>
  <si>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</si>
  <si>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</si>
  <si>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</si>
  <si>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</si>
  <si>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</si>
  <si>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</si>
  <si>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</si>
  <si>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</si>
  <si>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</si>
  <si>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</si>
  <si>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</si>
  <si>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</si>
  <si>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</si>
  <si>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</si>
  <si>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</si>
  <si>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</si>
  <si>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</si>
  <si>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</si>
  <si>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</si>
  <si>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</si>
  <si>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</si>
  <si>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</si>
  <si>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</si>
  <si>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</si>
  <si>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</si>
  <si>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</si>
  <si>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</si>
  <si>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</si>
  <si>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</si>
  <si>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</si>
  <si>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</si>
  <si>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</si>
  <si>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</si>
  <si>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</si>
  <si>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</si>
  <si>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</si>
  <si>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</si>
  <si>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</si>
  <si>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</si>
  <si>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</si>
  <si>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</si>
  <si>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</si>
  <si>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</si>
  <si>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</si>
  <si>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</si>
  <si>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</si>
  <si>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</si>
  <si>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</si>
  <si>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</si>
  <si>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</si>
  <si>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</si>
  <si>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</si>
  <si>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</si>
  <si>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</si>
  <si>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</si>
  <si>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</si>
  <si>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</si>
  <si>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</si>
  <si>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</si>
  <si>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</si>
  <si>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</si>
  <si>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</si>
  <si>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</si>
  <si>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</si>
  <si>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</si>
  <si>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</si>
  <si>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</si>
  <si>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</si>
  <si>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</si>
  <si>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</si>
  <si>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</si>
  <si>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</si>
  <si>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</si>
  <si>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</si>
  <si>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</si>
  <si>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</si>
  <si>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</si>
  <si>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</si>
  <si>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</si>
  <si>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</si>
  <si>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</si>
  <si>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</si>
  <si>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</si>
  <si>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</si>
  <si>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</si>
  <si>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</si>
  <si>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</si>
  <si>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</si>
  <si>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</si>
  <si>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</si>
  <si>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</si>
  <si>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</si>
  <si>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</si>
  <si>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</si>
  <si>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</si>
  <si>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</si>
  <si>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</si>
  <si>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</si>
  <si>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</si>
  <si>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</si>
  <si>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</si>
  <si>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</si>
  <si>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</si>
  <si>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</si>
  <si>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</si>
  <si>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</si>
  <si>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</si>
  <si>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</si>
  <si>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</si>
  <si>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</si>
  <si>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</si>
  <si>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</si>
  <si>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</si>
  <si>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</si>
  <si>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</si>
  <si>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</si>
  <si>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</si>
  <si>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</si>
  <si>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</si>
  <si>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</si>
  <si>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</si>
  <si>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</si>
  <si>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</si>
  <si>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</si>
  <si>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</si>
  <si>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</si>
  <si>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</si>
  <si>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</si>
  <si>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</si>
  <si>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</si>
  <si>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</si>
  <si>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</si>
  <si>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</si>
  <si>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</si>
  <si>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</si>
  <si>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</si>
  <si>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</si>
  <si>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</si>
  <si>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</si>
  <si>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</si>
  <si>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</si>
  <si>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</si>
  <si>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</si>
  <si>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</si>
  <si>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</si>
  <si>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</si>
  <si>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</si>
  <si>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</si>
  <si>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</si>
  <si>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</si>
  <si>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</si>
  <si>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</si>
  <si>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</si>
  <si>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</si>
  <si>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</si>
  <si>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</si>
  <si>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</si>
  <si>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</si>
  <si>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</si>
  <si>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</si>
  <si>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</si>
  <si>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</si>
  <si>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</si>
  <si>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</si>
  <si>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</si>
  <si>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</si>
  <si>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</si>
  <si>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</si>
  <si>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</si>
  <si>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</si>
  <si>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</si>
  <si>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</si>
  <si>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</si>
  <si>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</si>
  <si>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</si>
  <si>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</si>
  <si>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</si>
  <si>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</si>
  <si>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</si>
  <si>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</si>
  <si>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</si>
  <si>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</si>
  <si>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</si>
  <si>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</si>
  <si>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</si>
  <si>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</si>
  <si>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</si>
  <si>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</si>
  <si>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</si>
  <si>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</si>
  <si>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</si>
  <si>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</si>
  <si>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</si>
  <si>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</si>
  <si>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</si>
  <si>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</si>
  <si>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</si>
  <si>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</si>
  <si>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</si>
  <si>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</si>
  <si>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</si>
  <si>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</si>
  <si>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</si>
  <si>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</si>
  <si>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</si>
  <si>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</si>
  <si>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</si>
  <si>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</si>
  <si>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</si>
  <si>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</si>
  <si>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</si>
  <si>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</si>
  <si>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</si>
  <si>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</si>
  <si>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</si>
  <si>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</si>
  <si>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</si>
  <si>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</si>
  <si>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</si>
  <si>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</si>
  <si>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</si>
  <si>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</si>
  <si>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</si>
  <si>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</si>
  <si>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</si>
  <si>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</si>
  <si>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</si>
  <si>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</si>
  <si>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</si>
  <si>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</si>
  <si>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</si>
  <si>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</si>
  <si>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</si>
  <si>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</si>
  <si>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</si>
  <si>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</si>
  <si>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</si>
  <si>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</si>
  <si>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</si>
  <si>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</si>
  <si>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</si>
  <si>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</si>
  <si>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</si>
  <si>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</si>
  <si>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</si>
  <si>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</si>
  <si>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</si>
  <si>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</si>
  <si>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</si>
  <si>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</si>
  <si>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</si>
  <si>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</si>
  <si>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</si>
  <si>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</si>
  <si>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</si>
  <si>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</si>
  <si>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</si>
  <si>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</si>
  <si>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</si>
  <si>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</si>
  <si>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</si>
  <si>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</si>
  <si>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</si>
  <si>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</si>
  <si>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</si>
  <si>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</si>
  <si>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</si>
  <si>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</si>
  <si>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</si>
  <si>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</si>
  <si>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</si>
  <si>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</si>
  <si>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</si>
  <si>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</si>
  <si>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</si>
  <si>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</si>
  <si>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</si>
  <si>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</si>
  <si>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</si>
  <si>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</si>
  <si>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</si>
  <si>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</si>
  <si>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</si>
  <si>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</si>
  <si>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</si>
  <si>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</si>
  <si>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</si>
  <si>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</si>
  <si>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</si>
  <si>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</si>
  <si>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</si>
  <si>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</si>
  <si>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</si>
  <si>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</si>
  <si>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</si>
  <si>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</si>
  <si>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</si>
  <si>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</si>
  <si>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</si>
  <si>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</si>
  <si>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</si>
  <si>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</si>
  <si>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</si>
  <si>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</si>
  <si>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</si>
  <si>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</si>
  <si>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</si>
  <si>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</si>
  <si>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</si>
  <si>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</si>
  <si>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</si>
  <si>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</si>
  <si>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</si>
  <si>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</si>
  <si>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</si>
  <si>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</si>
  <si>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</si>
  <si>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</si>
  <si>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</si>
  <si>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</si>
  <si>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</si>
  <si>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</si>
  <si>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</si>
  <si>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</si>
  <si>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</si>
  <si>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</si>
  <si>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</si>
  <si>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</si>
  <si>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</si>
  <si>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</si>
  <si>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</si>
  <si>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</si>
  <si>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</si>
  <si>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</si>
  <si>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</si>
  <si>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</si>
  <si>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</si>
  <si>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</si>
  <si>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</si>
  <si>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</si>
  <si>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</si>
  <si>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</si>
  <si>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</si>
  <si>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</si>
  <si>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</si>
  <si>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</si>
  <si>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</si>
  <si>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</si>
  <si>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</si>
  <si>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</si>
  <si>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</si>
  <si>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</si>
  <si>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</si>
  <si>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</si>
  <si>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</si>
  <si>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</si>
  <si>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</si>
  <si>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</si>
  <si>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</si>
  <si>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</si>
  <si>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</si>
  <si>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</si>
  <si>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</si>
  <si>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</si>
  <si>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</si>
  <si>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</si>
  <si>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</si>
  <si>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</si>
  <si>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</si>
  <si>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</si>
  <si>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</si>
  <si>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</si>
  <si>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</si>
  <si>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</si>
  <si>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</si>
  <si>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</si>
  <si>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</si>
  <si>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</si>
  <si>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</si>
  <si>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</si>
  <si>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</si>
  <si>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</si>
  <si>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</si>
  <si>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</si>
  <si>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</si>
  <si>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</si>
  <si>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</si>
  <si>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</si>
  <si>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</si>
  <si>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</si>
  <si>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</si>
  <si>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</si>
  <si>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</si>
  <si>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</si>
  <si>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</si>
  <si>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</si>
  <si>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</si>
  <si>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</si>
  <si>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</si>
  <si>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</si>
  <si>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</si>
  <si>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</si>
  <si>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</si>
  <si>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</si>
  <si>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</si>
  <si>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</si>
  <si>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</si>
  <si>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</si>
  <si>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</si>
  <si>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</si>
  <si>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</si>
  <si>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</si>
  <si>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</si>
  <si>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</si>
  <si>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</si>
  <si>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</si>
  <si>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</si>
  <si>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</si>
  <si>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</si>
  <si>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</si>
  <si>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</si>
  <si>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</si>
  <si>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</si>
  <si>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</si>
  <si>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</si>
  <si>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</si>
  <si>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</si>
  <si>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</si>
  <si>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</si>
  <si>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</si>
  <si>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</si>
  <si>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</si>
  <si>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</si>
  <si>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</si>
  <si>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</si>
  <si>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</si>
  <si>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</si>
  <si>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</si>
  <si>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</si>
  <si>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</si>
  <si>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</si>
  <si>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</si>
  <si>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</si>
  <si>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</si>
  <si>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</si>
  <si>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</si>
  <si>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</si>
  <si>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</si>
  <si>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</si>
  <si>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</si>
  <si>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</si>
  <si>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</si>
  <si>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</si>
  <si>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</si>
  <si>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</si>
  <si>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</si>
  <si>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</si>
  <si>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</si>
  <si>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</si>
  <si>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</si>
  <si>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</si>
  <si>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</si>
  <si>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</si>
  <si>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</si>
  <si>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</si>
  <si>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</si>
  <si>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</si>
  <si>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</si>
  <si>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</si>
  <si>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</si>
  <si>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</si>
  <si>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</si>
  <si>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</si>
  <si>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</si>
  <si>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</si>
  <si>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</si>
  <si>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</si>
  <si>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</si>
  <si>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</si>
  <si>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</si>
  <si>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</si>
  <si>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</si>
  <si>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</si>
  <si>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</si>
  <si>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</si>
  <si>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</si>
  <si>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</si>
  <si>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</si>
  <si>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</si>
  <si>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</si>
  <si>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</si>
  <si>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</si>
  <si>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</si>
  <si>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</si>
  <si>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</si>
  <si>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</si>
  <si>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</si>
  <si>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</si>
  <si>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</si>
  <si>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</si>
  <si>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</si>
  <si>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</si>
  <si>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</si>
  <si>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</si>
  <si>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</si>
  <si>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</si>
  <si>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</si>
  <si>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</si>
  <si>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</si>
  <si>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</si>
  <si>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</si>
  <si>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</si>
  <si>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</si>
  <si>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</si>
  <si>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</si>
  <si>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</si>
  <si>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</si>
  <si>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</si>
  <si>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</si>
  <si>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</si>
  <si>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</si>
  <si>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</si>
  <si>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</si>
  <si>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</si>
  <si>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</si>
  <si>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</si>
  <si>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</si>
  <si>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</si>
  <si>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</si>
  <si>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</si>
  <si>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</si>
  <si>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</si>
  <si>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</si>
  <si>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</si>
  <si>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</si>
  <si>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</si>
  <si>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</si>
  <si>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</si>
  <si>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</si>
  <si>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</si>
  <si>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</si>
  <si>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</si>
  <si>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</si>
  <si>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</si>
  <si>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</si>
  <si>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</si>
  <si>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</si>
  <si>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</si>
  <si>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</si>
  <si>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</si>
  <si>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</si>
  <si>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</si>
  <si>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</si>
  <si>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</si>
  <si>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</si>
  <si>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</si>
  <si>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</si>
  <si>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</si>
  <si>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</si>
  <si>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</si>
  <si>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</si>
  <si>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</si>
  <si>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</si>
  <si>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</si>
  <si>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</si>
  <si>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</si>
  <si>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</si>
  <si>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</si>
  <si>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</si>
  <si>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</si>
  <si>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</si>
  <si>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</si>
  <si>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</si>
  <si>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</si>
  <si>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</si>
  <si>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</si>
  <si>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</si>
  <si>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</si>
  <si>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</si>
  <si>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</si>
  <si>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</si>
  <si>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</si>
  <si>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</si>
  <si>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</si>
  <si>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</si>
  <si>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</si>
  <si>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</si>
  <si>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</si>
  <si>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</si>
  <si>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</si>
  <si>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</si>
  <si>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</si>
  <si>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</si>
  <si>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</si>
  <si>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</si>
  <si>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</si>
  <si>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</si>
  <si>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</si>
  <si>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</si>
  <si>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</si>
  <si>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</si>
  <si>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</si>
  <si>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</si>
  <si>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</si>
  <si>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</si>
  <si>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</si>
  <si>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</si>
  <si>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</si>
  <si>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</si>
  <si>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</si>
  <si>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</si>
  <si>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</si>
  <si>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</si>
  <si>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</si>
  <si>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</si>
  <si>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</si>
  <si>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</si>
  <si>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</si>
  <si>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</si>
  <si>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</si>
  <si>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</si>
  <si>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</si>
  <si>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</si>
  <si>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</si>
  <si>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</si>
  <si>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</si>
  <si>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</si>
  <si>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</si>
  <si>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</si>
  <si>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</si>
  <si>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</si>
  <si>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</si>
  <si>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</si>
  <si>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</si>
  <si>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</si>
  <si>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</si>
  <si>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</si>
  <si>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</si>
  <si>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</si>
  <si>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</si>
  <si>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</si>
  <si>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</si>
  <si>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</si>
  <si>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</si>
  <si>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</si>
  <si>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</si>
  <si>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</si>
  <si>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</si>
  <si>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</si>
  <si>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</si>
  <si>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</si>
  <si>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</si>
  <si>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</si>
  <si>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</si>
  <si>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</si>
  <si>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</si>
  <si>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</si>
  <si>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</si>
  <si>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</si>
  <si>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</si>
  <si>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</si>
  <si>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</si>
  <si>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</si>
  <si>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</si>
  <si>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</si>
  <si>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</si>
  <si>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</si>
  <si>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</si>
  <si>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</si>
  <si>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</si>
  <si>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</si>
  <si>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</si>
  <si>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</si>
  <si>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</si>
  <si>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</si>
  <si>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</si>
  <si>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</si>
  <si>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</si>
  <si>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</si>
  <si>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</si>
  <si>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</si>
  <si>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</si>
  <si>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</si>
  <si>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</si>
  <si>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</si>
  <si>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</si>
  <si>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</si>
  <si>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</si>
  <si>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</si>
  <si>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</si>
  <si>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</si>
  <si>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</si>
  <si>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</si>
  <si>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</si>
  <si>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</si>
  <si>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</si>
  <si>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</si>
  <si>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</si>
  <si>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</si>
  <si>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</si>
  <si>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</si>
  <si>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</si>
  <si>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</si>
  <si>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</si>
  <si>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</si>
  <si>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</si>
  <si>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</si>
  <si>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</si>
  <si>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</si>
  <si>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</si>
  <si>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</si>
  <si>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</si>
  <si>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</si>
  <si>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</si>
  <si>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</si>
  <si>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</si>
  <si>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</si>
  <si>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</si>
  <si>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</si>
  <si>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</si>
  <si>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</si>
  <si>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</si>
  <si>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</si>
  <si>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</si>
  <si>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</si>
  <si>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</si>
  <si>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</si>
  <si>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</si>
  <si>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</si>
  <si>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</si>
  <si>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</si>
  <si>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</si>
  <si>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</si>
  <si>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</si>
  <si>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</si>
  <si>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</si>
  <si>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</si>
  <si>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</si>
  <si>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</si>
  <si>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</si>
  <si>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</si>
  <si>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</si>
  <si>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</si>
  <si>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</si>
  <si>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</si>
  <si>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</si>
  <si>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</si>
  <si>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</si>
  <si>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</si>
  <si>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</si>
  <si>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</si>
  <si>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</si>
  <si>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</si>
  <si>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</si>
  <si>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</si>
  <si>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</si>
  <si>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</si>
  <si>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</si>
  <si>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</si>
  <si>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</si>
  <si>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</si>
  <si>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</si>
  <si>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</si>
  <si>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</si>
  <si>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</si>
  <si>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</si>
  <si>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</si>
  <si>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</si>
  <si>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</si>
  <si>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</si>
  <si>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</si>
  <si>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</si>
  <si>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</si>
  <si>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</si>
  <si>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</si>
  <si>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</si>
  <si>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</si>
  <si>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</si>
  <si>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</si>
  <si>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</si>
  <si>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</si>
  <si>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</si>
  <si>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</si>
  <si>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</si>
  <si>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</si>
  <si>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</si>
  <si>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</si>
  <si>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</si>
  <si>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</si>
  <si>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</si>
  <si>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</si>
  <si>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</si>
  <si>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</si>
  <si>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</si>
  <si>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</si>
  <si>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</si>
  <si>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</si>
  <si>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</si>
  <si>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</si>
  <si>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</si>
  <si>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</si>
  <si>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</si>
  <si>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</si>
  <si>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</si>
  <si>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</si>
  <si>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</si>
  <si>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</si>
  <si>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</si>
  <si>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</si>
  <si>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</si>
  <si>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</si>
  <si>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</si>
  <si>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</si>
  <si>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</si>
  <si>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</si>
  <si>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</si>
  <si>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</si>
  <si>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</si>
  <si>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</si>
  <si>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</si>
  <si>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</si>
  <si>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</si>
  <si>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</si>
  <si>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</si>
  <si>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</si>
  <si>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</si>
  <si>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</si>
  <si>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</si>
  <si>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</si>
  <si>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</si>
  <si>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</si>
  <si>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</si>
  <si>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</si>
  <si>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</si>
  <si>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</si>
  <si>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</si>
  <si>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</si>
  <si>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</si>
  <si>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</si>
  <si>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</si>
  <si>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</si>
  <si>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</si>
  <si>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</si>
  <si>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</si>
  <si>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</si>
  <si>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</si>
  <si>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</si>
  <si>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</si>
  <si>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</si>
  <si>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</si>
  <si>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</si>
  <si>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</si>
  <si>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</si>
  <si>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</si>
  <si>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</si>
  <si>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</si>
  <si>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</si>
  <si>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</si>
  <si>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</si>
  <si>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</si>
  <si>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</si>
  <si>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</si>
  <si>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</si>
  <si>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</si>
  <si>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</si>
  <si>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</si>
  <si>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</si>
  <si>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</si>
  <si>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</si>
  <si>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</si>
  <si>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</si>
  <si>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</si>
  <si>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</si>
  <si>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</si>
  <si>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</si>
  <si>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</si>
  <si>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</si>
  <si>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</si>
  <si>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</si>
  <si>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</si>
  <si>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</si>
  <si>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</si>
  <si>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</si>
  <si>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</si>
  <si>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</si>
  <si>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</si>
  <si>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</si>
  <si>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</si>
  <si>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</si>
  <si>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</si>
  <si>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</si>
  <si>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</si>
  <si>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</si>
  <si>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</si>
  <si>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</si>
  <si>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</si>
  <si>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</si>
  <si>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</si>
  <si>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</si>
  <si>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</si>
  <si>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</si>
  <si>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</si>
  <si>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</si>
  <si>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</si>
  <si>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</si>
  <si>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</si>
  <si>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</si>
  <si>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</si>
  <si>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</si>
  <si>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</si>
  <si>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</si>
  <si>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</si>
  <si>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</si>
  <si>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</si>
  <si>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</si>
  <si>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</si>
  <si>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</si>
  <si>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</si>
  <si>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</si>
  <si>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</si>
  <si>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</si>
  <si>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</si>
  <si>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</si>
  <si>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</si>
  <si>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</si>
  <si>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</si>
  <si>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</si>
  <si>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</si>
  <si>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</si>
  <si>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</si>
  <si>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</si>
  <si>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</si>
  <si>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</si>
  <si>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</si>
  <si>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</si>
  <si>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</si>
  <si>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</si>
  <si>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</si>
  <si>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</si>
  <si>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</si>
  <si>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</si>
  <si>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</si>
  <si>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</si>
  <si>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</si>
  <si>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</si>
  <si>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</si>
  <si>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</si>
  <si>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</si>
  <si>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</si>
  <si>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</si>
  <si>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</si>
  <si>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</si>
  <si>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</si>
  <si>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</si>
  <si>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</si>
  <si>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</si>
  <si>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</si>
  <si>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</si>
  <si>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</si>
  <si>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</si>
  <si>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</si>
  <si>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</si>
  <si>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</si>
  <si>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</si>
  <si>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</si>
  <si>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</si>
  <si>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</si>
  <si>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</si>
  <si>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</si>
  <si>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</si>
  <si>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</si>
  <si>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</si>
  <si>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</si>
  <si>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</si>
  <si>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</si>
  <si>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</si>
  <si>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</si>
  <si>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</si>
  <si>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</si>
  <si>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</si>
  <si>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</si>
  <si>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</si>
  <si>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</si>
  <si>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</si>
  <si>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</si>
  <si>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</si>
  <si>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</si>
  <si>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</si>
  <si>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</si>
  <si>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</si>
  <si>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</si>
  <si>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</si>
  <si>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</si>
  <si>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</si>
  <si>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</si>
  <si>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</si>
  <si>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</si>
  <si>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</si>
  <si>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Z1_OLBV_T3PT_SC1s2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</si>
</sst>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3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50.375500000000002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169.71351238646614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0.70843895652173916</v>
      </c>
      <c r="H5" s="143">
        <f>CdTrp1!C215+CdTrp2!C215+CdTrp3!C215+CdTrp4!C215</f>
        <v>0.70843895652173916</v>
      </c>
      <c r="I5" s="143">
        <f>CdTrp1!D215+CdTrp2!D215+CdTrp3!D215+CdTrp4!D215</f>
        <v>0.63988034782608705</v>
      </c>
      <c r="J5" s="143">
        <f>CdTrp1!E215+CdTrp2!E215+CdTrp3!E215+CdTrp4!E215</f>
        <v>0.63988034782608705</v>
      </c>
      <c r="K5" s="143">
        <f>CdTrp1!F215+CdTrp2!F215+CdTrp3!F215+CdTrp4!F215</f>
        <v>0</v>
      </c>
      <c r="L5" s="143">
        <f>CdTrp1!G215+CdTrp2!G215+CdTrp3!G215+CdTrp4!G215</f>
        <v>5.43085718852174</v>
      </c>
      <c r="M5" s="143">
        <f>CdTrp1!H215+CdTrp2!H215+CdTrp3!H215+CdTrp4!H215</f>
        <v>7.6314436617391337</v>
      </c>
      <c r="N5" s="143">
        <f>CdTrp1!I215+CdTrp2!I215+CdTrp3!I215+CdTrp4!I215</f>
        <v>5.3054828765217401</v>
      </c>
      <c r="O5" s="143">
        <f>CdTrp1!J215+CdTrp2!J215+CdTrp3!J215+CdTrp4!J215</f>
        <v>5.4266094229565223</v>
      </c>
      <c r="P5" s="143">
        <f>CdTrp1!K215+CdTrp2!K215+CdTrp3!K215+CdTrp4!K215</f>
        <v>4.6202567453913046</v>
      </c>
      <c r="Q5" s="143">
        <f>CdTrp1!L215+CdTrp2!L215+CdTrp3!L215+CdTrp4!L215</f>
        <v>4.4712162052173925</v>
      </c>
      <c r="R5" s="143">
        <f>CdTrp1!M215+CdTrp2!M215+CdTrp3!M215+CdTrp4!M215</f>
        <v>0.15561</v>
      </c>
      <c r="S5" s="143">
        <f>CdTrp1!N215+CdTrp2!N215+CdTrp3!N215+CdTrp4!N215</f>
        <v>0.160797</v>
      </c>
      <c r="T5" s="143">
        <f>CdTrp1!O215+CdTrp2!O215+CdTrp3!O215+CdTrp4!O215</f>
        <v>0.160797</v>
      </c>
      <c r="U5" s="143">
        <f>CdTrp1!P215+CdTrp2!P215+CdTrp3!P215+CdTrp4!P215</f>
        <v>0.160797</v>
      </c>
      <c r="V5" s="143">
        <f>CdTrp1!Q215+CdTrp2!Q215+CdTrp3!Q215+CdTrp4!Q215</f>
        <v>0.160797</v>
      </c>
      <c r="W5" s="143">
        <f>CdTrp1!R215+CdTrp2!R215+CdTrp3!R215+CdTrp4!R215</f>
        <v>0.15561</v>
      </c>
      <c r="X5" s="143">
        <f>CdTrp1!S215+CdTrp2!S215+CdTrp3!S215+CdTrp4!S215</f>
        <v>0.15561</v>
      </c>
      <c r="Y5" s="143">
        <f>CdTrp1!T215+CdTrp2!T215+CdTrp3!T215+CdTrp4!T215</f>
        <v>2.3233176704347831</v>
      </c>
      <c r="Z5" s="143">
        <f>CdTrp1!U215+CdTrp2!U215+CdTrp3!U215+CdTrp4!U215</f>
        <v>5.7474440739130435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0.70843895652173916</v>
      </c>
      <c r="AD5" s="143">
        <f>CdTrp1!Y215+CdTrp2!Y215+CdTrp3!Y215+CdTrp4!Y215</f>
        <v>0.70843895652173916</v>
      </c>
      <c r="AE5" s="153"/>
      <c r="AF5" s="144">
        <f>AF8+AF9</f>
        <v>124.26878139686956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1.286376</v>
      </c>
      <c r="L6" s="143">
        <f>CdTrp1!G216+CdTrp2!G216+CdTrp3!G216+CdTrp4!G216</f>
        <v>1.286376</v>
      </c>
      <c r="M6" s="143">
        <f>CdTrp1!H216+CdTrp2!H216+CdTrp3!H216+CdTrp4!H216</f>
        <v>1.24488</v>
      </c>
      <c r="N6" s="143">
        <f>CdTrp1!I216+CdTrp2!I216+CdTrp3!I216+CdTrp4!I216</f>
        <v>3.5479878000000005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1.24488</v>
      </c>
      <c r="R6" s="143">
        <f>CdTrp1!M216+CdTrp2!M216+CdTrp3!M216+CdTrp4!M216</f>
        <v>1.24488</v>
      </c>
      <c r="S6" s="143">
        <f>CdTrp1!N216+CdTrp2!N216+CdTrp3!N216+CdTrp4!N216</f>
        <v>1.286376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1.24488</v>
      </c>
      <c r="X6" s="143">
        <f>CdTrp1!S216+CdTrp2!S216+CdTrp3!S216+CdTrp4!S216</f>
        <v>1.24488</v>
      </c>
      <c r="Y6" s="143">
        <f>CdTrp1!T216+CdTrp2!T216+CdTrp3!T216+CdTrp4!T216</f>
        <v>1.286376</v>
      </c>
      <c r="Z6" s="143">
        <f>CdTrp1!U216+CdTrp2!U216+CdTrp3!U216+CdTrp4!U216</f>
        <v>0</v>
      </c>
      <c r="AA6" s="143">
        <f>CdTrp1!V216+CdTrp2!V216+CdTrp3!V216+CdTrp4!V216</f>
        <v>1.3979363999999999</v>
      </c>
      <c r="AB6" s="143">
        <f>CdTrp1!W216+CdTrp2!W216+CdTrp3!W216+CdTrp4!W216</f>
        <v>1.4252279999999999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157.79999999999998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1.2972607199999999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0.70843895652173916</v>
      </c>
      <c r="H8" s="143">
        <f t="shared" ref="H8:AD8" si="0">SUM(H5:H7)</f>
        <v>0.70843895652173916</v>
      </c>
      <c r="I8" s="143">
        <f t="shared" si="0"/>
        <v>0.63988034782608705</v>
      </c>
      <c r="J8" s="143">
        <f t="shared" si="0"/>
        <v>0.63988034782608705</v>
      </c>
      <c r="K8" s="143">
        <f t="shared" si="0"/>
        <v>1.994814956521739</v>
      </c>
      <c r="L8" s="143">
        <f t="shared" si="0"/>
        <v>7.4256721450434791</v>
      </c>
      <c r="M8" s="143">
        <f t="shared" si="0"/>
        <v>9.5619097486956566</v>
      </c>
      <c r="N8" s="143">
        <f t="shared" si="0"/>
        <v>9.5390567634782641</v>
      </c>
      <c r="O8" s="143">
        <f t="shared" si="0"/>
        <v>9.75195012947826</v>
      </c>
      <c r="P8" s="143">
        <f t="shared" si="0"/>
        <v>8.237158495391304</v>
      </c>
      <c r="Q8" s="143">
        <f t="shared" si="0"/>
        <v>5.7160962052173927</v>
      </c>
      <c r="R8" s="143">
        <f t="shared" si="0"/>
        <v>1.40049</v>
      </c>
      <c r="S8" s="143">
        <f t="shared" si="0"/>
        <v>1.447173</v>
      </c>
      <c r="T8" s="143">
        <f t="shared" si="0"/>
        <v>1.447173</v>
      </c>
      <c r="U8" s="143">
        <f t="shared" si="0"/>
        <v>1.447173</v>
      </c>
      <c r="V8" s="143">
        <f t="shared" si="0"/>
        <v>1.447173</v>
      </c>
      <c r="W8" s="143">
        <f t="shared" si="0"/>
        <v>1.40049</v>
      </c>
      <c r="X8" s="143">
        <f t="shared" si="0"/>
        <v>1.40049</v>
      </c>
      <c r="Y8" s="143">
        <f t="shared" si="0"/>
        <v>4.906954390434783</v>
      </c>
      <c r="Z8" s="143">
        <f t="shared" si="0"/>
        <v>7.7887664704347825</v>
      </c>
      <c r="AA8" s="143">
        <f t="shared" si="0"/>
        <v>3.3802724869565219</v>
      </c>
      <c r="AB8" s="143">
        <f t="shared" si="0"/>
        <v>3.3816290869565218</v>
      </c>
      <c r="AC8" s="143">
        <f t="shared" si="0"/>
        <v>0.70843895652173916</v>
      </c>
      <c r="AD8" s="143">
        <f t="shared" si="0"/>
        <v>0.70843895652173916</v>
      </c>
      <c r="AE8" s="153"/>
      <c r="AF8" s="144">
        <f>SUM(G8:AD8)</f>
        <v>85.787959400347816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9.8000000000000007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9.8000000000000007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15.9</v>
      </c>
      <c r="R14" s="145">
        <f>CdTrp1!AV54+CdTrp2!AV54+CdTrp3!AV54+CdTrp4!AV54</f>
        <v>0</v>
      </c>
      <c r="S14" s="145">
        <f>CdTrp1!AW54+CdTrp2!AW54+CdTrp3!AW54+CdTrp4!AW54</f>
        <v>2.9</v>
      </c>
      <c r="T14" s="145">
        <f>CdTrp1!AX54+CdTrp2!AX54+CdTrp3!AX54+CdTrp4!AX54</f>
        <v>7.3</v>
      </c>
      <c r="U14" s="145">
        <f>CdTrp1!AY54+CdTrp2!AY54+CdTrp3!AY54+CdTrp4!AY54</f>
        <v>5.5</v>
      </c>
      <c r="V14" s="145">
        <f>CdTrp1!AZ54+CdTrp2!AZ54+CdTrp3!AZ54+CdTrp4!AZ54</f>
        <v>2.2999999999999998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42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18.5</v>
      </c>
      <c r="H18" s="158">
        <f>G18/G17</f>
        <v>0.44047619047619047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11</v>
      </c>
      <c r="H19" s="158">
        <f>G19/G17</f>
        <v>0.26190476190476192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5</v>
      </c>
      <c r="H20" s="158">
        <f>G20/G17</f>
        <v>0.11904761904761904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15.9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2.9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7.3</v>
      </c>
    </row>
    <row r="25" spans="2:9" x14ac:dyDescent="0.25">
      <c r="B25" s="19" t="str">
        <f>[1]Conc!C19</f>
        <v>15 -concentré bovin allaitant</v>
      </c>
      <c r="C25" s="144">
        <f>U14</f>
        <v>5.5</v>
      </c>
    </row>
    <row r="26" spans="2:9" x14ac:dyDescent="0.25">
      <c r="B26" s="19" t="str">
        <f>[1]Conc!C20</f>
        <v>16 -correcteur N bovin allaitant</v>
      </c>
      <c r="C26" s="144">
        <f>V14</f>
        <v>2.2999999999999998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E1" zoomScale="80" zoomScaleNormal="80" workbookViewId="0">
      <selection activeCell="Q13" sqref="Q13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39.8554687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0.70843895652173916</v>
      </c>
      <c r="AT5" s="13">
        <f>'Conduite Trp'!H8</f>
        <v>0.70843895652173916</v>
      </c>
      <c r="AU5" s="13">
        <f>'Conduite Trp'!I8</f>
        <v>0.63988034782608705</v>
      </c>
      <c r="AV5" s="13">
        <f>'Conduite Trp'!J8</f>
        <v>0.63988034782608705</v>
      </c>
      <c r="AW5" s="13">
        <f>'Conduite Trp'!K8</f>
        <v>1.994814956521739</v>
      </c>
      <c r="AX5" s="13">
        <f>'Conduite Trp'!L8</f>
        <v>7.4256721450434791</v>
      </c>
      <c r="AY5" s="13">
        <f>'Conduite Trp'!M8</f>
        <v>9.5619097486956566</v>
      </c>
      <c r="AZ5" s="13">
        <f>'Conduite Trp'!N8</f>
        <v>9.5390567634782641</v>
      </c>
      <c r="BA5" s="13">
        <f>'Conduite Trp'!O8</f>
        <v>9.75195012947826</v>
      </c>
      <c r="BB5" s="13">
        <f>'Conduite Trp'!P8</f>
        <v>8.237158495391304</v>
      </c>
      <c r="BC5" s="13">
        <f>'Conduite Trp'!Q8</f>
        <v>5.7160962052173927</v>
      </c>
      <c r="BD5" s="13">
        <f>'Conduite Trp'!R8</f>
        <v>1.40049</v>
      </c>
      <c r="BE5" s="13">
        <f>'Conduite Trp'!S8</f>
        <v>1.447173</v>
      </c>
      <c r="BF5" s="13">
        <f>'Conduite Trp'!T8</f>
        <v>1.447173</v>
      </c>
      <c r="BG5" s="13">
        <f>'Conduite Trp'!U8</f>
        <v>1.447173</v>
      </c>
      <c r="BH5" s="13">
        <f>'Conduite Trp'!V8</f>
        <v>1.447173</v>
      </c>
      <c r="BI5" s="13">
        <f>'Conduite Trp'!W8</f>
        <v>1.40049</v>
      </c>
      <c r="BJ5" s="13">
        <f>'Conduite Trp'!X8</f>
        <v>1.40049</v>
      </c>
      <c r="BK5" s="13">
        <f>'Conduite Trp'!Y8</f>
        <v>4.906954390434783</v>
      </c>
      <c r="BL5" s="13">
        <f>'Conduite Trp'!Z8</f>
        <v>7.7887664704347825</v>
      </c>
      <c r="BM5" s="13">
        <f>'Conduite Trp'!AA8</f>
        <v>3.3802724869565219</v>
      </c>
      <c r="BN5" s="13">
        <f>'Conduite Trp'!AB8</f>
        <v>3.3816290869565218</v>
      </c>
      <c r="BO5" s="13">
        <f>'Conduite Trp'!AC8</f>
        <v>0.70843895652173916</v>
      </c>
      <c r="BP5" s="13">
        <f>'Conduite Trp'!AD8</f>
        <v>0.70843895652173916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1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3.3</v>
      </c>
      <c r="AF7" s="61">
        <f t="shared" ref="AF7:AF26" si="1">$R7*W7</f>
        <v>3</v>
      </c>
      <c r="AG7" s="61">
        <f t="shared" ref="AG7:AG26" si="2">$R7*X7</f>
        <v>2.2999999999999998</v>
      </c>
      <c r="AH7" s="61">
        <f t="shared" ref="AH7:AH26" si="3">$R7*Y7</f>
        <v>0.5</v>
      </c>
      <c r="AI7" s="61">
        <f t="shared" ref="AI7:AI26" si="4">$R7*Z7</f>
        <v>0.7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9.5619097486956566</v>
      </c>
      <c r="AZ7" s="61">
        <f t="shared" si="7"/>
        <v>9.5390567634782641</v>
      </c>
      <c r="BA7" s="61">
        <f t="shared" si="7"/>
        <v>9.75195012947826</v>
      </c>
      <c r="BB7" s="61">
        <f t="shared" si="7"/>
        <v>8.237158495391304</v>
      </c>
      <c r="BC7" s="61">
        <f t="shared" si="7"/>
        <v>5.7160962052173927</v>
      </c>
      <c r="BD7" s="61">
        <f t="shared" si="7"/>
        <v>1.40049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44.206661342260873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50.375500000000002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18.2</v>
      </c>
      <c r="P8">
        <v>2</v>
      </c>
      <c r="Q8" s="39">
        <v>241</v>
      </c>
      <c r="R8" s="39">
        <v>2.5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3.75</v>
      </c>
      <c r="AF8" s="61">
        <f t="shared" si="1"/>
        <v>0</v>
      </c>
      <c r="AG8" s="61">
        <f t="shared" si="2"/>
        <v>1.875</v>
      </c>
      <c r="AH8" s="61">
        <f t="shared" si="3"/>
        <v>1.875</v>
      </c>
      <c r="AI8" s="61">
        <f t="shared" si="4"/>
        <v>2.5</v>
      </c>
      <c r="AJ8" s="61">
        <f t="shared" si="5"/>
        <v>0</v>
      </c>
      <c r="AK8" s="141"/>
      <c r="AL8" s="61">
        <f t="shared" si="6"/>
        <v>12.5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1.447173</v>
      </c>
      <c r="BF8" s="61">
        <f t="shared" si="8"/>
        <v>1.447173</v>
      </c>
      <c r="BG8" s="61">
        <f t="shared" si="8"/>
        <v>1.447173</v>
      </c>
      <c r="BH8" s="61">
        <f t="shared" si="8"/>
        <v>1.447173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5.7886920000000002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50.375500000000002</v>
      </c>
      <c r="G9" s="81"/>
      <c r="H9" s="61">
        <f>SUM(L34:L43)</f>
        <v>0</v>
      </c>
      <c r="I9" s="81"/>
      <c r="J9" s="81"/>
      <c r="K9" s="93">
        <f>H9-F9</f>
        <v>-50.375500000000002</v>
      </c>
      <c r="L9" s="81"/>
      <c r="M9" s="100"/>
      <c r="P9">
        <v>3</v>
      </c>
      <c r="Q9" s="39">
        <v>290</v>
      </c>
      <c r="R9" s="39">
        <v>3.7</v>
      </c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12.950000000000001</v>
      </c>
      <c r="AF9" s="61">
        <f t="shared" si="1"/>
        <v>0</v>
      </c>
      <c r="AG9" s="61">
        <f t="shared" si="2"/>
        <v>3.7</v>
      </c>
      <c r="AH9" s="61">
        <f t="shared" si="3"/>
        <v>2.59</v>
      </c>
      <c r="AI9" s="61">
        <f t="shared" si="4"/>
        <v>1.85</v>
      </c>
      <c r="AJ9" s="61">
        <f t="shared" si="5"/>
        <v>0</v>
      </c>
      <c r="AK9" s="141"/>
      <c r="AL9" s="61">
        <f t="shared" si="6"/>
        <v>14.06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1.40049</v>
      </c>
      <c r="BJ9" s="61">
        <f t="shared" si="10"/>
        <v>1.40049</v>
      </c>
      <c r="BK9" s="61">
        <f t="shared" si="10"/>
        <v>4.906954390434783</v>
      </c>
      <c r="BL9" s="61">
        <f t="shared" si="10"/>
        <v>7.7887664704347825</v>
      </c>
      <c r="BM9" s="61">
        <f t="shared" si="10"/>
        <v>3.3802724869565219</v>
      </c>
      <c r="BN9" s="61">
        <f t="shared" si="10"/>
        <v>3.3816290869565218</v>
      </c>
      <c r="BO9" s="61">
        <f t="shared" si="10"/>
        <v>0</v>
      </c>
      <c r="BP9" s="61">
        <f t="shared" si="10"/>
        <v>0</v>
      </c>
      <c r="BR9" s="61">
        <f t="shared" si="9"/>
        <v>22.25860243478261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5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3.75</v>
      </c>
      <c r="AI10" s="61">
        <f t="shared" si="4"/>
        <v>5.3000000000000007</v>
      </c>
      <c r="AJ10" s="61">
        <f t="shared" si="5"/>
        <v>0</v>
      </c>
      <c r="AK10" s="141"/>
      <c r="AL10" s="61">
        <f t="shared" si="6"/>
        <v>16.350000000000001</v>
      </c>
      <c r="AQ10" s="32"/>
      <c r="AR10" s="70">
        <v>4</v>
      </c>
      <c r="AS10" s="61">
        <f>IF(AS$4=4,AS$5,0)</f>
        <v>0.70843895652173916</v>
      </c>
      <c r="AT10" s="61">
        <f t="shared" ref="AT10:BP10" si="11">IF(AT$4=4,AT$5,0)</f>
        <v>0.70843895652173916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0.70843895652173916</v>
      </c>
      <c r="BP10" s="61">
        <f t="shared" si="11"/>
        <v>0.70843895652173916</v>
      </c>
      <c r="BR10" s="61">
        <f t="shared" si="9"/>
        <v>2.8337558260869566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297</v>
      </c>
      <c r="R11" s="39">
        <v>0</v>
      </c>
      <c r="S11" s="291" t="str">
        <f>VLOOKUP($Q11,[1]MEP!$A$5:$D$300,3)</f>
        <v>PP excellente 2 coupes  très précoces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1</v>
      </c>
      <c r="Y11" s="76">
        <f>VLOOKUP($Q11,[1]MEP!$A$4:$K$300,8)</f>
        <v>0.7</v>
      </c>
      <c r="Z11" s="76">
        <f>VLOOKUP($Q11,[1]MEP!$A$4:$K$300,9)</f>
        <v>1</v>
      </c>
      <c r="AA11" s="76">
        <f>VLOOKUP($Q11,[1]MEP!$A$4:$K$300,10)</f>
        <v>0</v>
      </c>
      <c r="AC11" s="76">
        <f>VLOOKUP($Q11,[1]MEP!$A$4:$K$300,11)</f>
        <v>6.3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0.63988034782608705</v>
      </c>
      <c r="AV11" s="61">
        <f t="shared" si="12"/>
        <v>0.63988034782608705</v>
      </c>
      <c r="AW11" s="61">
        <f t="shared" si="12"/>
        <v>1.994814956521739</v>
      </c>
      <c r="AX11" s="61">
        <f t="shared" si="12"/>
        <v>7.4256721450434791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10.700247797217392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22.5</v>
      </c>
      <c r="P12">
        <v>6</v>
      </c>
      <c r="Q12" s="39">
        <v>298</v>
      </c>
      <c r="R12" s="39">
        <v>6</v>
      </c>
      <c r="S12" s="291" t="str">
        <f>VLOOKUP($Q12,[1]MEP!$A$5:$D$300,3)</f>
        <v>PP excellente 3 COUPES enr</v>
      </c>
      <c r="T12" s="76" t="str">
        <f>VLOOKUP($Q12,[1]MEP!$A$5:$D$300,4)</f>
        <v>zone 1</v>
      </c>
      <c r="U12" s="76" t="str">
        <f>VLOOKUP($Q12,[1]MEP!$A$4:$K$300,2)</f>
        <v>F/P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8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48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9.8000000000000007</v>
      </c>
      <c r="G13" s="81"/>
      <c r="H13" s="61">
        <f>F61</f>
        <v>0</v>
      </c>
      <c r="I13" s="81"/>
      <c r="J13" s="81"/>
      <c r="K13" s="93">
        <f>H13-F13</f>
        <v>-9.8000000000000007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0.70843895652173916</v>
      </c>
      <c r="AT15" s="13">
        <f>'Conduite Trp'!H5</f>
        <v>0.70843895652173916</v>
      </c>
      <c r="AU15" s="13">
        <f>'Conduite Trp'!I5</f>
        <v>0.63988034782608705</v>
      </c>
      <c r="AV15" s="13">
        <f>'Conduite Trp'!J5</f>
        <v>0.63988034782608705</v>
      </c>
      <c r="AW15" s="13">
        <f>'Conduite Trp'!K5</f>
        <v>0</v>
      </c>
      <c r="AX15" s="13">
        <f>'Conduite Trp'!L5</f>
        <v>5.43085718852174</v>
      </c>
      <c r="AY15" s="13">
        <f>'Conduite Trp'!M5</f>
        <v>7.6314436617391337</v>
      </c>
      <c r="AZ15" s="13">
        <f>'Conduite Trp'!N5</f>
        <v>5.3054828765217401</v>
      </c>
      <c r="BA15" s="13">
        <f>'Conduite Trp'!O5</f>
        <v>5.4266094229565223</v>
      </c>
      <c r="BB15" s="13">
        <f>'Conduite Trp'!P5</f>
        <v>4.6202567453913046</v>
      </c>
      <c r="BC15" s="13">
        <f>'Conduite Trp'!Q5</f>
        <v>4.4712162052173925</v>
      </c>
      <c r="BD15" s="13">
        <f>'Conduite Trp'!R5</f>
        <v>0.15561</v>
      </c>
      <c r="BE15" s="13">
        <f>'Conduite Trp'!S5</f>
        <v>0.160797</v>
      </c>
      <c r="BF15" s="13">
        <f>'Conduite Trp'!T5</f>
        <v>0.160797</v>
      </c>
      <c r="BG15" s="13">
        <f>'Conduite Trp'!U5</f>
        <v>0.160797</v>
      </c>
      <c r="BH15" s="13">
        <f>'Conduite Trp'!V5</f>
        <v>0.160797</v>
      </c>
      <c r="BI15" s="13">
        <f>'Conduite Trp'!W5</f>
        <v>0.15561</v>
      </c>
      <c r="BJ15" s="13">
        <f>'Conduite Trp'!X5</f>
        <v>0.15561</v>
      </c>
      <c r="BK15" s="13">
        <f>'Conduite Trp'!Y5</f>
        <v>2.3233176704347831</v>
      </c>
      <c r="BL15" s="13">
        <f>'Conduite Trp'!Z5</f>
        <v>5.7474440739130435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0.70843895652173916</v>
      </c>
      <c r="BP15" s="13">
        <f>'Conduite Trp'!AD5</f>
        <v>0.70843895652173916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1.286376</v>
      </c>
      <c r="AX16" s="13">
        <f>'Conduite Trp'!L6</f>
        <v>1.286376</v>
      </c>
      <c r="AY16" s="13">
        <f>'Conduite Trp'!M6</f>
        <v>1.24488</v>
      </c>
      <c r="AZ16" s="13">
        <f>'Conduite Trp'!N6</f>
        <v>3.5479878000000005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1.24488</v>
      </c>
      <c r="BD16" s="13">
        <f>'Conduite Trp'!R6</f>
        <v>1.24488</v>
      </c>
      <c r="BE16" s="13">
        <f>'Conduite Trp'!S6</f>
        <v>1.286376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1.24488</v>
      </c>
      <c r="BJ16" s="13">
        <f>'Conduite Trp'!X6</f>
        <v>1.24488</v>
      </c>
      <c r="BK16" s="13">
        <f>'Conduite Trp'!Y6</f>
        <v>1.286376</v>
      </c>
      <c r="BL16" s="13">
        <f>'Conduite Trp'!Z6</f>
        <v>0</v>
      </c>
      <c r="BM16" s="13">
        <f>'Conduite Trp'!AA6</f>
        <v>1.3979363999999999</v>
      </c>
      <c r="BN16" s="13">
        <f>'Conduite Trp'!AB6</f>
        <v>1.4252279999999999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1.2972607199999999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7.6314436617391337</v>
      </c>
      <c r="AZ19" s="61">
        <f t="shared" si="15"/>
        <v>5.3054828765217401</v>
      </c>
      <c r="BA19" s="61">
        <f t="shared" si="15"/>
        <v>5.4266094229565223</v>
      </c>
      <c r="BB19" s="61">
        <f t="shared" si="15"/>
        <v>4.6202567453913046</v>
      </c>
      <c r="BC19" s="61">
        <f t="shared" si="15"/>
        <v>4.4712162052173925</v>
      </c>
      <c r="BD19" s="61">
        <f t="shared" si="15"/>
        <v>0.15561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27.610618911826091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0.160797</v>
      </c>
      <c r="BF20" s="61">
        <f t="shared" si="16"/>
        <v>0.160797</v>
      </c>
      <c r="BG20" s="61">
        <f t="shared" si="16"/>
        <v>0.160797</v>
      </c>
      <c r="BH20" s="61">
        <f t="shared" si="16"/>
        <v>0.160797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0.64318799999999998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0.15561</v>
      </c>
      <c r="BJ21" s="61">
        <f t="shared" si="18"/>
        <v>0.15561</v>
      </c>
      <c r="BK21" s="61">
        <f t="shared" si="18"/>
        <v>2.3233176704347831</v>
      </c>
      <c r="BL21" s="61">
        <f t="shared" si="18"/>
        <v>5.7474440739130435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10.949546744347826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0.70843895652173916</v>
      </c>
      <c r="AT22" s="61">
        <f t="shared" ref="AT22:BP22" si="19">IF(AT$4=4,AT$15,0)</f>
        <v>0.70843895652173916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0.70843895652173916</v>
      </c>
      <c r="BP22" s="61">
        <f t="shared" si="19"/>
        <v>0.70843895652173916</v>
      </c>
      <c r="BR22" s="61">
        <f t="shared" si="17"/>
        <v>2.8337558260869566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0.63988034782608705</v>
      </c>
      <c r="AV23" s="61">
        <f t="shared" si="20"/>
        <v>0.63988034782608705</v>
      </c>
      <c r="AW23" s="61">
        <f t="shared" si="20"/>
        <v>0</v>
      </c>
      <c r="AX23" s="61">
        <f t="shared" si="20"/>
        <v>5.43085718852174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6.7106178841739137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44.699999999999996</v>
      </c>
      <c r="E24" s="61">
        <f t="shared" si="21"/>
        <v>9.6749999999999989</v>
      </c>
      <c r="F24" s="61">
        <f t="shared" si="21"/>
        <v>27.48</v>
      </c>
      <c r="G24" s="61">
        <f t="shared" si="21"/>
        <v>13.220999999999998</v>
      </c>
      <c r="H24" s="61">
        <f t="shared" si="21"/>
        <v>19.461000000000002</v>
      </c>
      <c r="I24" s="61">
        <f t="shared" si="21"/>
        <v>0</v>
      </c>
      <c r="J24" s="63"/>
      <c r="K24" s="61">
        <f>AL27+AL49+AL71</f>
        <v>129.565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44.206661342260873</v>
      </c>
      <c r="E25" s="61">
        <f>BR8</f>
        <v>5.7886920000000002</v>
      </c>
      <c r="F25" s="61">
        <f>BR9</f>
        <v>22.25860243478261</v>
      </c>
      <c r="G25" s="61">
        <f>BR10</f>
        <v>2.8337558260869566</v>
      </c>
      <c r="H25" s="61">
        <f>BR11</f>
        <v>10.700247797217392</v>
      </c>
      <c r="I25" s="61">
        <f>BR12</f>
        <v>0</v>
      </c>
      <c r="J25" s="63"/>
      <c r="K25" s="76">
        <f>'Conduite Trp'!C7</f>
        <v>157.79999999999998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0.49333865773912322</v>
      </c>
      <c r="E27" s="93">
        <f t="shared" si="23"/>
        <v>3.8863079999999988</v>
      </c>
      <c r="F27" s="93">
        <f t="shared" si="23"/>
        <v>5.2213975652173907</v>
      </c>
      <c r="G27" s="93">
        <f t="shared" si="23"/>
        <v>10.387244173913041</v>
      </c>
      <c r="H27" s="93">
        <f t="shared" si="23"/>
        <v>8.7607522027826104</v>
      </c>
      <c r="I27" s="93">
        <f t="shared" si="23"/>
        <v>0</v>
      </c>
      <c r="J27" s="63"/>
      <c r="K27" s="93">
        <f>K24-K25</f>
        <v>-28.234999999999985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27.5</v>
      </c>
      <c r="AF27" s="75">
        <f t="shared" ref="AF27:AJ27" si="24">SUM(AF7:AF26)</f>
        <v>3</v>
      </c>
      <c r="AG27" s="75">
        <f t="shared" si="24"/>
        <v>11.625</v>
      </c>
      <c r="AH27" s="75">
        <f t="shared" si="24"/>
        <v>8.7149999999999999</v>
      </c>
      <c r="AI27" s="75">
        <f t="shared" si="24"/>
        <v>10.350000000000001</v>
      </c>
      <c r="AJ27" s="75">
        <f t="shared" si="24"/>
        <v>0</v>
      </c>
      <c r="AK27"/>
      <c r="AL27" s="75">
        <f>SUM(AL7:AL26)</f>
        <v>90.91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1.24488</v>
      </c>
      <c r="AZ27" s="61">
        <f t="shared" si="25"/>
        <v>3.5479878000000005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1.24488</v>
      </c>
      <c r="BD27" s="61">
        <f t="shared" si="25"/>
        <v>1.24488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14.516431300000001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1.286376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5.1455039999999999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2.8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8.3999999999999986</v>
      </c>
      <c r="AF29" s="61">
        <f t="shared" ref="AF29:AF48" si="29">$R29*W29</f>
        <v>5.6</v>
      </c>
      <c r="AG29" s="61">
        <f t="shared" ref="AG29:AG48" si="30">$R29*X29</f>
        <v>4.1999999999999993</v>
      </c>
      <c r="AH29" s="61">
        <f t="shared" ref="AH29:AH48" si="31">$R29*Y29</f>
        <v>1.4</v>
      </c>
      <c r="AI29" s="61">
        <f t="shared" ref="AI29:AI48" si="32">$R29*Z29</f>
        <v>1.4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1.24488</v>
      </c>
      <c r="BJ29" s="61">
        <f t="shared" si="35"/>
        <v>1.24488</v>
      </c>
      <c r="BK29" s="61">
        <f t="shared" si="35"/>
        <v>1.286376</v>
      </c>
      <c r="BL29" s="61">
        <f t="shared" si="35"/>
        <v>0</v>
      </c>
      <c r="BM29" s="61">
        <f t="shared" si="35"/>
        <v>1.3979363999999999</v>
      </c>
      <c r="BN29" s="61">
        <f t="shared" si="35"/>
        <v>1.4252279999999999</v>
      </c>
      <c r="BO29" s="61">
        <f t="shared" si="35"/>
        <v>0</v>
      </c>
      <c r="BP29" s="61">
        <f t="shared" si="35"/>
        <v>0</v>
      </c>
      <c r="BR29" s="61">
        <f t="shared" si="27"/>
        <v>6.5993003999999997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>
        <v>1.5</v>
      </c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2.25</v>
      </c>
      <c r="AF30" s="61">
        <f t="shared" si="29"/>
        <v>0</v>
      </c>
      <c r="AG30" s="61">
        <f t="shared" si="30"/>
        <v>1.125</v>
      </c>
      <c r="AH30" s="61">
        <f t="shared" si="31"/>
        <v>1.125</v>
      </c>
      <c r="AI30" s="61">
        <f t="shared" si="32"/>
        <v>1.59</v>
      </c>
      <c r="AJ30" s="61">
        <f t="shared" si="33"/>
        <v>0</v>
      </c>
      <c r="AK30"/>
      <c r="AL30" s="61">
        <f t="shared" si="34"/>
        <v>4.9050000000000002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1.286376</v>
      </c>
      <c r="AX31" s="61">
        <f t="shared" si="37"/>
        <v>1.286376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2.5727519999999999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1.2972607199999999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4.7097552904347824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15.049999999999999</v>
      </c>
      <c r="AF49" s="75">
        <f t="shared" ref="AF49" si="50">SUM(AF29:AF48)</f>
        <v>5.6</v>
      </c>
      <c r="AG49" s="75">
        <f t="shared" ref="AG49" si="51">SUM(AG29:AG48)</f>
        <v>9.4649999999999999</v>
      </c>
      <c r="AH49" s="75">
        <f t="shared" ref="AH49" si="52">SUM(AH29:AH48)</f>
        <v>3.5599999999999996</v>
      </c>
      <c r="AI49" s="75">
        <f t="shared" ref="AI49" si="53">SUM(AI29:AI48)</f>
        <v>8.1649999999999991</v>
      </c>
      <c r="AJ49" s="75">
        <f t="shared" ref="AJ49" si="54">SUM(AJ29:AJ48)</f>
        <v>0</v>
      </c>
      <c r="AK49"/>
      <c r="AL49" s="75">
        <f>SUM(AL29:AL48)</f>
        <v>38.655000000000001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27.5</v>
      </c>
      <c r="E72" s="61">
        <f t="shared" ref="E72:H72" si="69">AF27</f>
        <v>3</v>
      </c>
      <c r="F72" s="61">
        <f t="shared" si="69"/>
        <v>11.625</v>
      </c>
      <c r="G72" s="61">
        <f t="shared" si="69"/>
        <v>8.7149999999999999</v>
      </c>
      <c r="H72" s="61">
        <f t="shared" si="69"/>
        <v>10.350000000000001</v>
      </c>
      <c r="I72" s="61">
        <f t="shared" ref="I72" si="70">AJ75+AJ97+AJ119</f>
        <v>0</v>
      </c>
      <c r="J72" s="63"/>
      <c r="K72" s="61">
        <f>+K24</f>
        <v>129.565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27.610618911826091</v>
      </c>
      <c r="E73" s="61">
        <f>BR20</f>
        <v>0.64318799999999998</v>
      </c>
      <c r="F73" s="61">
        <f>BR21</f>
        <v>10.949546744347826</v>
      </c>
      <c r="G73" s="61">
        <f>BR22</f>
        <v>2.8337558260869566</v>
      </c>
      <c r="H73" s="61">
        <f>BR23</f>
        <v>6.7106178841739137</v>
      </c>
      <c r="I73" s="61">
        <f>BR60</f>
        <v>0</v>
      </c>
      <c r="J73" s="63"/>
      <c r="K73" s="76">
        <f>+K25</f>
        <v>157.79999999999998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-0.11061891182609074</v>
      </c>
      <c r="E75" s="93">
        <f t="shared" ref="E75:I75" si="71">E72-E73</f>
        <v>2.3568120000000001</v>
      </c>
      <c r="F75" s="93">
        <f t="shared" si="71"/>
        <v>0.67545325565217418</v>
      </c>
      <c r="G75" s="93">
        <f t="shared" si="71"/>
        <v>5.8812441739130428</v>
      </c>
      <c r="H75" s="93">
        <f t="shared" si="71"/>
        <v>3.6393821158260877</v>
      </c>
      <c r="I75" s="93">
        <f t="shared" si="71"/>
        <v>0</v>
      </c>
      <c r="J75" s="63"/>
      <c r="K75" s="93">
        <f>+K27</f>
        <v>-28.234999999999985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15.049999999999999</v>
      </c>
      <c r="E82" s="61">
        <f t="shared" ref="E82:H82" si="72">AF49</f>
        <v>5.6</v>
      </c>
      <c r="F82" s="61">
        <f t="shared" si="72"/>
        <v>9.4649999999999999</v>
      </c>
      <c r="G82" s="61">
        <f t="shared" si="72"/>
        <v>3.5599999999999996</v>
      </c>
      <c r="H82" s="61">
        <f t="shared" si="72"/>
        <v>8.1649999999999991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14.516431300000001</v>
      </c>
      <c r="E83" s="61">
        <f>BR28</f>
        <v>5.1455039999999999</v>
      </c>
      <c r="F83" s="61">
        <f>BR29</f>
        <v>6.5993003999999997</v>
      </c>
      <c r="G83" s="61">
        <f>BR30</f>
        <v>0</v>
      </c>
      <c r="H83" s="61">
        <f>BR31</f>
        <v>2.5727519999999999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0.53356869999999823</v>
      </c>
      <c r="E85" s="93">
        <f t="shared" ref="E85:H85" si="73">E82-E83</f>
        <v>0.45449599999999979</v>
      </c>
      <c r="F85" s="93">
        <f t="shared" si="73"/>
        <v>2.8656996000000001</v>
      </c>
      <c r="G85" s="93">
        <f t="shared" si="73"/>
        <v>3.5599999999999996</v>
      </c>
      <c r="H85" s="93">
        <f t="shared" si="73"/>
        <v>5.5922479999999997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4.7097552904347824</v>
      </c>
      <c r="G93" s="61">
        <f>BR38</f>
        <v>0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1.6802447095652173</v>
      </c>
      <c r="G95" s="93">
        <f t="shared" si="75"/>
        <v>0.94599999999999995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22" sqref="B22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7" sqref="O16:Q17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2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</v>
      </c>
      <c r="L2" s="8">
        <f t="shared" ref="L2:L33" si="0">IF(J2=$Y$6,K2*$AA$6,IF(J2=$Y$7,K2*$AA$7,IF(J2=$Y$8,K2*$AA$8,"")))</f>
        <v>0</v>
      </c>
      <c r="M2" s="10">
        <f>IF(I2=$Y$11,SQRT(L2*10000),SQRT(Parcellaire!L2*10000)/$AC$12)</f>
        <v>0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0</v>
      </c>
      <c r="U2" s="10">
        <f t="shared" ref="U2:U39" si="5">IF(C2=2,Q2*M2,0)</f>
        <v>0</v>
      </c>
      <c r="V2" s="27">
        <f t="shared" ref="V2:V39" si="6">O2*M2</f>
        <v>0</v>
      </c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</v>
      </c>
      <c r="L3" s="8">
        <f t="shared" ref="L3:L24" si="8">IF(J3=$Y$6,K3*$AA$6,IF(J3=$Y$7,K3*$AA$7,IF(J3=$Y$8,K3*$AA$8,"")))</f>
        <v>0</v>
      </c>
      <c r="M3" s="10">
        <f>IF(I3=$Y$11,SQRT(L3*10000),SQRT(Parcellaire!L3*10000)/$AC$12)</f>
        <v>0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0</v>
      </c>
      <c r="L6" s="8">
        <f t="shared" si="8"/>
        <v>0</v>
      </c>
      <c r="M6" s="10">
        <f>IF(I6=$Y$11,SQRT(L6*10000),SQRT(Parcellaire!L6*10000)/$AC$12)</f>
        <v>0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2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0</v>
      </c>
      <c r="L7" s="8">
        <f t="shared" si="8"/>
        <v>0</v>
      </c>
      <c r="M7" s="10">
        <f>IF(I7=$Y$11,SQRT(L7*10000),SQRT(Parcellaire!L7*10000)/$AC$12)</f>
        <v>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0</v>
      </c>
      <c r="U7" s="10">
        <f t="shared" si="5"/>
        <v>0</v>
      </c>
      <c r="V7" s="27">
        <f t="shared" si="6"/>
        <v>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5457.8290163783731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f t="shared" ref="Q20:Q65" si="15">O20-P20</f>
        <v>6</v>
      </c>
      <c r="R20" s="10">
        <f t="shared" si="2"/>
        <v>0</v>
      </c>
      <c r="S20" s="10">
        <f t="shared" si="3"/>
        <v>0</v>
      </c>
      <c r="T20" s="10">
        <f t="shared" si="4"/>
        <v>505.39093778974706</v>
      </c>
      <c r="U20" s="10">
        <f t="shared" si="5"/>
        <v>1010.7818755794941</v>
      </c>
      <c r="V20" s="27">
        <f t="shared" si="6"/>
        <v>1010.7818755794941</v>
      </c>
      <c r="W20" s="3"/>
      <c r="X20" s="3"/>
      <c r="Z20" s="20"/>
      <c r="AA20" s="136">
        <f>AA18+AA19</f>
        <v>5457.8290163783731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f t="shared" si="15"/>
        <v>6</v>
      </c>
      <c r="R21" s="10">
        <f t="shared" si="2"/>
        <v>0</v>
      </c>
      <c r="S21" s="10">
        <f t="shared" si="3"/>
        <v>0</v>
      </c>
      <c r="T21" s="10">
        <f t="shared" si="4"/>
        <v>635.54700848953735</v>
      </c>
      <c r="U21" s="10">
        <f t="shared" si="5"/>
        <v>1271.0940169790747</v>
      </c>
      <c r="V21" s="27">
        <f t="shared" si="6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2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0</v>
      </c>
      <c r="L22" s="8">
        <f t="shared" si="8"/>
        <v>0</v>
      </c>
      <c r="M22" s="10">
        <f>IF(I22=$Y$11,SQRT(L22*10000),SQRT(Parcellaire!L22*10000)/$AC$12)</f>
        <v>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0</v>
      </c>
      <c r="U22" s="10">
        <f t="shared" si="5"/>
        <v>0</v>
      </c>
      <c r="V22" s="27">
        <f t="shared" si="6"/>
        <v>0</v>
      </c>
      <c r="W22" s="3"/>
      <c r="X22" s="3"/>
    </row>
    <row r="23" spans="1:28" ht="15" customHeight="1" x14ac:dyDescent="0.25">
      <c r="A23" s="8">
        <v>22</v>
      </c>
      <c r="B23" s="9">
        <v>2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0</v>
      </c>
      <c r="L23" s="8">
        <f t="shared" si="8"/>
        <v>0</v>
      </c>
      <c r="M23" s="10">
        <f>IF(I23=$Y$11,SQRT(L23*10000),SQRT(Parcellaire!L23*10000)/$AC$12)</f>
        <v>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0</v>
      </c>
      <c r="U23" s="10">
        <f t="shared" si="5"/>
        <v>0</v>
      </c>
      <c r="V23" s="27">
        <f t="shared" si="6"/>
        <v>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si="15"/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29.8</v>
      </c>
      <c r="H66" s="170"/>
      <c r="I66" s="170">
        <f>SUMIF(Parcellaire!$B$2:$B$65,1,Parcellaire!I2:I65)</f>
        <v>34</v>
      </c>
      <c r="J66" s="170">
        <f>SUMIF(Parcellaire!$B$2:$B$65,1,Parcellaire!J2:J65)</f>
        <v>8</v>
      </c>
      <c r="K66" s="170">
        <f>SUMIF(Parcellaire!$B$2:$B$65,1,Parcellaire!K2:K65)</f>
        <v>32.010000000000005</v>
      </c>
      <c r="L66" s="170">
        <f>SUMIF(Parcellaire!$B$2:$B$65,1,Parcellaire!L2:L65)</f>
        <v>36.132000000000005</v>
      </c>
      <c r="M66" s="170">
        <f>SUMIF(Parcellaire!$B$2:$B$65,1,Parcellaire!M2:M65)</f>
        <v>1339.6217754484478</v>
      </c>
      <c r="N66" s="170">
        <f>SUMIF(Parcellaire!$B$2:$B$65,1,Parcellaire!N2:N65)</f>
        <v>78</v>
      </c>
      <c r="O66" s="170">
        <f>SUMIF(Parcellaire!$B$2:$B$65,1,Parcellaire!O2:O65)</f>
        <v>66</v>
      </c>
      <c r="P66" s="170">
        <f>SUMIF(Parcellaire!$B$2:$B$65,1,Parcellaire!P2:P65)</f>
        <v>0</v>
      </c>
      <c r="Q66" s="170">
        <f>SUMIF(Parcellaire!$B$2:$B$65,1,Parcellaire!Q2:Q65)</f>
        <v>39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5457.8290163783731</v>
      </c>
      <c r="U66" s="170">
        <f>SUMIF(Parcellaire!$B$2:$B$65,1,Parcellaire!U2:U65)</f>
        <v>5159.8032726246274</v>
      </c>
      <c r="V66" s="170">
        <f>SUMIF(Parcellaire!$B$2:$B$65,1,Parcellaire!V2:V65)</f>
        <v>8037.7306526906868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75" zoomScale="80" zoomScaleNormal="80" workbookViewId="0">
      <selection activeCell="K88" sqref="K8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23.7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13.5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6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22.5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2.37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28.5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5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>
        <v>4</v>
      </c>
      <c r="P61" t="s">
        <v>583</v>
      </c>
    </row>
    <row r="62" spans="10:16" x14ac:dyDescent="0.25">
      <c r="J62" s="14" t="s">
        <v>584</v>
      </c>
      <c r="K62" s="80">
        <v>12</v>
      </c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48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48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13">
        <v>1</v>
      </c>
      <c r="V76" s="13" t="s">
        <v>598</v>
      </c>
    </row>
    <row r="77" spans="10:22" x14ac:dyDescent="0.25">
      <c r="J77" s="14" t="s">
        <v>599</v>
      </c>
      <c r="K77" s="80"/>
      <c r="R77">
        <v>2</v>
      </c>
      <c r="U77" s="13">
        <v>2</v>
      </c>
      <c r="V77" s="13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2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634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634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1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1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2.5</v>
      </c>
      <c r="T165" s="173">
        <f>VLOOKUP(R165,[1]MEP!$A$4:$M$300,13)</f>
        <v>2</v>
      </c>
      <c r="U165" s="173">
        <f t="shared" ref="U165:U207" si="10">IF($T165&gt;0,$S165,0)</f>
        <v>2.5</v>
      </c>
      <c r="V165" s="173">
        <f t="shared" ref="V165:V207" si="11">IF($T165&gt;1,$S165,0)</f>
        <v>2.5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2.5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2.5</v>
      </c>
      <c r="AL165" s="5"/>
      <c r="AN165" s="32" t="s">
        <v>659</v>
      </c>
      <c r="AO165" s="173">
        <f>SUM(AD164:AD183)</f>
        <v>18.2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3.7</v>
      </c>
      <c r="T166" s="173">
        <f>VLOOKUP(R166,[1]MEP!$A$4:$M$300,13)</f>
        <v>1</v>
      </c>
      <c r="U166" s="173">
        <f t="shared" si="10"/>
        <v>3.7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3.7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3.7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10"/>
        <v>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297</v>
      </c>
      <c r="S168" s="173">
        <f>Alim_Surf!R11</f>
        <v>0</v>
      </c>
      <c r="T168" s="173">
        <f>VLOOKUP(R168,[1]MEP!$A$4:$M$300,13)</f>
        <v>2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298</v>
      </c>
      <c r="S169" s="173">
        <f>Alim_Surf!R12</f>
        <v>6</v>
      </c>
      <c r="T169" s="173">
        <f>VLOOKUP(R169,[1]MEP!$A$4:$M$300,13)</f>
        <v>3</v>
      </c>
      <c r="U169" s="173">
        <f t="shared" si="10"/>
        <v>6</v>
      </c>
      <c r="V169" s="173">
        <f t="shared" si="11"/>
        <v>6</v>
      </c>
      <c r="W169" s="173">
        <f t="shared" si="12"/>
        <v>6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6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6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2.8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2.8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10"/>
        <v>1.5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1.5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1.5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27.5</v>
      </c>
      <c r="U228" s="62">
        <f>SUM(U164:U227)</f>
        <v>23.7</v>
      </c>
      <c r="V228" s="62">
        <f t="shared" ref="V228:W228" si="22">SUM(V164:V227)</f>
        <v>13.5</v>
      </c>
      <c r="W228" s="62">
        <f t="shared" si="22"/>
        <v>6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22.5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3.8</v>
      </c>
      <c r="AI228" s="62">
        <f t="shared" si="24"/>
        <v>10.199999999999999</v>
      </c>
      <c r="AJ228" s="62">
        <f t="shared" si="24"/>
        <v>8.5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V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1</v>
      </c>
      <c r="D3" s="177">
        <f t="shared" si="0"/>
        <v>1</v>
      </c>
      <c r="E3" s="177">
        <f t="shared" si="0"/>
        <v>1</v>
      </c>
      <c r="F3" s="177">
        <f t="shared" si="0"/>
        <v>2</v>
      </c>
      <c r="G3" s="177">
        <f t="shared" si="0"/>
        <v>1</v>
      </c>
      <c r="H3" s="177">
        <f t="shared" si="0"/>
        <v>1</v>
      </c>
      <c r="I3" s="177">
        <f t="shared" si="0"/>
        <v>1</v>
      </c>
      <c r="J3" s="177">
        <f t="shared" si="0"/>
        <v>1</v>
      </c>
      <c r="K3" s="177">
        <f t="shared" si="0"/>
        <v>1</v>
      </c>
      <c r="L3" s="177">
        <f t="shared" si="0"/>
        <v>1</v>
      </c>
      <c r="M3" s="177">
        <f t="shared" si="0"/>
        <v>1</v>
      </c>
      <c r="N3" s="177">
        <f t="shared" si="0"/>
        <v>0</v>
      </c>
      <c r="O3" s="177">
        <f t="shared" si="0"/>
        <v>0</v>
      </c>
      <c r="P3" s="177">
        <f t="shared" si="0"/>
        <v>0</v>
      </c>
      <c r="Q3" s="177">
        <f t="shared" si="0"/>
        <v>0</v>
      </c>
      <c r="R3" s="177">
        <f t="shared" si="0"/>
        <v>0</v>
      </c>
      <c r="S3" s="177">
        <f t="shared" si="0"/>
        <v>0</v>
      </c>
      <c r="T3" s="177">
        <f t="shared" si="0"/>
        <v>0</v>
      </c>
      <c r="U3" s="177">
        <f t="shared" si="0"/>
        <v>1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1</v>
      </c>
      <c r="Z3" s="177">
        <f t="shared" si="0"/>
        <v>1</v>
      </c>
      <c r="AB3" s="32"/>
      <c r="AC3" s="5"/>
      <c r="AD3" s="276"/>
      <c r="AE3" s="276"/>
      <c r="AF3" s="276"/>
      <c r="AO3" s="14" t="s">
        <v>681</v>
      </c>
      <c r="AP3" s="30">
        <f>BG31</f>
        <v>1141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0</v>
      </c>
      <c r="D4" s="177">
        <f t="shared" ref="D4:Z4" si="1">COUNTIF(D81:D90,2)</f>
        <v>0</v>
      </c>
      <c r="E4" s="177">
        <f t="shared" si="1"/>
        <v>0</v>
      </c>
      <c r="F4" s="177">
        <f t="shared" si="1"/>
        <v>0</v>
      </c>
      <c r="G4" s="177">
        <f t="shared" si="1"/>
        <v>0</v>
      </c>
      <c r="H4" s="177">
        <f t="shared" si="1"/>
        <v>0</v>
      </c>
      <c r="I4" s="177">
        <f t="shared" si="1"/>
        <v>0</v>
      </c>
      <c r="J4" s="177">
        <f t="shared" si="1"/>
        <v>0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0</v>
      </c>
      <c r="W4" s="177">
        <f t="shared" si="1"/>
        <v>0</v>
      </c>
      <c r="X4" s="177">
        <f t="shared" si="1"/>
        <v>0</v>
      </c>
      <c r="Y4" s="177">
        <f t="shared" si="1"/>
        <v>0</v>
      </c>
      <c r="Z4" s="177">
        <f t="shared" si="1"/>
        <v>0</v>
      </c>
      <c r="AB4" s="32"/>
      <c r="AC4" s="5"/>
      <c r="AD4" s="276"/>
      <c r="AE4" s="276"/>
      <c r="AF4" s="276"/>
      <c r="AO4" s="14" t="s">
        <v>683</v>
      </c>
      <c r="AP4" s="30">
        <f>SUM(BG31:BI31)</f>
        <v>5458</v>
      </c>
      <c r="AQ4">
        <f>SUM(BJ31:BL31)</f>
        <v>29.799999999999997</v>
      </c>
      <c r="AV4" s="30">
        <f>Parcellaire!A2</f>
        <v>1</v>
      </c>
      <c r="AW4" s="30">
        <f>Parcellaire!B2</f>
        <v>2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0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5</v>
      </c>
      <c r="AO5" s="14" t="s">
        <v>685</v>
      </c>
      <c r="AP5" s="30">
        <f>BI31</f>
        <v>0</v>
      </c>
      <c r="AV5" s="30">
        <f>Parcellaire!A3</f>
        <v>2</v>
      </c>
      <c r="AW5" s="30">
        <f>Parcellaire!B3</f>
        <v>2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0</v>
      </c>
      <c r="BJ5" s="173">
        <f t="shared" si="6"/>
        <v>0</v>
      </c>
      <c r="BK5" s="173">
        <f t="shared" si="7"/>
        <v>0</v>
      </c>
      <c r="BL5" s="173">
        <f t="shared" si="8"/>
        <v>0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3792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2</v>
      </c>
      <c r="D8" s="177">
        <f>(D3+D4)*[1]Protect!$B$12</f>
        <v>2</v>
      </c>
      <c r="E8" s="177">
        <f>(E3+E4)*[1]Protect!$B$12</f>
        <v>2</v>
      </c>
      <c r="F8" s="177">
        <f>(F3+F4)*[1]Protect!$B$12</f>
        <v>4</v>
      </c>
      <c r="G8" s="177">
        <f>(G3+G4)*[1]Protect!$B$12</f>
        <v>2</v>
      </c>
      <c r="H8" s="177">
        <f>(H3+H4)*[1]Protect!$B$12</f>
        <v>2</v>
      </c>
      <c r="I8" s="177">
        <f>(I3+I4)*[1]Protect!$B$12</f>
        <v>2</v>
      </c>
      <c r="J8" s="177">
        <f>(J3+J4)*[1]Protect!$B$12</f>
        <v>2</v>
      </c>
      <c r="K8" s="177">
        <f>(K3+K4)*[1]Protect!$B$12</f>
        <v>2</v>
      </c>
      <c r="L8" s="177">
        <f>(L3+L4)*[1]Protect!$B$12</f>
        <v>2</v>
      </c>
      <c r="M8" s="177">
        <f>(M3+M4)*[1]Protect!$B$12</f>
        <v>2</v>
      </c>
      <c r="N8" s="177">
        <f>(N3+N4)*[1]Protect!$B$12</f>
        <v>0</v>
      </c>
      <c r="O8" s="177">
        <f>(O3+O4)*[1]Protect!$B$12</f>
        <v>0</v>
      </c>
      <c r="P8" s="177">
        <f>(P3+P4)*[1]Protect!$B$12</f>
        <v>0</v>
      </c>
      <c r="Q8" s="177">
        <f>(Q3+Q4)*[1]Protect!$B$12</f>
        <v>0</v>
      </c>
      <c r="R8" s="177">
        <f>(R3+R4)*[1]Protect!$B$12</f>
        <v>0</v>
      </c>
      <c r="S8" s="177">
        <f>(S3+S4)*[1]Protect!$B$12</f>
        <v>0</v>
      </c>
      <c r="T8" s="177">
        <f>(T3+T4)*[1]Protect!$B$12</f>
        <v>0</v>
      </c>
      <c r="U8" s="177">
        <f>(U3+U4)*[1]Protect!$B$12</f>
        <v>2</v>
      </c>
      <c r="V8" s="177">
        <f>(V3+V4)*[1]Protect!$B$12</f>
        <v>2</v>
      </c>
      <c r="W8" s="177">
        <f>(W3+W4)*[1]Protect!$B$12</f>
        <v>0</v>
      </c>
      <c r="X8" s="177">
        <f>(X3+X4)*[1]Protect!$B$12</f>
        <v>0</v>
      </c>
      <c r="Y8" s="177">
        <f>(Y3+Y4)*[1]Protect!$B$12</f>
        <v>2</v>
      </c>
      <c r="Z8" s="177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5</v>
      </c>
      <c r="AO8" s="14"/>
      <c r="AV8" s="30">
        <f>Parcellaire!A6</f>
        <v>5</v>
      </c>
      <c r="AW8" s="30">
        <f>Parcellaire!B6</f>
        <v>2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3">
        <f t="shared" si="11"/>
        <v>0</v>
      </c>
      <c r="BH8" s="173">
        <f t="shared" si="4"/>
        <v>0</v>
      </c>
      <c r="BI8" s="173">
        <f t="shared" si="5"/>
        <v>0</v>
      </c>
      <c r="BJ8" s="173">
        <f t="shared" si="6"/>
        <v>0</v>
      </c>
      <c r="BK8" s="173">
        <f t="shared" si="7"/>
        <v>0</v>
      </c>
      <c r="BL8" s="173">
        <f t="shared" si="8"/>
        <v>0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2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0</v>
      </c>
      <c r="BC9" s="30">
        <f>ROUND(Parcellaire!U7,0)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10"/>
        <v>AU</v>
      </c>
      <c r="BG9" s="173">
        <f t="shared" si="11"/>
        <v>0</v>
      </c>
      <c r="BH9" s="173">
        <f t="shared" si="4"/>
        <v>0</v>
      </c>
      <c r="BI9" s="173">
        <f t="shared" si="5"/>
        <v>0</v>
      </c>
      <c r="BJ9" s="173">
        <f t="shared" si="6"/>
        <v>0</v>
      </c>
      <c r="BK9" s="173">
        <f t="shared" si="7"/>
        <v>0</v>
      </c>
      <c r="BL9" s="173">
        <f t="shared" si="8"/>
        <v>0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2</v>
      </c>
      <c r="D11" s="177">
        <f t="shared" ref="D11:Z11" si="14">SUM(D8:D10)</f>
        <v>2</v>
      </c>
      <c r="E11" s="177">
        <f t="shared" si="14"/>
        <v>2</v>
      </c>
      <c r="F11" s="177">
        <f t="shared" si="14"/>
        <v>4</v>
      </c>
      <c r="G11" s="177">
        <f t="shared" si="14"/>
        <v>5</v>
      </c>
      <c r="H11" s="177">
        <f t="shared" si="14"/>
        <v>5</v>
      </c>
      <c r="I11" s="177">
        <f t="shared" si="14"/>
        <v>5</v>
      </c>
      <c r="J11" s="177">
        <f t="shared" si="14"/>
        <v>5</v>
      </c>
      <c r="K11" s="177">
        <f t="shared" si="14"/>
        <v>5</v>
      </c>
      <c r="L11" s="177">
        <f t="shared" si="14"/>
        <v>2</v>
      </c>
      <c r="M11" s="177">
        <f t="shared" si="14"/>
        <v>2</v>
      </c>
      <c r="N11" s="177">
        <f t="shared" si="14"/>
        <v>0</v>
      </c>
      <c r="O11" s="177">
        <f t="shared" si="14"/>
        <v>0</v>
      </c>
      <c r="P11" s="177">
        <f t="shared" si="14"/>
        <v>0</v>
      </c>
      <c r="Q11" s="177">
        <f t="shared" si="14"/>
        <v>0</v>
      </c>
      <c r="R11" s="177">
        <f t="shared" si="14"/>
        <v>0</v>
      </c>
      <c r="S11" s="177">
        <f t="shared" si="14"/>
        <v>0</v>
      </c>
      <c r="T11" s="177">
        <f t="shared" si="14"/>
        <v>0</v>
      </c>
      <c r="U11" s="177">
        <f t="shared" si="14"/>
        <v>2</v>
      </c>
      <c r="V11" s="177">
        <f t="shared" si="14"/>
        <v>5</v>
      </c>
      <c r="W11" s="177">
        <f t="shared" si="14"/>
        <v>3</v>
      </c>
      <c r="X11" s="177">
        <f t="shared" si="14"/>
        <v>3</v>
      </c>
      <c r="Y11" s="177">
        <f t="shared" si="14"/>
        <v>2</v>
      </c>
      <c r="Z11" s="177">
        <f t="shared" si="14"/>
        <v>2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2</v>
      </c>
      <c r="D13" s="177">
        <f t="shared" ref="D13:Z13" si="15">D11+D12</f>
        <v>2</v>
      </c>
      <c r="E13" s="177">
        <f t="shared" si="15"/>
        <v>2</v>
      </c>
      <c r="F13" s="177">
        <f t="shared" si="15"/>
        <v>4</v>
      </c>
      <c r="G13" s="177">
        <f t="shared" si="15"/>
        <v>5</v>
      </c>
      <c r="H13" s="177">
        <f t="shared" si="15"/>
        <v>5</v>
      </c>
      <c r="I13" s="177">
        <f t="shared" si="15"/>
        <v>5</v>
      </c>
      <c r="J13" s="177">
        <f t="shared" si="15"/>
        <v>5</v>
      </c>
      <c r="K13" s="177">
        <f t="shared" si="15"/>
        <v>5</v>
      </c>
      <c r="L13" s="177">
        <f t="shared" si="15"/>
        <v>2</v>
      </c>
      <c r="M13" s="177">
        <f t="shared" si="15"/>
        <v>2</v>
      </c>
      <c r="N13" s="177">
        <f t="shared" si="15"/>
        <v>4</v>
      </c>
      <c r="O13" s="177">
        <f t="shared" si="15"/>
        <v>4</v>
      </c>
      <c r="P13" s="177">
        <f t="shared" si="15"/>
        <v>4</v>
      </c>
      <c r="Q13" s="177">
        <f t="shared" si="15"/>
        <v>4</v>
      </c>
      <c r="R13" s="177">
        <f t="shared" si="15"/>
        <v>4</v>
      </c>
      <c r="S13" s="177">
        <f t="shared" si="15"/>
        <v>4</v>
      </c>
      <c r="T13" s="177">
        <f t="shared" si="15"/>
        <v>4</v>
      </c>
      <c r="U13" s="177">
        <f t="shared" si="15"/>
        <v>2</v>
      </c>
      <c r="V13" s="177">
        <f t="shared" si="15"/>
        <v>5</v>
      </c>
      <c r="W13" s="177">
        <f t="shared" si="15"/>
        <v>3</v>
      </c>
      <c r="X13" s="177">
        <f t="shared" si="15"/>
        <v>3</v>
      </c>
      <c r="Y13" s="177">
        <f t="shared" si="15"/>
        <v>2</v>
      </c>
      <c r="Z13" s="177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1</v>
      </c>
      <c r="D15" s="173">
        <f t="shared" si="16"/>
        <v>1</v>
      </c>
      <c r="E15" s="173">
        <f t="shared" si="16"/>
        <v>1</v>
      </c>
      <c r="F15" s="173">
        <f t="shared" si="16"/>
        <v>1</v>
      </c>
      <c r="G15" s="173">
        <f t="shared" si="16"/>
        <v>1</v>
      </c>
      <c r="H15" s="173">
        <f t="shared" si="16"/>
        <v>1</v>
      </c>
      <c r="I15" s="173">
        <f t="shared" si="16"/>
        <v>1</v>
      </c>
      <c r="J15" s="173">
        <f t="shared" si="16"/>
        <v>1</v>
      </c>
      <c r="K15" s="173">
        <f t="shared" si="16"/>
        <v>1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1</v>
      </c>
      <c r="W15" s="173">
        <f t="shared" si="16"/>
        <v>1</v>
      </c>
      <c r="X15" s="173">
        <f t="shared" si="16"/>
        <v>1</v>
      </c>
      <c r="Y15" s="173">
        <f t="shared" si="16"/>
        <v>1</v>
      </c>
      <c r="Z15" s="173">
        <f t="shared" si="16"/>
        <v>1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3</v>
      </c>
      <c r="D16" s="173">
        <f t="shared" si="17"/>
        <v>3</v>
      </c>
      <c r="E16" s="173">
        <f t="shared" si="17"/>
        <v>3</v>
      </c>
      <c r="F16" s="173">
        <f t="shared" si="17"/>
        <v>2</v>
      </c>
      <c r="G16" s="173">
        <f t="shared" si="17"/>
        <v>2</v>
      </c>
      <c r="H16" s="173">
        <f t="shared" si="17"/>
        <v>2</v>
      </c>
      <c r="I16" s="173">
        <f t="shared" si="17"/>
        <v>2</v>
      </c>
      <c r="J16" s="173">
        <f t="shared" si="17"/>
        <v>2</v>
      </c>
      <c r="K16" s="173">
        <f t="shared" si="17"/>
        <v>2</v>
      </c>
      <c r="L16" s="173">
        <f t="shared" si="17"/>
        <v>1</v>
      </c>
      <c r="M16" s="173">
        <f t="shared" si="17"/>
        <v>1</v>
      </c>
      <c r="N16" s="173">
        <f t="shared" si="17"/>
        <v>1</v>
      </c>
      <c r="O16" s="173">
        <f t="shared" si="17"/>
        <v>1</v>
      </c>
      <c r="P16" s="173">
        <f t="shared" si="17"/>
        <v>1</v>
      </c>
      <c r="Q16" s="173">
        <f t="shared" si="17"/>
        <v>1</v>
      </c>
      <c r="R16" s="173">
        <f t="shared" si="17"/>
        <v>1</v>
      </c>
      <c r="S16" s="173">
        <f t="shared" si="17"/>
        <v>1</v>
      </c>
      <c r="T16" s="173">
        <f t="shared" si="17"/>
        <v>1</v>
      </c>
      <c r="U16" s="173">
        <f t="shared" si="17"/>
        <v>1</v>
      </c>
      <c r="V16" s="173">
        <f t="shared" si="17"/>
        <v>1</v>
      </c>
      <c r="W16" s="173">
        <f t="shared" si="17"/>
        <v>2</v>
      </c>
      <c r="X16" s="173">
        <f t="shared" si="17"/>
        <v>3</v>
      </c>
      <c r="Y16" s="173">
        <f t="shared" si="17"/>
        <v>3</v>
      </c>
      <c r="Z16" s="173">
        <f t="shared" si="17"/>
        <v>3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0</v>
      </c>
      <c r="D17" s="173">
        <f t="shared" si="18"/>
        <v>0</v>
      </c>
      <c r="E17" s="173">
        <f t="shared" si="18"/>
        <v>0</v>
      </c>
      <c r="F17" s="173">
        <f t="shared" si="18"/>
        <v>1</v>
      </c>
      <c r="G17" s="173">
        <f t="shared" si="18"/>
        <v>1</v>
      </c>
      <c r="H17" s="173">
        <f t="shared" si="18"/>
        <v>1</v>
      </c>
      <c r="I17" s="173">
        <f t="shared" si="18"/>
        <v>1</v>
      </c>
      <c r="J17" s="173">
        <f t="shared" si="18"/>
        <v>1</v>
      </c>
      <c r="K17" s="173">
        <f t="shared" si="18"/>
        <v>1</v>
      </c>
      <c r="L17" s="173">
        <f t="shared" si="18"/>
        <v>1</v>
      </c>
      <c r="M17" s="173">
        <f t="shared" si="18"/>
        <v>1</v>
      </c>
      <c r="N17" s="173">
        <f t="shared" si="18"/>
        <v>0</v>
      </c>
      <c r="O17" s="173">
        <f t="shared" si="18"/>
        <v>0</v>
      </c>
      <c r="P17" s="173">
        <f t="shared" si="18"/>
        <v>0</v>
      </c>
      <c r="Q17" s="173">
        <f t="shared" si="18"/>
        <v>0</v>
      </c>
      <c r="R17" s="173">
        <f t="shared" si="18"/>
        <v>0</v>
      </c>
      <c r="S17" s="173">
        <f t="shared" si="18"/>
        <v>0</v>
      </c>
      <c r="T17" s="173">
        <f t="shared" si="18"/>
        <v>0</v>
      </c>
      <c r="U17" s="173">
        <f t="shared" si="18"/>
        <v>1</v>
      </c>
      <c r="V17" s="173">
        <f t="shared" si="18"/>
        <v>1</v>
      </c>
      <c r="W17" s="173">
        <f t="shared" si="18"/>
        <v>0</v>
      </c>
      <c r="X17" s="173">
        <f t="shared" si="18"/>
        <v>0</v>
      </c>
      <c r="Y17" s="173">
        <f t="shared" si="18"/>
        <v>0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2</v>
      </c>
      <c r="D18" s="62">
        <f t="shared" ref="D18:Z18" si="19">IF(AND(D15=0,(D16+D17)&gt;0),1,IF(AND(D15&gt;0,(D16+D17)&gt;0),D15+1,D15))</f>
        <v>2</v>
      </c>
      <c r="E18" s="62">
        <f t="shared" si="19"/>
        <v>2</v>
      </c>
      <c r="F18" s="62">
        <f t="shared" si="19"/>
        <v>2</v>
      </c>
      <c r="G18" s="62">
        <f t="shared" si="19"/>
        <v>2</v>
      </c>
      <c r="H18" s="62">
        <f t="shared" si="19"/>
        <v>2</v>
      </c>
      <c r="I18" s="62">
        <f t="shared" si="19"/>
        <v>2</v>
      </c>
      <c r="J18" s="62">
        <f t="shared" si="19"/>
        <v>2</v>
      </c>
      <c r="K18" s="62">
        <f t="shared" si="19"/>
        <v>2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2</v>
      </c>
      <c r="W18" s="62">
        <f t="shared" si="19"/>
        <v>2</v>
      </c>
      <c r="X18" s="62">
        <f t="shared" si="19"/>
        <v>2</v>
      </c>
      <c r="Y18" s="62">
        <f t="shared" si="19"/>
        <v>2</v>
      </c>
      <c r="Z18" s="62">
        <f t="shared" si="19"/>
        <v>2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5458</v>
      </c>
      <c r="AE20" s="64">
        <v>0</v>
      </c>
      <c r="AF20" s="64">
        <f>SUM(AD20:AE20)</f>
        <v>5458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5458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2</v>
      </c>
      <c r="D22" s="62">
        <f t="shared" ref="D22:Z22" si="22">D18+D19+D21</f>
        <v>2</v>
      </c>
      <c r="E22" s="62">
        <f t="shared" si="22"/>
        <v>2</v>
      </c>
      <c r="F22" s="62">
        <f t="shared" si="22"/>
        <v>2</v>
      </c>
      <c r="G22" s="62">
        <f t="shared" si="22"/>
        <v>2</v>
      </c>
      <c r="H22" s="62">
        <f t="shared" si="22"/>
        <v>2</v>
      </c>
      <c r="I22" s="62">
        <f t="shared" si="22"/>
        <v>2</v>
      </c>
      <c r="J22" s="62">
        <f t="shared" si="22"/>
        <v>2</v>
      </c>
      <c r="K22" s="62">
        <f t="shared" si="22"/>
        <v>2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2</v>
      </c>
      <c r="W22" s="62">
        <f t="shared" si="22"/>
        <v>2</v>
      </c>
      <c r="X22" s="62">
        <f t="shared" si="22"/>
        <v>2</v>
      </c>
      <c r="Y22" s="62">
        <f t="shared" si="22"/>
        <v>2</v>
      </c>
      <c r="Z22" s="62">
        <f t="shared" si="22"/>
        <v>2</v>
      </c>
      <c r="AC22" s="14" t="s">
        <v>718</v>
      </c>
      <c r="AD22" s="64">
        <f>IF(AND(Scénario!K88=1,Troupeau!B3="OL"),Protection!AP6,0)</f>
        <v>4317</v>
      </c>
      <c r="AE22" s="64">
        <f>IF(AND(LEFT(Scénario!K12,2)="OL",Troupeau!C3&lt;&gt;"",Scénario!K91=1),Protection!AP5+Protection!AP3,0)</f>
        <v>0</v>
      </c>
      <c r="AF22" s="64">
        <f>SUM(AD22:AE22)</f>
        <v>4317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505</v>
      </c>
      <c r="BC22" s="30">
        <f>ROUND(Parcellaire!U20,0)</f>
        <v>1011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505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636</v>
      </c>
      <c r="BC23" s="30">
        <f>ROUND(Parcellaire!U21,0)</f>
        <v>1271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636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2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0</v>
      </c>
      <c r="BC24" s="30">
        <f>ROUND(Parcellaire!U22,0)</f>
        <v>0</v>
      </c>
      <c r="BD24" s="30" t="str">
        <f>IF(AW24=2,"",VLOOKUP(AY24,[1]MEP!$X$5:$AA$250,4))</f>
        <v/>
      </c>
      <c r="BE24" s="30" t="str">
        <f>IF(AW24=2,"",VLOOKUP(BD24,[1]MEP!$AC$5:$AD$10,2))</f>
        <v/>
      </c>
      <c r="BF24" s="30" t="str">
        <f t="shared" si="10"/>
        <v>AU</v>
      </c>
      <c r="BG24" s="173">
        <f t="shared" si="11"/>
        <v>0</v>
      </c>
      <c r="BH24" s="173">
        <f t="shared" si="4"/>
        <v>0</v>
      </c>
      <c r="BI24" s="173">
        <f t="shared" si="5"/>
        <v>0</v>
      </c>
      <c r="BJ24" s="173">
        <f t="shared" si="6"/>
        <v>0</v>
      </c>
      <c r="BK24" s="173">
        <f t="shared" si="7"/>
        <v>0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2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5458</v>
      </c>
      <c r="AV25" s="30">
        <f>Parcellaire!A23</f>
        <v>22</v>
      </c>
      <c r="AW25" s="30">
        <f>Parcellaire!B23</f>
        <v>2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0</v>
      </c>
      <c r="BC25" s="30">
        <f>ROUND(Parcellaire!U23,0)</f>
        <v>0</v>
      </c>
      <c r="BD25" s="30" t="str">
        <f>IF(AW25=2,"",VLOOKUP(AY25,[1]MEP!$X$5:$AA$250,4))</f>
        <v/>
      </c>
      <c r="BE25" s="30" t="str">
        <f>IF(AW25=2,"",VLOOKUP(BD25,[1]MEP!$AC$5:$AD$10,2))</f>
        <v/>
      </c>
      <c r="BF25" s="30" t="str">
        <f t="shared" si="10"/>
        <v>AU</v>
      </c>
      <c r="BG25" s="173">
        <f t="shared" si="11"/>
        <v>0</v>
      </c>
      <c r="BH25" s="173">
        <f t="shared" si="4"/>
        <v>0</v>
      </c>
      <c r="BI25" s="173">
        <f t="shared" si="5"/>
        <v>0</v>
      </c>
      <c r="BJ25" s="173">
        <f t="shared" si="6"/>
        <v>0</v>
      </c>
      <c r="BK25" s="173">
        <f t="shared" si="7"/>
        <v>0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1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29.799999999999997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1</v>
      </c>
      <c r="N28" s="177">
        <f t="shared" si="26"/>
        <v>1</v>
      </c>
      <c r="O28" s="177">
        <f t="shared" si="26"/>
        <v>1</v>
      </c>
      <c r="P28" s="177">
        <f t="shared" si="26"/>
        <v>1</v>
      </c>
      <c r="Q28" s="177">
        <f t="shared" si="26"/>
        <v>1</v>
      </c>
      <c r="R28" s="177">
        <f t="shared" si="26"/>
        <v>1</v>
      </c>
      <c r="S28" s="177">
        <f t="shared" si="26"/>
        <v>1</v>
      </c>
      <c r="T28" s="177">
        <f t="shared" si="26"/>
        <v>1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4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3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1141</v>
      </c>
      <c r="BH31" s="62">
        <f t="shared" ref="BH31:BK31" si="27">SUM(BH3:BH30)</f>
        <v>4317</v>
      </c>
      <c r="BI31" s="62">
        <f t="shared" si="27"/>
        <v>0</v>
      </c>
      <c r="BJ31" s="62">
        <f t="shared" si="27"/>
        <v>11.1</v>
      </c>
      <c r="BK31" s="62">
        <f t="shared" si="27"/>
        <v>18.7</v>
      </c>
      <c r="BL31" s="62">
        <f>SUM(BL3:BL30)</f>
        <v>0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4</v>
      </c>
      <c r="N32" s="177">
        <f t="shared" si="28"/>
        <v>4</v>
      </c>
      <c r="O32" s="177">
        <f t="shared" si="28"/>
        <v>4</v>
      </c>
      <c r="P32" s="177">
        <f t="shared" si="28"/>
        <v>4</v>
      </c>
      <c r="Q32" s="177">
        <f t="shared" si="28"/>
        <v>4</v>
      </c>
      <c r="R32" s="177">
        <f t="shared" si="28"/>
        <v>4</v>
      </c>
      <c r="S32" s="177">
        <f t="shared" si="28"/>
        <v>4</v>
      </c>
      <c r="T32" s="177">
        <f t="shared" si="28"/>
        <v>4</v>
      </c>
      <c r="U32" s="177">
        <f t="shared" si="28"/>
        <v>7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4</v>
      </c>
      <c r="N33" s="177">
        <f>N28*[1]Protect!$B$15</f>
        <v>4</v>
      </c>
      <c r="O33" s="177">
        <f>O28*[1]Protect!$B$15</f>
        <v>4</v>
      </c>
      <c r="P33" s="177">
        <f>P28*[1]Protect!$B$15</f>
        <v>4</v>
      </c>
      <c r="Q33" s="177">
        <f>Q28*[1]Protect!$B$15</f>
        <v>4</v>
      </c>
      <c r="R33" s="177">
        <f>R28*[1]Protect!$B$15</f>
        <v>4</v>
      </c>
      <c r="S33" s="177">
        <f>S28*[1]Protect!$B$15</f>
        <v>4</v>
      </c>
      <c r="T33" s="177">
        <f>T28*[1]Protect!$B$15</f>
        <v>4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3792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14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1</v>
      </c>
      <c r="N41" s="173">
        <f t="shared" si="35"/>
        <v>1</v>
      </c>
      <c r="O41" s="173">
        <f t="shared" si="35"/>
        <v>1</v>
      </c>
      <c r="P41" s="173">
        <f t="shared" si="35"/>
        <v>1</v>
      </c>
      <c r="Q41" s="173">
        <f t="shared" si="35"/>
        <v>1</v>
      </c>
      <c r="R41" s="173">
        <f t="shared" si="35"/>
        <v>1</v>
      </c>
      <c r="S41" s="173">
        <f t="shared" si="35"/>
        <v>1</v>
      </c>
      <c r="T41" s="173">
        <f t="shared" si="35"/>
        <v>1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1</v>
      </c>
      <c r="N42" s="62">
        <f>IF(Protection!N41&gt;0,Scénario!$K$58,0)</f>
        <v>1</v>
      </c>
      <c r="O42" s="62">
        <f>IF(Protection!O41&gt;0,Scénario!$K$58,0)</f>
        <v>1</v>
      </c>
      <c r="P42" s="62">
        <f>IF(Protection!P41&gt;0,Scénario!$K$58,0)</f>
        <v>1</v>
      </c>
      <c r="Q42" s="62">
        <f>IF(Protection!Q41&gt;0,Scénario!$K$58,0)</f>
        <v>1</v>
      </c>
      <c r="R42" s="62">
        <f>IF(Protection!R41&gt;0,Scénario!$K$58,0)</f>
        <v>1</v>
      </c>
      <c r="S42" s="62">
        <f>IF(Protection!S41&gt;0,Scénario!$K$58,0)</f>
        <v>1</v>
      </c>
      <c r="T42" s="62">
        <f>IF(Protection!T41&gt;0,Scénario!$K$58,0)</f>
        <v>1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</v>
      </c>
      <c r="D69" s="173">
        <f>IF($AA69=0,99,IF(D82&gt;3,CdTrp1!C77,CdTrp1!C53))</f>
        <v>0</v>
      </c>
      <c r="E69" s="173">
        <f>IF($AA69=0,99,IF(E82&gt;3,CdTrp1!D77,CdTrp1!D53))</f>
        <v>0</v>
      </c>
      <c r="F69" s="173">
        <f>IF($AA69=0,99,IF(F82&gt;3,CdTrp1!E77,CdTrp1!E53))</f>
        <v>0</v>
      </c>
      <c r="G69" s="173">
        <f>IF($AA69=0,99,IF(G82&gt;3,CdTrp1!F77,CdTrp1!F53))</f>
        <v>0</v>
      </c>
      <c r="H69" s="173">
        <f>IF($AA69=0,99,IF(H82&gt;3,CdTrp1!G77,CdTrp1!G53))</f>
        <v>0</v>
      </c>
      <c r="I69" s="173">
        <f>IF($AA69=0,99,IF(I82&gt;3,CdTrp1!H77,CdTrp1!H53))</f>
        <v>0</v>
      </c>
      <c r="J69" s="173">
        <f>IF($AA69=0,99,IF(J82&gt;3,CdTrp1!I77,CdTrp1!I53))</f>
        <v>0</v>
      </c>
      <c r="K69" s="173">
        <f>IF($AA69=0,99,IF(K82&gt;3,CdTrp1!J77,CdTrp1!J53))</f>
        <v>0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</v>
      </c>
      <c r="W69" s="173">
        <f>IF($AA69=0,99,IF(W82&gt;3,CdTrp1!V77,CdTrp1!V53))</f>
        <v>0</v>
      </c>
      <c r="X69" s="173">
        <f>IF($AA69=0,99,IF(X82&gt;3,CdTrp1!W77,CdTrp1!W53))</f>
        <v>0</v>
      </c>
      <c r="Y69" s="173">
        <f>IF($AA69=0,99,IF(Y82&gt;3,CdTrp1!X77,CdTrp1!X53))</f>
        <v>0</v>
      </c>
      <c r="Z69" s="173">
        <f>IF($AA69=0,99,IF(Z82&gt;3,CdTrp1!Y77,CdTrp1!Y53))</f>
        <v>0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1</v>
      </c>
      <c r="M70" s="173">
        <f>IF($AA70=0,99,IF(M83&gt;3,CdTrp1!L78,CdTrp1!L54))</f>
        <v>1</v>
      </c>
      <c r="N70" s="173">
        <f>IF($AA70=0,99,IF(N83&gt;3,CdTrp1!M78,CdTrp1!M54))</f>
        <v>1</v>
      </c>
      <c r="O70" s="173">
        <f>IF($AA70=0,99,IF(O83&gt;3,CdTrp1!N78,CdTrp1!N54))</f>
        <v>1</v>
      </c>
      <c r="P70" s="173">
        <f>IF($AA70=0,99,IF(P83&gt;3,CdTrp1!O78,CdTrp1!O54))</f>
        <v>1</v>
      </c>
      <c r="Q70" s="173">
        <f>IF($AA70=0,99,IF(Q83&gt;3,CdTrp1!P78,CdTrp1!P54))</f>
        <v>1</v>
      </c>
      <c r="R70" s="173">
        <f>IF($AA70=0,99,IF(R83&gt;3,CdTrp1!Q78,CdTrp1!Q54))</f>
        <v>1</v>
      </c>
      <c r="S70" s="173">
        <f>IF($AA70=0,99,IF(S83&gt;3,CdTrp1!R78,CdTrp1!R54))</f>
        <v>1</v>
      </c>
      <c r="T70" s="173">
        <f>IF($AA70=0,99,IF(T83&gt;3,CdTrp1!S78,CdTrp1!S54))</f>
        <v>1</v>
      </c>
      <c r="U70" s="173">
        <f>IF($AA70=0,99,IF(U83&gt;3,CdTrp1!T78,CdTrp1!T54))</f>
        <v>1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1</v>
      </c>
      <c r="D82" s="173">
        <f>CdTrp1!C77</f>
        <v>1</v>
      </c>
      <c r="E82" s="173">
        <f>CdTrp1!D77</f>
        <v>1</v>
      </c>
      <c r="F82" s="173">
        <f>CdTrp1!E77</f>
        <v>1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1</v>
      </c>
      <c r="Z82" s="173">
        <f>CdTrp1!Y77</f>
        <v>1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0</v>
      </c>
      <c r="M83" s="173">
        <f>CdTrp1!L78</f>
        <v>0</v>
      </c>
      <c r="N83" s="173">
        <f>CdTrp1!M78</f>
        <v>0</v>
      </c>
      <c r="O83" s="173">
        <f>CdTrp1!N78</f>
        <v>0</v>
      </c>
      <c r="P83" s="173">
        <f>CdTrp1!O78</f>
        <v>0</v>
      </c>
      <c r="Q83" s="173">
        <f>CdTrp1!P78</f>
        <v>0</v>
      </c>
      <c r="R83" s="173">
        <f>CdTrp1!Q78</f>
        <v>0</v>
      </c>
      <c r="S83" s="173">
        <f>CdTrp1!R78</f>
        <v>0</v>
      </c>
      <c r="T83" s="173">
        <f>CdTrp1!S78</f>
        <v>0</v>
      </c>
      <c r="U83" s="173">
        <f>CdTrp1!T78</f>
        <v>0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5</v>
      </c>
      <c r="N110" s="173">
        <f>IF($AA110=0,99,IF(N123&gt;3,CdTrp2!M76,CdTrp2!M52))</f>
        <v>5</v>
      </c>
      <c r="O110" s="173">
        <f>IF($AA110=0,99,IF(O123&gt;3,CdTrp2!N76,CdTrp2!N52))</f>
        <v>5</v>
      </c>
      <c r="P110" s="173">
        <f>IF($AA110=0,99,IF(P123&gt;3,CdTrp2!O76,CdTrp2!O52))</f>
        <v>5</v>
      </c>
      <c r="Q110" s="173">
        <f>IF($AA110=0,99,IF(Q123&gt;3,CdTrp2!P76,CdTrp2!P52))</f>
        <v>5</v>
      </c>
      <c r="R110" s="173">
        <f>IF($AA110=0,99,IF(R123&gt;3,CdTrp2!Q76,CdTrp2!Q52))</f>
        <v>5</v>
      </c>
      <c r="S110" s="173">
        <f>IF($AA110=0,99,IF(S123&gt;3,CdTrp2!R76,CdTrp2!R52))</f>
        <v>5</v>
      </c>
      <c r="T110" s="173">
        <f>IF($AA110=0,99,IF(T123&gt;3,CdTrp2!S76,CdTrp2!S52))</f>
        <v>5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3</v>
      </c>
      <c r="D111" s="173">
        <f>IF($AA111=0,99,IF(D124&gt;3,CdTrp2!C77,CdTrp2!C53))</f>
        <v>3</v>
      </c>
      <c r="E111" s="173">
        <f>IF($AA111=0,99,IF(E124&gt;3,CdTrp2!D77,CdTrp2!D53))</f>
        <v>3</v>
      </c>
      <c r="F111" s="173">
        <f>IF($AA111=0,99,IF(F124&gt;3,CdTrp2!E77,CdTrp2!E53))</f>
        <v>3</v>
      </c>
      <c r="G111" s="173">
        <f>IF($AA111=0,99,IF(G124&gt;3,CdTrp2!F77,CdTrp2!F53))</f>
        <v>3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3</v>
      </c>
      <c r="Z111" s="173">
        <f>IF($AA111=0,99,IF(Z124&gt;3,CdTrp2!Y77,CdTrp2!Y53))</f>
        <v>3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2</v>
      </c>
      <c r="D180" s="173">
        <f>IF(Troupeau!$B$3="OL",Protection!D18,0)</f>
        <v>2</v>
      </c>
      <c r="E180" s="173">
        <f>IF(Troupeau!$B$3="OL",Protection!E18,0)</f>
        <v>2</v>
      </c>
      <c r="F180" s="173">
        <f>IF(Troupeau!$B$3="OL",Protection!F18,0)</f>
        <v>2</v>
      </c>
      <c r="G180" s="173">
        <f>IF(Troupeau!$B$3="OL",Protection!G18,0)</f>
        <v>2</v>
      </c>
      <c r="H180" s="173">
        <f>IF(Troupeau!$B$3="OL",Protection!H18,0)</f>
        <v>2</v>
      </c>
      <c r="I180" s="173">
        <f>IF(Troupeau!$B$3="OL",Protection!I18,0)</f>
        <v>2</v>
      </c>
      <c r="J180" s="173">
        <f>IF(Troupeau!$B$3="OL",Protection!J18,0)</f>
        <v>2</v>
      </c>
      <c r="K180" s="173">
        <f>IF(Troupeau!$B$3="OL",Protection!K18,0)</f>
        <v>2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2</v>
      </c>
      <c r="W180" s="173">
        <f>IF(Troupeau!$B$3="OL",Protection!W18,0)</f>
        <v>2</v>
      </c>
      <c r="X180" s="173">
        <f>IF(Troupeau!$B$3="OL",Protection!X18,0)</f>
        <v>2</v>
      </c>
      <c r="Y180" s="173">
        <f>IF(Troupeau!$B$3="OL",Protection!Y18,0)</f>
        <v>2</v>
      </c>
      <c r="Z180" s="173">
        <f>IF(Troupeau!$B$3="OL",Protection!Z18,0)</f>
        <v>2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2</v>
      </c>
      <c r="D195" s="173">
        <f t="shared" ref="D195:Z196" si="50">D180+D183+D185+D187</f>
        <v>2</v>
      </c>
      <c r="E195" s="173">
        <f t="shared" si="50"/>
        <v>2</v>
      </c>
      <c r="F195" s="173">
        <f t="shared" si="50"/>
        <v>2</v>
      </c>
      <c r="G195" s="173">
        <f t="shared" si="50"/>
        <v>2</v>
      </c>
      <c r="H195" s="173">
        <f t="shared" si="50"/>
        <v>2</v>
      </c>
      <c r="I195" s="173">
        <f t="shared" si="50"/>
        <v>2</v>
      </c>
      <c r="J195" s="173">
        <f t="shared" si="50"/>
        <v>2</v>
      </c>
      <c r="K195" s="173">
        <f t="shared" si="50"/>
        <v>2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2</v>
      </c>
      <c r="W195" s="173">
        <f t="shared" si="50"/>
        <v>2</v>
      </c>
      <c r="X195" s="173">
        <f t="shared" si="50"/>
        <v>2</v>
      </c>
      <c r="Y195" s="173">
        <f t="shared" si="50"/>
        <v>2</v>
      </c>
      <c r="Z195" s="173">
        <f t="shared" si="50"/>
        <v>2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2</v>
      </c>
      <c r="D201" s="173">
        <f>IF(Troupeau!$B$3="OL",D8+D9,0)</f>
        <v>2</v>
      </c>
      <c r="E201" s="173">
        <f>IF(Troupeau!$B$3="OL",E8+E9,0)</f>
        <v>2</v>
      </c>
      <c r="F201" s="173">
        <f>IF(Troupeau!$B$3="OL",F8+F9,0)</f>
        <v>4</v>
      </c>
      <c r="G201" s="173">
        <f>IF(Troupeau!$B$3="OL",G8+G9,0)</f>
        <v>5</v>
      </c>
      <c r="H201" s="173">
        <f>IF(Troupeau!$B$3="OL",H8+H9,0)</f>
        <v>5</v>
      </c>
      <c r="I201" s="173">
        <f>IF(Troupeau!$B$3="OL",I8+I9,0)</f>
        <v>5</v>
      </c>
      <c r="J201" s="173">
        <f>IF(Troupeau!$B$3="OL",J8+J9,0)</f>
        <v>5</v>
      </c>
      <c r="K201" s="173">
        <f>IF(Troupeau!$B$3="OL",K8+K9,0)</f>
        <v>5</v>
      </c>
      <c r="L201" s="173">
        <f>IF(Troupeau!$B$3="OL",L8+L9,0)</f>
        <v>2</v>
      </c>
      <c r="M201" s="173">
        <f>IF(Troupeau!$B$3="OL",M8+M9,0)</f>
        <v>2</v>
      </c>
      <c r="N201" s="173">
        <f>IF(Troupeau!$B$3="OL",N8+N9,0)</f>
        <v>0</v>
      </c>
      <c r="O201" s="173">
        <f>IF(Troupeau!$B$3="OL",O8+O9,0)</f>
        <v>0</v>
      </c>
      <c r="P201" s="173">
        <f>IF(Troupeau!$B$3="OL",P8+P9,0)</f>
        <v>0</v>
      </c>
      <c r="Q201" s="173">
        <f>IF(Troupeau!$B$3="OL",Q8+Q9,0)</f>
        <v>0</v>
      </c>
      <c r="R201" s="173">
        <f>IF(Troupeau!$B$3="OL",R8+R9,0)</f>
        <v>0</v>
      </c>
      <c r="S201" s="173">
        <f>IF(Troupeau!$B$3="OL",S8+S9,0)</f>
        <v>0</v>
      </c>
      <c r="T201" s="173">
        <f>IF(Troupeau!$B$3="OL",T8+T9,0)</f>
        <v>0</v>
      </c>
      <c r="U201" s="173">
        <f>IF(Troupeau!$B$3="OL",U8+U9,0)</f>
        <v>2</v>
      </c>
      <c r="V201" s="173">
        <f>IF(Troupeau!$B$3="OL",V8+V9,0)</f>
        <v>5</v>
      </c>
      <c r="W201" s="173">
        <f>IF(Troupeau!$B$3="OL",W8+W9,0)</f>
        <v>3</v>
      </c>
      <c r="X201" s="173">
        <f>IF(Troupeau!$B$3="OL",X8+X9,0)</f>
        <v>3</v>
      </c>
      <c r="Y201" s="173">
        <f>IF(Troupeau!$B$3="OL",Y8+Y9,0)</f>
        <v>2</v>
      </c>
      <c r="Z201" s="173">
        <f>IF(Troupeau!$B$3="OL",Z8+Z9,0)</f>
        <v>2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2</v>
      </c>
      <c r="D203" s="173">
        <f t="shared" ref="D203:Z203" si="51">SUM(D201:D202)</f>
        <v>2</v>
      </c>
      <c r="E203" s="173">
        <f t="shared" si="51"/>
        <v>2</v>
      </c>
      <c r="F203" s="173">
        <f t="shared" si="51"/>
        <v>4</v>
      </c>
      <c r="G203" s="173">
        <f t="shared" si="51"/>
        <v>5</v>
      </c>
      <c r="H203" s="173">
        <f t="shared" si="51"/>
        <v>5</v>
      </c>
      <c r="I203" s="173">
        <f t="shared" si="51"/>
        <v>5</v>
      </c>
      <c r="J203" s="173">
        <f t="shared" si="51"/>
        <v>5</v>
      </c>
      <c r="K203" s="173">
        <f t="shared" si="51"/>
        <v>5</v>
      </c>
      <c r="L203" s="173">
        <f t="shared" si="51"/>
        <v>2</v>
      </c>
      <c r="M203" s="173">
        <f t="shared" si="51"/>
        <v>2</v>
      </c>
      <c r="N203" s="173">
        <f t="shared" si="51"/>
        <v>4</v>
      </c>
      <c r="O203" s="173">
        <f t="shared" si="51"/>
        <v>4</v>
      </c>
      <c r="P203" s="173">
        <f t="shared" si="51"/>
        <v>4</v>
      </c>
      <c r="Q203" s="173">
        <f t="shared" si="51"/>
        <v>4</v>
      </c>
      <c r="R203" s="173">
        <f t="shared" si="51"/>
        <v>4</v>
      </c>
      <c r="S203" s="173">
        <f t="shared" si="51"/>
        <v>4</v>
      </c>
      <c r="T203" s="173">
        <f t="shared" si="51"/>
        <v>4</v>
      </c>
      <c r="U203" s="173">
        <f t="shared" si="51"/>
        <v>2</v>
      </c>
      <c r="V203" s="173">
        <f t="shared" si="51"/>
        <v>5</v>
      </c>
      <c r="W203" s="173">
        <f t="shared" si="51"/>
        <v>3</v>
      </c>
      <c r="X203" s="173">
        <f t="shared" si="51"/>
        <v>3</v>
      </c>
      <c r="Y203" s="173">
        <f t="shared" si="51"/>
        <v>2</v>
      </c>
      <c r="Z203" s="173">
        <f t="shared" si="51"/>
        <v>2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2</v>
      </c>
      <c r="D212" s="173">
        <f t="shared" ref="D212:Z213" si="52">D201+D204+D206+D208</f>
        <v>2</v>
      </c>
      <c r="E212" s="173">
        <f t="shared" si="52"/>
        <v>2</v>
      </c>
      <c r="F212" s="173">
        <f t="shared" si="52"/>
        <v>4</v>
      </c>
      <c r="G212" s="173">
        <f t="shared" si="52"/>
        <v>5</v>
      </c>
      <c r="H212" s="173">
        <f t="shared" si="52"/>
        <v>5</v>
      </c>
      <c r="I212" s="173">
        <f t="shared" si="52"/>
        <v>5</v>
      </c>
      <c r="J212" s="173">
        <f t="shared" si="52"/>
        <v>5</v>
      </c>
      <c r="K212" s="173">
        <f t="shared" si="52"/>
        <v>5</v>
      </c>
      <c r="L212" s="173">
        <f t="shared" si="52"/>
        <v>2</v>
      </c>
      <c r="M212" s="173">
        <f t="shared" si="52"/>
        <v>2</v>
      </c>
      <c r="N212" s="173">
        <f t="shared" si="52"/>
        <v>0</v>
      </c>
      <c r="O212" s="173">
        <f t="shared" si="52"/>
        <v>0</v>
      </c>
      <c r="P212" s="173">
        <f t="shared" si="52"/>
        <v>0</v>
      </c>
      <c r="Q212" s="173">
        <f t="shared" si="52"/>
        <v>0</v>
      </c>
      <c r="R212" s="173">
        <f t="shared" si="52"/>
        <v>0</v>
      </c>
      <c r="S212" s="173">
        <f t="shared" si="52"/>
        <v>0</v>
      </c>
      <c r="T212" s="173">
        <f t="shared" si="52"/>
        <v>0</v>
      </c>
      <c r="U212" s="173">
        <f t="shared" si="52"/>
        <v>2</v>
      </c>
      <c r="V212" s="173">
        <f t="shared" si="52"/>
        <v>5</v>
      </c>
      <c r="W212" s="173">
        <f t="shared" si="52"/>
        <v>3</v>
      </c>
      <c r="X212" s="173">
        <f t="shared" si="52"/>
        <v>3</v>
      </c>
      <c r="Y212" s="173">
        <f t="shared" si="52"/>
        <v>2</v>
      </c>
      <c r="Z212" s="173">
        <f t="shared" si="52"/>
        <v>2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2</v>
      </c>
      <c r="D214" s="173">
        <f t="shared" ref="D214:Z214" si="53">D212+D213</f>
        <v>2</v>
      </c>
      <c r="E214" s="173">
        <f t="shared" si="53"/>
        <v>2</v>
      </c>
      <c r="F214" s="173">
        <f t="shared" si="53"/>
        <v>4</v>
      </c>
      <c r="G214" s="173">
        <f t="shared" si="53"/>
        <v>5</v>
      </c>
      <c r="H214" s="173">
        <f t="shared" si="53"/>
        <v>5</v>
      </c>
      <c r="I214" s="173">
        <f t="shared" si="53"/>
        <v>5</v>
      </c>
      <c r="J214" s="173">
        <f t="shared" si="53"/>
        <v>5</v>
      </c>
      <c r="K214" s="173">
        <f t="shared" si="53"/>
        <v>5</v>
      </c>
      <c r="L214" s="173">
        <f t="shared" si="53"/>
        <v>2</v>
      </c>
      <c r="M214" s="173">
        <f t="shared" si="53"/>
        <v>2</v>
      </c>
      <c r="N214" s="173">
        <f t="shared" si="53"/>
        <v>4</v>
      </c>
      <c r="O214" s="173">
        <f t="shared" si="53"/>
        <v>4</v>
      </c>
      <c r="P214" s="173">
        <f t="shared" si="53"/>
        <v>4</v>
      </c>
      <c r="Q214" s="173">
        <f t="shared" si="53"/>
        <v>4</v>
      </c>
      <c r="R214" s="173">
        <f t="shared" si="53"/>
        <v>4</v>
      </c>
      <c r="S214" s="173">
        <f t="shared" si="53"/>
        <v>4</v>
      </c>
      <c r="T214" s="173">
        <f t="shared" si="53"/>
        <v>4</v>
      </c>
      <c r="U214" s="173">
        <f t="shared" si="53"/>
        <v>2</v>
      </c>
      <c r="V214" s="173">
        <f t="shared" si="53"/>
        <v>5</v>
      </c>
      <c r="W214" s="173">
        <f t="shared" si="53"/>
        <v>3</v>
      </c>
      <c r="X214" s="173">
        <f t="shared" si="53"/>
        <v>3</v>
      </c>
      <c r="Y214" s="173">
        <f t="shared" si="53"/>
        <v>2</v>
      </c>
      <c r="Z214" s="173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227.5</v>
      </c>
      <c r="G5" s="173">
        <f>AV117</f>
        <v>5.25</v>
      </c>
      <c r="H5" s="173">
        <f t="shared" ref="H5:AD5" si="0">AW117</f>
        <v>5.25</v>
      </c>
      <c r="I5" s="173">
        <f t="shared" si="0"/>
        <v>5.25</v>
      </c>
      <c r="J5" s="173">
        <f t="shared" si="0"/>
        <v>19.25</v>
      </c>
      <c r="K5" s="173">
        <f t="shared" si="0"/>
        <v>21</v>
      </c>
      <c r="L5" s="173">
        <f t="shared" si="0"/>
        <v>21</v>
      </c>
      <c r="M5" s="173">
        <f t="shared" si="0"/>
        <v>21</v>
      </c>
      <c r="N5" s="173">
        <f t="shared" si="0"/>
        <v>21</v>
      </c>
      <c r="O5" s="173">
        <f t="shared" si="0"/>
        <v>21</v>
      </c>
      <c r="P5" s="173">
        <f t="shared" si="0"/>
        <v>14</v>
      </c>
      <c r="Q5" s="173">
        <f t="shared" si="0"/>
        <v>14</v>
      </c>
      <c r="R5" s="173">
        <f t="shared" si="0"/>
        <v>0</v>
      </c>
      <c r="S5" s="173">
        <f t="shared" si="0"/>
        <v>0</v>
      </c>
      <c r="T5" s="173">
        <f t="shared" si="0"/>
        <v>0</v>
      </c>
      <c r="U5" s="173">
        <f t="shared" si="0"/>
        <v>0</v>
      </c>
      <c r="V5" s="173">
        <f t="shared" si="0"/>
        <v>0</v>
      </c>
      <c r="W5" s="173">
        <f t="shared" si="0"/>
        <v>0</v>
      </c>
      <c r="X5" s="173">
        <f t="shared" si="0"/>
        <v>0</v>
      </c>
      <c r="Y5" s="173">
        <f t="shared" si="0"/>
        <v>14</v>
      </c>
      <c r="Z5" s="173">
        <f t="shared" si="0"/>
        <v>21</v>
      </c>
      <c r="AA5" s="173">
        <f t="shared" si="0"/>
        <v>7</v>
      </c>
      <c r="AB5" s="173">
        <f t="shared" si="0"/>
        <v>7</v>
      </c>
      <c r="AC5" s="173">
        <f t="shared" si="0"/>
        <v>5.25</v>
      </c>
      <c r="AD5" s="173">
        <f t="shared" si="0"/>
        <v>5.25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169.04999999999998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1177.7360000000001</v>
      </c>
      <c r="G9" s="30">
        <f>AV102</f>
        <v>52.18530434782609</v>
      </c>
      <c r="H9" s="30">
        <f t="shared" ref="H9:AD9" si="4">AW102</f>
        <v>52.092782608695657</v>
      </c>
      <c r="I9" s="30">
        <f t="shared" si="4"/>
        <v>52.000260869565217</v>
      </c>
      <c r="J9" s="30">
        <f t="shared" si="4"/>
        <v>51.954000000000001</v>
      </c>
      <c r="K9" s="30">
        <f t="shared" si="4"/>
        <v>51.907739130434784</v>
      </c>
      <c r="L9" s="30">
        <f t="shared" si="4"/>
        <v>51.861478260869568</v>
      </c>
      <c r="M9" s="30">
        <f t="shared" si="4"/>
        <v>51.815217391304351</v>
      </c>
      <c r="N9" s="30">
        <f t="shared" si="4"/>
        <v>51.768956521739128</v>
      </c>
      <c r="O9" s="30">
        <f t="shared" si="4"/>
        <v>51.676434782608695</v>
      </c>
      <c r="P9" s="30">
        <f t="shared" si="4"/>
        <v>51.583913043478262</v>
      </c>
      <c r="Q9" s="30">
        <f t="shared" si="4"/>
        <v>51.583913043478262</v>
      </c>
      <c r="R9" s="30">
        <f t="shared" si="4"/>
        <v>42.655565217391306</v>
      </c>
      <c r="S9" s="30">
        <f t="shared" si="4"/>
        <v>42.655565217391306</v>
      </c>
      <c r="T9" s="30">
        <f t="shared" si="4"/>
        <v>42.655565217391306</v>
      </c>
      <c r="U9" s="30">
        <f t="shared" si="4"/>
        <v>42.655565217391306</v>
      </c>
      <c r="V9" s="30">
        <f t="shared" si="4"/>
        <v>42.655565217391306</v>
      </c>
      <c r="W9" s="30">
        <f t="shared" si="4"/>
        <v>42.655565217391306</v>
      </c>
      <c r="X9" s="30">
        <f t="shared" si="4"/>
        <v>42.655565217391306</v>
      </c>
      <c r="Y9" s="30">
        <f t="shared" si="4"/>
        <v>51.583913043478262</v>
      </c>
      <c r="Z9" s="30">
        <f t="shared" si="4"/>
        <v>50.288608695652172</v>
      </c>
      <c r="AA9" s="30">
        <f t="shared" si="4"/>
        <v>50.288608695652172</v>
      </c>
      <c r="AB9" s="30">
        <f t="shared" si="4"/>
        <v>52.18530434782609</v>
      </c>
      <c r="AC9" s="30">
        <f t="shared" si="4"/>
        <v>52.18530434782609</v>
      </c>
      <c r="AD9" s="30">
        <f t="shared" si="4"/>
        <v>52.18530434782609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2190.9859999999999</v>
      </c>
      <c r="G13" s="30">
        <f>SUM(G5:G11)</f>
        <v>99.43530434782609</v>
      </c>
      <c r="H13" s="30">
        <f t="shared" ref="H13:AD13" si="8">SUM(H5:H11)</f>
        <v>99.342782608695657</v>
      </c>
      <c r="I13" s="30">
        <f t="shared" si="8"/>
        <v>104.50026086956521</v>
      </c>
      <c r="J13" s="30">
        <f t="shared" si="8"/>
        <v>118.45400000000001</v>
      </c>
      <c r="K13" s="30">
        <f t="shared" si="8"/>
        <v>120.15773913043478</v>
      </c>
      <c r="L13" s="30">
        <f t="shared" si="8"/>
        <v>123.61147826086957</v>
      </c>
      <c r="M13" s="30">
        <f t="shared" si="8"/>
        <v>113.06521739130434</v>
      </c>
      <c r="N13" s="30">
        <f t="shared" si="8"/>
        <v>116.51895652173913</v>
      </c>
      <c r="O13" s="30">
        <f t="shared" si="8"/>
        <v>116.42643478260869</v>
      </c>
      <c r="P13" s="30">
        <f t="shared" si="8"/>
        <v>109.33391304347826</v>
      </c>
      <c r="Q13" s="30">
        <f t="shared" si="8"/>
        <v>74.333913043478262</v>
      </c>
      <c r="R13" s="30">
        <f t="shared" si="8"/>
        <v>51.405565217391306</v>
      </c>
      <c r="S13" s="30">
        <f t="shared" si="8"/>
        <v>51.405565217391306</v>
      </c>
      <c r="T13" s="30">
        <f t="shared" si="8"/>
        <v>51.405565217391306</v>
      </c>
      <c r="U13" s="30">
        <f t="shared" si="8"/>
        <v>51.405565217391306</v>
      </c>
      <c r="V13" s="30">
        <f t="shared" si="8"/>
        <v>51.405565217391306</v>
      </c>
      <c r="W13" s="30">
        <f t="shared" si="8"/>
        <v>51.405565217391306</v>
      </c>
      <c r="X13" s="30">
        <f t="shared" si="8"/>
        <v>51.405565217391306</v>
      </c>
      <c r="Y13" s="30">
        <f t="shared" si="8"/>
        <v>109.33391304347826</v>
      </c>
      <c r="Z13" s="30">
        <f t="shared" si="8"/>
        <v>113.28860869565217</v>
      </c>
      <c r="AA13" s="30">
        <f t="shared" si="8"/>
        <v>106.28860869565217</v>
      </c>
      <c r="AB13" s="30">
        <f t="shared" si="8"/>
        <v>108.18530434782609</v>
      </c>
      <c r="AC13" s="30">
        <f t="shared" si="8"/>
        <v>99.43530434782609</v>
      </c>
      <c r="AD13" s="30">
        <f t="shared" si="8"/>
        <v>99.43530434782609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5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156.80000000000001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8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faible</v>
      </c>
      <c r="AV27" s="173">
        <f t="shared" si="17"/>
        <v>1</v>
      </c>
      <c r="AW27" s="173">
        <f t="shared" si="17"/>
        <v>1</v>
      </c>
      <c r="AX27" s="173">
        <f t="shared" si="17"/>
        <v>1</v>
      </c>
      <c r="AY27" s="173">
        <f t="shared" si="17"/>
        <v>1</v>
      </c>
      <c r="AZ27" s="173">
        <f t="shared" si="17"/>
        <v>1</v>
      </c>
      <c r="BA27" s="173">
        <f t="shared" si="17"/>
        <v>1</v>
      </c>
      <c r="BB27" s="173">
        <f t="shared" si="17"/>
        <v>1</v>
      </c>
      <c r="BC27" s="173">
        <f t="shared" si="17"/>
        <v>1</v>
      </c>
      <c r="BD27" s="173">
        <f t="shared" si="17"/>
        <v>1</v>
      </c>
      <c r="BE27" s="173">
        <f t="shared" si="17"/>
        <v>1</v>
      </c>
      <c r="BF27" s="173">
        <f t="shared" si="17"/>
        <v>1</v>
      </c>
      <c r="BG27" s="173">
        <f t="shared" si="17"/>
        <v>1</v>
      </c>
      <c r="BH27" s="173">
        <f t="shared" si="17"/>
        <v>1</v>
      </c>
      <c r="BI27" s="173">
        <f t="shared" si="17"/>
        <v>1</v>
      </c>
      <c r="BJ27" s="173">
        <f t="shared" si="17"/>
        <v>1</v>
      </c>
      <c r="BK27" s="173">
        <f t="shared" si="17"/>
        <v>1</v>
      </c>
      <c r="BL27" s="173">
        <f t="shared" si="18"/>
        <v>1</v>
      </c>
      <c r="BM27" s="173">
        <f t="shared" si="18"/>
        <v>1</v>
      </c>
      <c r="BN27" s="173">
        <f t="shared" si="18"/>
        <v>1</v>
      </c>
      <c r="BO27" s="173">
        <f t="shared" si="18"/>
        <v>1</v>
      </c>
      <c r="BP27" s="173">
        <f t="shared" si="18"/>
        <v>1</v>
      </c>
      <c r="BQ27" s="173">
        <f t="shared" si="18"/>
        <v>1</v>
      </c>
      <c r="BR27" s="173">
        <f t="shared" si="18"/>
        <v>1</v>
      </c>
      <c r="BS27" s="173">
        <f t="shared" si="18"/>
        <v>1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faible</v>
      </c>
      <c r="AV29" s="173">
        <f t="shared" si="17"/>
        <v>1</v>
      </c>
      <c r="AW29" s="173">
        <f t="shared" si="17"/>
        <v>1</v>
      </c>
      <c r="AX29" s="173">
        <f t="shared" si="17"/>
        <v>1</v>
      </c>
      <c r="AY29" s="173">
        <f t="shared" si="17"/>
        <v>1</v>
      </c>
      <c r="AZ29" s="173">
        <f t="shared" si="17"/>
        <v>1</v>
      </c>
      <c r="BA29" s="173">
        <f t="shared" si="17"/>
        <v>1</v>
      </c>
      <c r="BB29" s="173">
        <f t="shared" si="17"/>
        <v>1</v>
      </c>
      <c r="BC29" s="173">
        <f t="shared" si="17"/>
        <v>1</v>
      </c>
      <c r="BD29" s="173">
        <f t="shared" si="17"/>
        <v>1</v>
      </c>
      <c r="BE29" s="173">
        <f t="shared" si="17"/>
        <v>1</v>
      </c>
      <c r="BF29" s="173">
        <f t="shared" si="17"/>
        <v>1</v>
      </c>
      <c r="BG29" s="173">
        <f t="shared" si="17"/>
        <v>1</v>
      </c>
      <c r="BH29" s="173">
        <f t="shared" si="17"/>
        <v>1</v>
      </c>
      <c r="BI29" s="173">
        <f t="shared" si="17"/>
        <v>1</v>
      </c>
      <c r="BJ29" s="173">
        <f t="shared" si="17"/>
        <v>1</v>
      </c>
      <c r="BK29" s="173">
        <f t="shared" si="17"/>
        <v>1</v>
      </c>
      <c r="BL29" s="173">
        <f t="shared" si="18"/>
        <v>1</v>
      </c>
      <c r="BM29" s="173">
        <f t="shared" si="18"/>
        <v>1</v>
      </c>
      <c r="BN29" s="173">
        <f t="shared" si="18"/>
        <v>1</v>
      </c>
      <c r="BO29" s="173">
        <f t="shared" si="18"/>
        <v>1</v>
      </c>
      <c r="BP29" s="173">
        <f t="shared" si="18"/>
        <v>1</v>
      </c>
      <c r="BQ29" s="173">
        <f t="shared" si="18"/>
        <v>1</v>
      </c>
      <c r="BR29" s="173">
        <f t="shared" si="18"/>
        <v>1</v>
      </c>
      <c r="BS29" s="173">
        <f t="shared" si="18"/>
        <v>1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279</v>
      </c>
      <c r="C31" s="190">
        <f>IF(B31&gt;0,VLOOKUP(Troupeau!B3,[1]Trav!$A$96:$B$99,2),0)</f>
        <v>110</v>
      </c>
      <c r="D31" s="172"/>
      <c r="E31" s="172"/>
      <c r="F31" s="173">
        <f>B31*C31/60</f>
        <v>511.5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15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90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265</v>
      </c>
      <c r="D35" s="190">
        <f>IF(Troupeau!B3="OL",[1]Trav!$B$103,0)</f>
        <v>2.4900000000000002</v>
      </c>
      <c r="E35" s="172"/>
      <c r="F35" s="173">
        <f>B35+C35*D35</f>
        <v>879.85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1</v>
      </c>
      <c r="AW38" s="173">
        <f>IF(CdTrp1!C53=1,3,IF(CdTrp1!C53=0.5,2,IF(CdTrp1!C53=0,1,0)))</f>
        <v>1</v>
      </c>
      <c r="AX38" s="173">
        <f>IF(CdTrp1!D53=1,3,IF(CdTrp1!D53=0.5,2,IF(CdTrp1!D53=0,1,0)))</f>
        <v>1</v>
      </c>
      <c r="AY38" s="173">
        <f>IF(CdTrp1!E53=1,3,IF(CdTrp1!E53=0.5,2,IF(CdTrp1!E53=0,1,0)))</f>
        <v>1</v>
      </c>
      <c r="AZ38" s="173">
        <f>IF(CdTrp1!F53=1,3,IF(CdTrp1!F53=0.5,2,IF(CdTrp1!F53=0,1,0)))</f>
        <v>1</v>
      </c>
      <c r="BA38" s="173">
        <f>IF(CdTrp1!G53=1,3,IF(CdTrp1!G53=0.5,2,IF(CdTrp1!G53=0,1,0)))</f>
        <v>1</v>
      </c>
      <c r="BB38" s="173">
        <f>IF(CdTrp1!H53=1,3,IF(CdTrp1!H53=0.5,2,IF(CdTrp1!H53=0,1,0)))</f>
        <v>1</v>
      </c>
      <c r="BC38" s="173">
        <f>IF(CdTrp1!I53=1,3,IF(CdTrp1!I53=0.5,2,IF(CdTrp1!I53=0,1,0)))</f>
        <v>1</v>
      </c>
      <c r="BD38" s="173">
        <f>IF(CdTrp1!J53=1,3,IF(CdTrp1!J53=0.5,2,IF(CdTrp1!J53=0,1,0)))</f>
        <v>1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1</v>
      </c>
      <c r="BP38" s="173">
        <f>IF(CdTrp1!V53=1,3,IF(CdTrp1!V53=0.5,2,IF(CdTrp1!V53=0,1,0)))</f>
        <v>1</v>
      </c>
      <c r="BQ38" s="173">
        <f>IF(CdTrp1!W53=1,3,IF(CdTrp1!W53=0.5,2,IF(CdTrp1!W53=0,1,0)))</f>
        <v>1</v>
      </c>
      <c r="BR38" s="173">
        <f>IF(CdTrp1!X53=1,3,IF(CdTrp1!X53=0.5,2,IF(CdTrp1!X53=0,1,0)))</f>
        <v>1</v>
      </c>
      <c r="BS38" s="173">
        <f>IF(CdTrp1!Y53=1,3,IF(CdTrp1!Y53=0.5,2,IF(CdTrp1!Y53=0,1,0)))</f>
        <v>1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3</v>
      </c>
      <c r="BF39" s="173">
        <f>IF(CdTrp1!L54=1,3,IF(CdTrp1!L54=0.5,2,IF(CdTrp1!L54=0,1,0)))</f>
        <v>3</v>
      </c>
      <c r="BG39" s="173">
        <f>IF(CdTrp1!M54=1,3,IF(CdTrp1!M54=0.5,2,IF(CdTrp1!M54=0,1,0)))</f>
        <v>3</v>
      </c>
      <c r="BH39" s="173">
        <f>IF(CdTrp1!N54=1,3,IF(CdTrp1!N54=0.5,2,IF(CdTrp1!N54=0,1,0)))</f>
        <v>3</v>
      </c>
      <c r="BI39" s="173">
        <f>IF(CdTrp1!O54=1,3,IF(CdTrp1!O54=0.5,2,IF(CdTrp1!O54=0,1,0)))</f>
        <v>3</v>
      </c>
      <c r="BJ39" s="173">
        <f>IF(CdTrp1!P54=1,3,IF(CdTrp1!P54=0.5,2,IF(CdTrp1!P54=0,1,0)))</f>
        <v>3</v>
      </c>
      <c r="BK39" s="173">
        <f>IF(CdTrp1!Q54=1,3,IF(CdTrp1!Q54=0.5,2,IF(CdTrp1!Q54=0,1,0)))</f>
        <v>3</v>
      </c>
      <c r="BL39" s="173">
        <f>IF(CdTrp1!R54=1,3,IF(CdTrp1!R54=0.5,2,IF(CdTrp1!R54=0,1,0)))</f>
        <v>3</v>
      </c>
      <c r="BM39" s="173">
        <f>IF(CdTrp1!S54=1,3,IF(CdTrp1!S54=0.5,2,IF(CdTrp1!S54=0,1,0)))</f>
        <v>3</v>
      </c>
      <c r="BN39" s="173">
        <f>IF(CdTrp1!T54=1,3,IF(CdTrp1!T54=0.5,2,IF(CdTrp1!T54=0,1,0)))</f>
        <v>3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1</v>
      </c>
      <c r="AW49" s="173">
        <f>IF(CdTrp1!C77=1,1,IF(CdTrp1!C77=2,2,IF(CdTrp1!C77=3,2,0)))</f>
        <v>1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1</v>
      </c>
      <c r="BS49" s="173">
        <f>IF(CdTrp1!Y77=1,1,IF(CdTrp1!Y77=2,2,IF(CdTrp1!Y77=3,2,0)))</f>
        <v>1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0</v>
      </c>
      <c r="BF50" s="173">
        <f>IF(CdTrp1!L78=1,1,IF(CdTrp1!L78=2,2,IF(CdTrp1!L78=3,2,0)))</f>
        <v>0</v>
      </c>
      <c r="BG50" s="173">
        <f>IF(CdTrp1!M78=1,1,IF(CdTrp1!M78=2,2,IF(CdTrp1!M78=3,2,0)))</f>
        <v>0</v>
      </c>
      <c r="BH50" s="173">
        <f>IF(CdTrp1!N78=1,1,IF(CdTrp1!N78=2,2,IF(CdTrp1!N78=3,2,0)))</f>
        <v>0</v>
      </c>
      <c r="BI50" s="173">
        <f>IF(CdTrp1!O78=1,1,IF(CdTrp1!O78=2,2,IF(CdTrp1!O78=3,2,0)))</f>
        <v>0</v>
      </c>
      <c r="BJ50" s="173">
        <f>IF(CdTrp1!P78=1,1,IF(CdTrp1!P78=2,2,IF(CdTrp1!P78=3,2,0)))</f>
        <v>0</v>
      </c>
      <c r="BK50" s="173">
        <f>IF(CdTrp1!Q78=1,1,IF(CdTrp1!Q78=2,2,IF(CdTrp1!Q78=3,2,0)))</f>
        <v>0</v>
      </c>
      <c r="BL50" s="173">
        <f>IF(CdTrp1!R78=1,1,IF(CdTrp1!R78=2,2,IF(CdTrp1!R78=3,2,0)))</f>
        <v>0</v>
      </c>
      <c r="BM50" s="173">
        <f>IF(CdTrp1!S78=1,1,IF(CdTrp1!S78=2,2,IF(CdTrp1!S78=3,2,0)))</f>
        <v>0</v>
      </c>
      <c r="BN50" s="173">
        <f>IF(CdTrp1!T78=1,1,IF(CdTrp1!T78=2,2,IF(CdTrp1!T78=3,2,0)))</f>
        <v>0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27.5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21.33</v>
      </c>
      <c r="C55" s="190">
        <f>IF(B55&gt;[1]Trav!E121,[1]Trav!C121,[1]Trav!B121)</f>
        <v>7.2</v>
      </c>
      <c r="D55"/>
      <c r="E55" s="172"/>
      <c r="F55" s="173">
        <f t="shared" si="32"/>
        <v>154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13.5</v>
      </c>
      <c r="C56" s="190">
        <f>IF(B56&gt;[1]Trav!E121,[1]Trav!C121,[1]Trav!B121)</f>
        <v>7.2</v>
      </c>
      <c r="D56"/>
      <c r="E56" s="172"/>
      <c r="F56" s="173">
        <f t="shared" si="32"/>
        <v>97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6</v>
      </c>
      <c r="C57" s="190">
        <f>IF(B57&gt;[1]Trav!E121,[1]Trav!C121,[1]Trav!B121)</f>
        <v>7.2</v>
      </c>
      <c r="D57"/>
      <c r="E57" s="172"/>
      <c r="F57" s="173">
        <f t="shared" si="32"/>
        <v>43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2.370000000000001</v>
      </c>
      <c r="C58" s="190">
        <f>IF(B58&gt;[1]Trav!E122,[1]Trav!C122,[1]Trav!B122)</f>
        <v>4.4000000000000004</v>
      </c>
      <c r="E58" s="172"/>
      <c r="F58" s="173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111</v>
      </c>
      <c r="AW61" s="173">
        <f>IF(AW16=0,0,IF(AW38=3,0,VALUE(CONCATENATE(Travail!AW27,Travail!AW38,Travail!AW49))))</f>
        <v>111</v>
      </c>
      <c r="AX61" s="173">
        <f>IF(AX16=0,0,IF(AX38=3,0,VALUE(CONCATENATE(Travail!AX27,Travail!AX38,Travail!AX49))))</f>
        <v>111</v>
      </c>
      <c r="AY61" s="173">
        <f>IF(AY16=0,0,IF(AY38=3,0,VALUE(CONCATENATE(Travail!AY27,Travail!AY38,Travail!AY49))))</f>
        <v>111</v>
      </c>
      <c r="AZ61" s="173">
        <f>IF(AZ16=0,0,IF(AZ38=3,0,VALUE(CONCATENATE(Travail!AZ27,Travail!AZ38,Travail!AZ49))))</f>
        <v>112</v>
      </c>
      <c r="BA61" s="173">
        <f>IF(BA16=0,0,IF(BA38=3,0,VALUE(CONCATENATE(Travail!BA27,Travail!BA38,Travail!BA49))))</f>
        <v>112</v>
      </c>
      <c r="BB61" s="173">
        <f>IF(BB16=0,0,IF(BB38=3,0,VALUE(CONCATENATE(Travail!BB27,Travail!BB38,Travail!BB49))))</f>
        <v>112</v>
      </c>
      <c r="BC61" s="173">
        <f>IF(BC16=0,0,IF(BC38=3,0,VALUE(CONCATENATE(Travail!BC27,Travail!BC38,Travail!BC49))))</f>
        <v>112</v>
      </c>
      <c r="BD61" s="173">
        <f>IF(BD16=0,0,IF(BD38=3,0,VALUE(CONCATENATE(Travail!BD27,Travail!BD38,Travail!BD49))))</f>
        <v>112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112</v>
      </c>
      <c r="BP61" s="173">
        <f>IF(BP16=0,0,IF(BP38=3,0,VALUE(CONCATENATE(Travail!BP27,Travail!BP38,Travail!BP49))))</f>
        <v>112</v>
      </c>
      <c r="BQ61" s="173">
        <f>IF(BQ16=0,0,IF(BQ38=3,0,VALUE(CONCATENATE(Travail!BQ27,Travail!BQ38,Travail!BQ49))))</f>
        <v>112</v>
      </c>
      <c r="BR61" s="173">
        <f>IF(BR16=0,0,IF(BR38=3,0,VALUE(CONCATENATE(Travail!BR27,Travail!BR38,Travail!BR49))))</f>
        <v>111</v>
      </c>
      <c r="BS61" s="173">
        <f>IF(BS16=0,0,IF(BS38=3,0,VALUE(CONCATENATE(Travail!BS27,Travail!BS38,Travail!BS49))))</f>
        <v>111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0</v>
      </c>
      <c r="BF62" s="173">
        <f>IF(BF17=0,0,IF(BF39=3,0,VALUE(CONCATENATE(Travail!BF28,Travail!BF39,Travail!BF50))))</f>
        <v>0</v>
      </c>
      <c r="BG62" s="173">
        <f>IF(BG17=0,0,IF(BG39=3,0,VALUE(CONCATENATE(Travail!BG28,Travail!BG39,Travail!BG50))))</f>
        <v>0</v>
      </c>
      <c r="BH62" s="173">
        <f>IF(BH17=0,0,IF(BH39=3,0,VALUE(CONCATENATE(Travail!BH28,Travail!BH39,Travail!BH50))))</f>
        <v>0</v>
      </c>
      <c r="BI62" s="173">
        <f>IF(BI17=0,0,IF(BI39=3,0,VALUE(CONCATENATE(Travail!BI28,Travail!BI39,Travail!BI50))))</f>
        <v>0</v>
      </c>
      <c r="BJ62" s="173">
        <f>IF(BJ17=0,0,IF(BJ39=3,0,VALUE(CONCATENATE(Travail!BJ28,Travail!BJ39,Travail!BJ50))))</f>
        <v>0</v>
      </c>
      <c r="BK62" s="173">
        <f>IF(BK17=0,0,IF(BK39=3,0,VALUE(CONCATENATE(Travail!BK28,Travail!BK39,Travail!BK50))))</f>
        <v>0</v>
      </c>
      <c r="BL62" s="173">
        <f>IF(BL17=0,0,IF(BL39=3,0,VALUE(CONCATENATE(Travail!BL28,Travail!BL39,Travail!BL50))))</f>
        <v>0</v>
      </c>
      <c r="BM62" s="173">
        <f>IF(BM17=0,0,IF(BM39=3,0,VALUE(CONCATENATE(Travail!BM28,Travail!BM39,Travail!BM50))))</f>
        <v>0</v>
      </c>
      <c r="BN62" s="173">
        <f>IF(BN17=0,0,IF(BN39=3,0,VALUE(CONCATENATE(Travail!BN28,Travail!BN39,Travail!BN50))))</f>
        <v>0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120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5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5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5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11</v>
      </c>
      <c r="AW72" s="173">
        <f t="shared" si="36"/>
        <v>11</v>
      </c>
      <c r="AX72" s="173">
        <f t="shared" si="36"/>
        <v>11</v>
      </c>
      <c r="AY72" s="173">
        <f t="shared" si="36"/>
        <v>11</v>
      </c>
      <c r="AZ72" s="173">
        <f t="shared" si="36"/>
        <v>11</v>
      </c>
      <c r="BA72" s="173">
        <f t="shared" si="36"/>
        <v>11</v>
      </c>
      <c r="BB72" s="173">
        <f t="shared" si="36"/>
        <v>11</v>
      </c>
      <c r="BC72" s="173">
        <f t="shared" si="36"/>
        <v>11</v>
      </c>
      <c r="BD72" s="173">
        <f t="shared" si="36"/>
        <v>11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11</v>
      </c>
      <c r="BP72" s="173">
        <f t="shared" si="36"/>
        <v>11</v>
      </c>
      <c r="BQ72" s="173">
        <f t="shared" si="36"/>
        <v>11</v>
      </c>
      <c r="BR72" s="173">
        <f t="shared" si="36"/>
        <v>11</v>
      </c>
      <c r="BS72" s="173">
        <f t="shared" si="36"/>
        <v>11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23</v>
      </c>
      <c r="BF73" s="173">
        <f t="shared" si="36"/>
        <v>23</v>
      </c>
      <c r="BG73" s="173">
        <f t="shared" si="36"/>
        <v>23</v>
      </c>
      <c r="BH73" s="173">
        <f t="shared" si="36"/>
        <v>23</v>
      </c>
      <c r="BI73" s="173">
        <f t="shared" si="36"/>
        <v>23</v>
      </c>
      <c r="BJ73" s="173">
        <f t="shared" si="36"/>
        <v>23</v>
      </c>
      <c r="BK73" s="173">
        <f t="shared" si="36"/>
        <v>23</v>
      </c>
      <c r="BL73" s="173">
        <f t="shared" si="36"/>
        <v>23</v>
      </c>
      <c r="BM73" s="173">
        <f t="shared" si="36"/>
        <v>23</v>
      </c>
      <c r="BN73" s="173">
        <f t="shared" si="36"/>
        <v>23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13</v>
      </c>
      <c r="AW74" s="173">
        <f t="shared" si="36"/>
        <v>13</v>
      </c>
      <c r="AX74" s="173">
        <f t="shared" si="36"/>
        <v>13</v>
      </c>
      <c r="AY74" s="173">
        <f t="shared" si="36"/>
        <v>13</v>
      </c>
      <c r="AZ74" s="173">
        <f t="shared" si="36"/>
        <v>13</v>
      </c>
      <c r="BA74" s="173">
        <f t="shared" si="36"/>
        <v>13</v>
      </c>
      <c r="BB74" s="173">
        <f t="shared" si="36"/>
        <v>13</v>
      </c>
      <c r="BC74" s="173">
        <f t="shared" si="36"/>
        <v>13</v>
      </c>
      <c r="BD74" s="173">
        <f t="shared" si="36"/>
        <v>13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13</v>
      </c>
      <c r="BP74" s="173">
        <f t="shared" si="36"/>
        <v>13</v>
      </c>
      <c r="BQ74" s="173">
        <f t="shared" si="36"/>
        <v>13</v>
      </c>
      <c r="BR74" s="173">
        <f t="shared" si="36"/>
        <v>13</v>
      </c>
      <c r="BS74" s="173">
        <f t="shared" si="36"/>
        <v>13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133</v>
      </c>
      <c r="G75" s="198">
        <f>IF(Protection!C195=0,0,[1]Protect!$B$9*Protection!C195*14)</f>
        <v>7</v>
      </c>
      <c r="H75" s="198">
        <f>IF(Protection!D195=0,0,[1]Protect!$B$9*Protection!D195*14)</f>
        <v>7</v>
      </c>
      <c r="I75" s="198">
        <f>IF(Protection!E195=0,0,[1]Protect!$B$9*Protection!E195*14)</f>
        <v>7</v>
      </c>
      <c r="J75" s="198">
        <f>IF(Protection!F195=0,0,[1]Protect!$B$9*Protection!F195*14)</f>
        <v>7</v>
      </c>
      <c r="K75" s="198">
        <f>IF(Protection!G195=0,0,[1]Protect!$B$9*Protection!G195*14)</f>
        <v>7</v>
      </c>
      <c r="L75" s="198">
        <f>IF(Protection!H195=0,0,[1]Protect!$B$9*Protection!H195*14)</f>
        <v>7</v>
      </c>
      <c r="M75" s="198">
        <f>IF(Protection!I195=0,0,[1]Protect!$B$9*Protection!I195*14)</f>
        <v>7</v>
      </c>
      <c r="N75" s="198">
        <f>IF(Protection!J195=0,0,[1]Protect!$B$9*Protection!J195*14)</f>
        <v>7</v>
      </c>
      <c r="O75" s="198">
        <f>IF(Protection!K195=0,0,[1]Protect!$B$9*Protection!K195*14)</f>
        <v>7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7</v>
      </c>
      <c r="AA75" s="198">
        <f>IF(Protection!W195=0,0,[1]Protect!$B$9*Protection!W195*14)</f>
        <v>7</v>
      </c>
      <c r="AB75" s="198">
        <f>IF(Protection!X195=0,0,[1]Protect!$B$9*Protection!X195*14)</f>
        <v>7</v>
      </c>
      <c r="AC75" s="198">
        <f>IF(Protection!Y195=0,0,[1]Protect!$B$9*Protection!Y195*14)</f>
        <v>7</v>
      </c>
      <c r="AD75" s="198">
        <f>IF(Protection!Z195=0,0,[1]Protect!$B$9*Protection!Z195*14)</f>
        <v>7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24.5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277.5</v>
      </c>
      <c r="G77" s="46">
        <f t="shared" ref="G77:AD77" si="43">+SUM(G69:G76)</f>
        <v>12</v>
      </c>
      <c r="H77" s="46">
        <f t="shared" si="43"/>
        <v>12</v>
      </c>
      <c r="I77" s="46">
        <f t="shared" si="43"/>
        <v>12</v>
      </c>
      <c r="J77" s="46">
        <f t="shared" si="43"/>
        <v>17</v>
      </c>
      <c r="K77" s="46">
        <f t="shared" si="43"/>
        <v>17</v>
      </c>
      <c r="L77" s="46">
        <f t="shared" si="43"/>
        <v>17</v>
      </c>
      <c r="M77" s="46">
        <f t="shared" si="43"/>
        <v>17</v>
      </c>
      <c r="N77" s="46">
        <f t="shared" si="43"/>
        <v>17</v>
      </c>
      <c r="O77" s="46">
        <f t="shared" si="43"/>
        <v>17</v>
      </c>
      <c r="P77" s="46">
        <f t="shared" si="43"/>
        <v>8.5</v>
      </c>
      <c r="Q77" s="46">
        <f t="shared" si="43"/>
        <v>8.5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7</v>
      </c>
      <c r="Y77" s="46">
        <f t="shared" si="43"/>
        <v>8.5</v>
      </c>
      <c r="Z77" s="46">
        <f t="shared" si="43"/>
        <v>17</v>
      </c>
      <c r="AA77" s="46">
        <f t="shared" si="43"/>
        <v>12</v>
      </c>
      <c r="AB77" s="46">
        <f t="shared" si="43"/>
        <v>12</v>
      </c>
      <c r="AC77" s="46">
        <f t="shared" si="43"/>
        <v>12</v>
      </c>
      <c r="AD77" s="46">
        <f t="shared" si="43"/>
        <v>12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0.71</v>
      </c>
      <c r="C81" s="190">
        <f>[1]Protect!$B$10</f>
        <v>4</v>
      </c>
      <c r="D81" s="172"/>
      <c r="E81" s="172"/>
      <c r="F81" s="173">
        <f>ROUND(C81*B81*8,0)</f>
        <v>23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1</v>
      </c>
      <c r="BB81" s="173">
        <f t="shared" si="44"/>
        <v>1</v>
      </c>
      <c r="BC81" s="173">
        <f t="shared" si="44"/>
        <v>1</v>
      </c>
      <c r="BD81" s="173">
        <f t="shared" si="44"/>
        <v>1</v>
      </c>
      <c r="BE81" s="173">
        <f t="shared" si="44"/>
        <v>1</v>
      </c>
      <c r="BF81" s="173">
        <f t="shared" si="44"/>
        <v>1</v>
      </c>
      <c r="BG81" s="173">
        <f t="shared" si="44"/>
        <v>1</v>
      </c>
      <c r="BH81" s="173">
        <f t="shared" si="44"/>
        <v>1</v>
      </c>
      <c r="BI81" s="173">
        <f t="shared" si="44"/>
        <v>1</v>
      </c>
      <c r="BJ81" s="173">
        <f t="shared" si="44"/>
        <v>1</v>
      </c>
      <c r="BK81" s="173">
        <f t="shared" si="44"/>
        <v>1</v>
      </c>
      <c r="BL81" s="173">
        <f t="shared" si="44"/>
        <v>1</v>
      </c>
      <c r="BM81" s="173">
        <f t="shared" si="44"/>
        <v>1</v>
      </c>
      <c r="BN81" s="173">
        <f t="shared" si="44"/>
        <v>1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1</v>
      </c>
      <c r="AW82" s="173">
        <f t="shared" ref="AW82:BS82" si="47">COUNTIF(AW$71:AW$80,13)</f>
        <v>1</v>
      </c>
      <c r="AX82" s="173">
        <f t="shared" si="47"/>
        <v>1</v>
      </c>
      <c r="AY82" s="173">
        <f t="shared" si="47"/>
        <v>1</v>
      </c>
      <c r="AZ82" s="173">
        <f t="shared" si="47"/>
        <v>1</v>
      </c>
      <c r="BA82" s="173">
        <f t="shared" si="47"/>
        <v>1</v>
      </c>
      <c r="BB82" s="173">
        <f t="shared" si="47"/>
        <v>1</v>
      </c>
      <c r="BC82" s="173">
        <f t="shared" si="47"/>
        <v>1</v>
      </c>
      <c r="BD82" s="173">
        <f t="shared" si="47"/>
        <v>1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1</v>
      </c>
      <c r="BP82" s="173">
        <f t="shared" si="47"/>
        <v>1</v>
      </c>
      <c r="BQ82" s="173">
        <f t="shared" si="47"/>
        <v>1</v>
      </c>
      <c r="BR82" s="173">
        <f t="shared" si="47"/>
        <v>1</v>
      </c>
      <c r="BS82" s="173">
        <f t="shared" si="47"/>
        <v>1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5.4580000000000002</v>
      </c>
      <c r="C83" s="190">
        <f>[1]Protect!$B$24+[1]Protect!$B$26</f>
        <v>0.33</v>
      </c>
      <c r="D83" s="172"/>
      <c r="E83" s="172"/>
      <c r="F83" s="173">
        <f>ROUND(B83*C83,1)</f>
        <v>1.8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0</v>
      </c>
      <c r="AW83" s="173">
        <f t="shared" ref="AW83:BS83" si="50">COUNTIF(AW$71:AW$80,22)</f>
        <v>0</v>
      </c>
      <c r="AX83" s="173">
        <f t="shared" si="50"/>
        <v>0</v>
      </c>
      <c r="AY83" s="173">
        <f t="shared" si="50"/>
        <v>1</v>
      </c>
      <c r="AZ83" s="173">
        <f t="shared" si="50"/>
        <v>1</v>
      </c>
      <c r="BA83" s="173">
        <f t="shared" si="50"/>
        <v>1</v>
      </c>
      <c r="BB83" s="173">
        <f t="shared" si="50"/>
        <v>1</v>
      </c>
      <c r="BC83" s="173">
        <f t="shared" si="50"/>
        <v>1</v>
      </c>
      <c r="BD83" s="173">
        <f t="shared" si="50"/>
        <v>1</v>
      </c>
      <c r="BE83" s="173">
        <f t="shared" si="50"/>
        <v>1</v>
      </c>
      <c r="BF83" s="173">
        <f t="shared" si="50"/>
        <v>1</v>
      </c>
      <c r="BG83" s="173">
        <f t="shared" si="50"/>
        <v>0</v>
      </c>
      <c r="BH83" s="173">
        <f t="shared" si="50"/>
        <v>0</v>
      </c>
      <c r="BI83" s="173">
        <f t="shared" si="50"/>
        <v>0</v>
      </c>
      <c r="BJ83" s="173">
        <f t="shared" si="50"/>
        <v>0</v>
      </c>
      <c r="BK83" s="173">
        <f t="shared" si="50"/>
        <v>0</v>
      </c>
      <c r="BL83" s="173">
        <f t="shared" si="50"/>
        <v>0</v>
      </c>
      <c r="BM83" s="173">
        <f t="shared" si="50"/>
        <v>0</v>
      </c>
      <c r="BN83" s="173">
        <f t="shared" si="50"/>
        <v>1</v>
      </c>
      <c r="BO83" s="173">
        <f t="shared" si="50"/>
        <v>1</v>
      </c>
      <c r="BP83" s="173">
        <f t="shared" si="50"/>
        <v>0</v>
      </c>
      <c r="BQ83" s="173">
        <f t="shared" si="50"/>
        <v>0</v>
      </c>
      <c r="BR83" s="173">
        <f t="shared" si="50"/>
        <v>0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4.4000000000000004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13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0.70000000000000007</v>
      </c>
      <c r="C86" s="176"/>
      <c r="D86" s="176"/>
      <c r="E86" s="176"/>
      <c r="F86" s="173">
        <f>B86*[1]Eco!$B$108*[1]Eco!$B$109</f>
        <v>168.00000000000003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42</v>
      </c>
      <c r="BF86" s="190">
        <f>IF(BF85=0,0,HLOOKUP(BF85,[1]Trav!$C$39:$G$59,$AU$105))</f>
        <v>42</v>
      </c>
      <c r="BG86" s="190">
        <f>IF(BG85=0,0,HLOOKUP(BG85,[1]Trav!$C$39:$G$59,$AU$105))</f>
        <v>42</v>
      </c>
      <c r="BH86" s="190">
        <f>IF(BH85=0,0,HLOOKUP(BH85,[1]Trav!$C$39:$G$59,$AU$105))</f>
        <v>42</v>
      </c>
      <c r="BI86" s="190">
        <f>IF(BI85=0,0,HLOOKUP(BI85,[1]Trav!$C$39:$G$59,$AU$105))</f>
        <v>42</v>
      </c>
      <c r="BJ86" s="190">
        <f>IF(BJ85=0,0,HLOOKUP(BJ85,[1]Trav!$C$39:$G$59,$AU$105))</f>
        <v>42</v>
      </c>
      <c r="BK86" s="190">
        <f>IF(BK85=0,0,HLOOKUP(BK85,[1]Trav!$C$39:$G$59,$AU$105))</f>
        <v>42</v>
      </c>
      <c r="BL86" s="190">
        <f>IF(BL85=0,0,HLOOKUP(BL85,[1]Trav!$C$39:$G$59,$AU$105))</f>
        <v>42</v>
      </c>
      <c r="BM86" s="190">
        <f>IF(BM85=0,0,HLOOKUP(BM85,[1]Trav!$C$39:$G$59,$AU$105))</f>
        <v>42</v>
      </c>
      <c r="BN86" s="190">
        <f>IF(BN85=0,0,HLOOKUP(BN85,[1]Trav!$C$39:$G$59,$AU$105))</f>
        <v>42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1405.2360000000001</v>
      </c>
      <c r="C91" s="5"/>
      <c r="D91" s="202">
        <f>B91/Troupeau!$B$17</f>
        <v>4.6224868421052632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0</v>
      </c>
      <c r="AW91" s="173">
        <f t="shared" si="60"/>
        <v>0</v>
      </c>
      <c r="AX91" s="173">
        <f t="shared" si="60"/>
        <v>0</v>
      </c>
      <c r="AY91" s="173">
        <f t="shared" si="60"/>
        <v>0</v>
      </c>
      <c r="AZ91" s="173">
        <f t="shared" si="60"/>
        <v>0</v>
      </c>
      <c r="BA91" s="173">
        <f t="shared" si="60"/>
        <v>0</v>
      </c>
      <c r="BB91" s="173">
        <f t="shared" si="60"/>
        <v>0</v>
      </c>
      <c r="BC91" s="173">
        <f t="shared" si="60"/>
        <v>0</v>
      </c>
      <c r="BD91" s="173">
        <f t="shared" si="60"/>
        <v>0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0</v>
      </c>
      <c r="BP91" s="173">
        <f t="shared" si="60"/>
        <v>0</v>
      </c>
      <c r="BQ91" s="173">
        <f t="shared" si="60"/>
        <v>0</v>
      </c>
      <c r="BR91" s="173">
        <f t="shared" si="60"/>
        <v>0</v>
      </c>
      <c r="BS91" s="173">
        <f t="shared" si="60"/>
        <v>0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673.05</v>
      </c>
      <c r="C92" s="5"/>
      <c r="D92" s="202">
        <f>IF(B92=0,0,B92/Troupeau!$C$17)</f>
        <v>35.423684210526311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7.9304347826086961</v>
      </c>
      <c r="AW93" s="173">
        <f t="shared" si="60"/>
        <v>7.9304347826086961</v>
      </c>
      <c r="AX93" s="173">
        <f t="shared" si="60"/>
        <v>7.9304347826086961</v>
      </c>
      <c r="AY93" s="173">
        <f t="shared" si="60"/>
        <v>7.9304347826086961</v>
      </c>
      <c r="AZ93" s="173">
        <f t="shared" si="60"/>
        <v>7.9304347826086961</v>
      </c>
      <c r="BA93" s="173">
        <f t="shared" si="60"/>
        <v>7.9304347826086961</v>
      </c>
      <c r="BB93" s="173">
        <f t="shared" si="60"/>
        <v>7.9304347826086961</v>
      </c>
      <c r="BC93" s="173">
        <f t="shared" si="60"/>
        <v>7.9304347826086961</v>
      </c>
      <c r="BD93" s="173">
        <f t="shared" si="60"/>
        <v>7.9304347826086961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7.9304347826086961</v>
      </c>
      <c r="BP93" s="173">
        <f t="shared" si="60"/>
        <v>7.9304347826086961</v>
      </c>
      <c r="BQ93" s="173">
        <f t="shared" si="60"/>
        <v>7.9304347826086961</v>
      </c>
      <c r="BR93" s="173">
        <f t="shared" si="60"/>
        <v>7.9304347826086961</v>
      </c>
      <c r="BS93" s="173">
        <f t="shared" si="60"/>
        <v>7.9304347826086961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2078.2860000000001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156.80000000000001</v>
      </c>
      <c r="C95" s="5"/>
      <c r="D95" s="202">
        <f>B95/Troupeau!$B$17</f>
        <v>0.51578947368421058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156.80000000000001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1391.35</v>
      </c>
      <c r="C99" s="5"/>
      <c r="D99" s="202">
        <f>B99/Troupeau!$B$17</f>
        <v>4.5768092105263154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341.00869565217391</v>
      </c>
      <c r="AW99" s="62">
        <f t="shared" ref="AW99:BS99" si="68">SUM(AW90:AW98)</f>
        <v>338.36521739130438</v>
      </c>
      <c r="AX99" s="62">
        <f t="shared" si="68"/>
        <v>335.7217391304348</v>
      </c>
      <c r="AY99" s="62">
        <f t="shared" si="68"/>
        <v>334.40000000000003</v>
      </c>
      <c r="AZ99" s="62">
        <f t="shared" si="68"/>
        <v>333.07826086956521</v>
      </c>
      <c r="BA99" s="62">
        <f t="shared" si="68"/>
        <v>331.75652173913045</v>
      </c>
      <c r="BB99" s="62">
        <f t="shared" si="68"/>
        <v>330.43478260869568</v>
      </c>
      <c r="BC99" s="62">
        <f t="shared" si="68"/>
        <v>329.11304347826086</v>
      </c>
      <c r="BD99" s="62">
        <f t="shared" si="68"/>
        <v>326.46956521739133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286.81739130434784</v>
      </c>
      <c r="BP99" s="62">
        <f t="shared" si="68"/>
        <v>286.81739130434784</v>
      </c>
      <c r="BQ99" s="62">
        <f t="shared" si="68"/>
        <v>341.00869565217391</v>
      </c>
      <c r="BR99" s="62">
        <f t="shared" si="68"/>
        <v>341.00869565217391</v>
      </c>
      <c r="BS99" s="62">
        <f t="shared" si="68"/>
        <v>341.00869565217391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90</v>
      </c>
      <c r="C100" s="5"/>
      <c r="D100" s="202">
        <f>IF(B100=0,0,B100/Troupeau!$C$17)</f>
        <v>4.7368421052631575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6.8201739130434786</v>
      </c>
      <c r="AW100" s="173">
        <f t="shared" ref="AW100:BS100" si="71">IF($AT$2="OL",AW99/50,AW99/10)</f>
        <v>6.7673043478260873</v>
      </c>
      <c r="AX100" s="173">
        <f t="shared" si="71"/>
        <v>6.7144347826086959</v>
      </c>
      <c r="AY100" s="173">
        <f t="shared" si="71"/>
        <v>6.6880000000000006</v>
      </c>
      <c r="AZ100" s="173">
        <f t="shared" si="71"/>
        <v>6.6615652173913045</v>
      </c>
      <c r="BA100" s="173">
        <f t="shared" si="71"/>
        <v>6.6351304347826092</v>
      </c>
      <c r="BB100" s="173">
        <f t="shared" si="71"/>
        <v>6.608695652173914</v>
      </c>
      <c r="BC100" s="173">
        <f t="shared" si="71"/>
        <v>6.5822608695652169</v>
      </c>
      <c r="BD100" s="173">
        <f t="shared" si="71"/>
        <v>6.5293913043478264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5.7363478260869565</v>
      </c>
      <c r="BP100" s="173">
        <f t="shared" si="71"/>
        <v>5.7363478260869565</v>
      </c>
      <c r="BQ100" s="173">
        <f t="shared" si="71"/>
        <v>6.8201739130434786</v>
      </c>
      <c r="BR100" s="173">
        <f t="shared" si="71"/>
        <v>6.8201739130434786</v>
      </c>
      <c r="BS100" s="173">
        <f t="shared" si="71"/>
        <v>6.8201739130434786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5.8201739130434786</v>
      </c>
      <c r="AW101" s="173">
        <f t="shared" ref="AW101:BS101" si="74">IF(AW100&gt;1,AW100-1,0)</f>
        <v>5.7673043478260873</v>
      </c>
      <c r="AX101" s="173">
        <f t="shared" si="74"/>
        <v>5.7144347826086959</v>
      </c>
      <c r="AY101" s="173">
        <f t="shared" si="74"/>
        <v>5.6880000000000006</v>
      </c>
      <c r="AZ101" s="173">
        <f t="shared" si="74"/>
        <v>5.6615652173913045</v>
      </c>
      <c r="BA101" s="173">
        <f t="shared" si="74"/>
        <v>5.6351304347826092</v>
      </c>
      <c r="BB101" s="173">
        <f t="shared" si="74"/>
        <v>5.608695652173914</v>
      </c>
      <c r="BC101" s="173">
        <f t="shared" si="74"/>
        <v>5.5822608695652169</v>
      </c>
      <c r="BD101" s="173">
        <f t="shared" si="74"/>
        <v>5.5293913043478264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4.7363478260869565</v>
      </c>
      <c r="BP101" s="173">
        <f t="shared" si="74"/>
        <v>4.7363478260869565</v>
      </c>
      <c r="BQ101" s="173">
        <f t="shared" si="74"/>
        <v>5.8201739130434786</v>
      </c>
      <c r="BR101" s="173">
        <f t="shared" si="74"/>
        <v>5.8201739130434786</v>
      </c>
      <c r="BS101" s="173">
        <f t="shared" si="74"/>
        <v>5.8201739130434786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1481.35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52.18530434782609</v>
      </c>
      <c r="AW102" s="62">
        <f t="shared" ref="AW102:BS102" si="77">AW86+AW87*AW101</f>
        <v>52.092782608695657</v>
      </c>
      <c r="AX102" s="62">
        <f t="shared" si="77"/>
        <v>52.000260869565217</v>
      </c>
      <c r="AY102" s="62">
        <f t="shared" si="77"/>
        <v>51.954000000000001</v>
      </c>
      <c r="AZ102" s="62">
        <f t="shared" si="77"/>
        <v>51.907739130434784</v>
      </c>
      <c r="BA102" s="62">
        <f t="shared" si="77"/>
        <v>51.861478260869568</v>
      </c>
      <c r="BB102" s="62">
        <f t="shared" si="77"/>
        <v>51.815217391304351</v>
      </c>
      <c r="BC102" s="62">
        <f t="shared" si="77"/>
        <v>51.768956521739128</v>
      </c>
      <c r="BD102" s="62">
        <f t="shared" si="77"/>
        <v>51.676434782608695</v>
      </c>
      <c r="BE102" s="62">
        <f t="shared" si="77"/>
        <v>51.583913043478262</v>
      </c>
      <c r="BF102" s="62">
        <f t="shared" si="77"/>
        <v>51.583913043478262</v>
      </c>
      <c r="BG102" s="62">
        <f t="shared" si="77"/>
        <v>42.655565217391306</v>
      </c>
      <c r="BH102" s="62">
        <f t="shared" si="77"/>
        <v>42.655565217391306</v>
      </c>
      <c r="BI102" s="62">
        <f t="shared" si="77"/>
        <v>42.655565217391306</v>
      </c>
      <c r="BJ102" s="62">
        <f t="shared" si="77"/>
        <v>42.655565217391306</v>
      </c>
      <c r="BK102" s="62">
        <f t="shared" si="77"/>
        <v>42.655565217391306</v>
      </c>
      <c r="BL102" s="62">
        <f t="shared" si="77"/>
        <v>42.655565217391306</v>
      </c>
      <c r="BM102" s="62">
        <f t="shared" si="77"/>
        <v>42.655565217391306</v>
      </c>
      <c r="BN102" s="62">
        <f t="shared" si="77"/>
        <v>51.583913043478262</v>
      </c>
      <c r="BO102" s="62">
        <f t="shared" si="77"/>
        <v>50.288608695652172</v>
      </c>
      <c r="BP102" s="62">
        <f t="shared" si="77"/>
        <v>50.288608695652172</v>
      </c>
      <c r="BQ102" s="62">
        <f t="shared" si="77"/>
        <v>52.18530434782609</v>
      </c>
      <c r="BR102" s="62">
        <f t="shared" si="77"/>
        <v>52.18530434782609</v>
      </c>
      <c r="BS102" s="62">
        <f t="shared" si="77"/>
        <v>52.18530434782609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5.25</v>
      </c>
      <c r="AW107" s="190">
        <f>IF(AW61&gt;0,HLOOKUP(AW61,[1]Trav!$C$11:$O$31,$AU$105),0)</f>
        <v>5.25</v>
      </c>
      <c r="AX107" s="190">
        <f>IF(AX61&gt;0,HLOOKUP(AX61,[1]Trav!$C$11:$O$31,$AU$105),0)</f>
        <v>5.25</v>
      </c>
      <c r="AY107" s="190">
        <f>IF(AY61&gt;0,HLOOKUP(AY61,[1]Trav!$C$11:$O$31,$AU$105),0)</f>
        <v>5.25</v>
      </c>
      <c r="AZ107" s="190">
        <f>IF(AZ61&gt;0,HLOOKUP(AZ61,[1]Trav!$C$11:$O$31,$AU$105),0)</f>
        <v>7</v>
      </c>
      <c r="BA107" s="190">
        <f>IF(BA61&gt;0,HLOOKUP(BA61,[1]Trav!$C$11:$O$31,$AU$105),0)</f>
        <v>7</v>
      </c>
      <c r="BB107" s="190">
        <f>IF(BB61&gt;0,HLOOKUP(BB61,[1]Trav!$C$11:$O$31,$AU$105),0)</f>
        <v>7</v>
      </c>
      <c r="BC107" s="190">
        <f>IF(BC61&gt;0,HLOOKUP(BC61,[1]Trav!$C$11:$O$31,$AU$105),0)</f>
        <v>7</v>
      </c>
      <c r="BD107" s="190">
        <f>IF(BD61&gt;0,HLOOKUP(BD61,[1]Trav!$C$11:$O$31,$AU$105),0)</f>
        <v>7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7</v>
      </c>
      <c r="BP107" s="190">
        <f>IF(BP61&gt;0,HLOOKUP(BP61,[1]Trav!$C$11:$O$31,$AU$105),0)</f>
        <v>7</v>
      </c>
      <c r="BQ107" s="190">
        <f>IF(BQ61&gt;0,HLOOKUP(BQ61,[1]Trav!$C$11:$O$31,$AU$105),0)</f>
        <v>7</v>
      </c>
      <c r="BR107" s="190">
        <f>IF(BR61&gt;0,HLOOKUP(BR61,[1]Trav!$C$11:$O$31,$AU$105),0)</f>
        <v>5.25</v>
      </c>
      <c r="BS107" s="190">
        <f>IF(BS61&gt;0,HLOOKUP(BS61,[1]Trav!$C$11:$O$31,$AU$105),0)</f>
        <v>5.25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360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0</v>
      </c>
      <c r="BF108" s="190">
        <f>IF(BF62&gt;0,HLOOKUP(BF62,[1]Trav!$C$11:$O$31,$AU$105),0)</f>
        <v>0</v>
      </c>
      <c r="BG108" s="190">
        <f>IF(BG62&gt;0,HLOOKUP(BG62,[1]Trav!$C$11:$O$31,$AU$105),0)</f>
        <v>0</v>
      </c>
      <c r="BH108" s="190">
        <f>IF(BH62&gt;0,HLOOKUP(BH62,[1]Trav!$C$11:$O$31,$AU$105),0)</f>
        <v>0</v>
      </c>
      <c r="BI108" s="190">
        <f>IF(BI62&gt;0,HLOOKUP(BI62,[1]Trav!$C$11:$O$31,$AU$105),0)</f>
        <v>0</v>
      </c>
      <c r="BJ108" s="190">
        <f>IF(BJ62&gt;0,HLOOKUP(BJ62,[1]Trav!$C$11:$O$31,$AU$105),0)</f>
        <v>0</v>
      </c>
      <c r="BK108" s="190">
        <f>IF(BK62&gt;0,HLOOKUP(BK62,[1]Trav!$C$11:$O$31,$AU$105),0)</f>
        <v>0</v>
      </c>
      <c r="BL108" s="190">
        <f>IF(BL62&gt;0,HLOOKUP(BL62,[1]Trav!$C$11:$O$31,$AU$105),0)</f>
        <v>0</v>
      </c>
      <c r="BM108" s="190">
        <f>IF(BM62&gt;0,HLOOKUP(BM62,[1]Trav!$C$11:$O$31,$AU$105),0)</f>
        <v>0</v>
      </c>
      <c r="BN108" s="190">
        <f>IF(BN62&gt;0,HLOOKUP(BN62,[1]Trav!$C$11:$O$31,$AU$105),0)</f>
        <v>0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120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120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23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6.2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168.00000000000003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5.25</v>
      </c>
      <c r="AW117" s="173">
        <f t="shared" ref="AW117:BS117" si="83">SUM(AW106:AW115)</f>
        <v>5.25</v>
      </c>
      <c r="AX117" s="173">
        <f t="shared" si="83"/>
        <v>5.25</v>
      </c>
      <c r="AY117" s="173">
        <f t="shared" si="83"/>
        <v>19.25</v>
      </c>
      <c r="AZ117" s="173">
        <f t="shared" si="83"/>
        <v>21</v>
      </c>
      <c r="BA117" s="173">
        <f t="shared" si="83"/>
        <v>21</v>
      </c>
      <c r="BB117" s="173">
        <f t="shared" si="83"/>
        <v>21</v>
      </c>
      <c r="BC117" s="173">
        <f t="shared" si="83"/>
        <v>21</v>
      </c>
      <c r="BD117" s="173">
        <f t="shared" si="83"/>
        <v>21</v>
      </c>
      <c r="BE117" s="173">
        <f t="shared" si="83"/>
        <v>14</v>
      </c>
      <c r="BF117" s="173">
        <f t="shared" si="83"/>
        <v>14</v>
      </c>
      <c r="BG117" s="173">
        <f t="shared" si="83"/>
        <v>0</v>
      </c>
      <c r="BH117" s="173">
        <f t="shared" si="83"/>
        <v>0</v>
      </c>
      <c r="BI117" s="173">
        <f t="shared" si="83"/>
        <v>0</v>
      </c>
      <c r="BJ117" s="173">
        <f t="shared" si="83"/>
        <v>0</v>
      </c>
      <c r="BK117" s="173">
        <f t="shared" si="83"/>
        <v>0</v>
      </c>
      <c r="BL117" s="173">
        <f t="shared" si="83"/>
        <v>0</v>
      </c>
      <c r="BM117" s="173">
        <f t="shared" si="83"/>
        <v>0</v>
      </c>
      <c r="BN117" s="173">
        <f t="shared" si="83"/>
        <v>14</v>
      </c>
      <c r="BO117" s="173">
        <f t="shared" si="83"/>
        <v>21</v>
      </c>
      <c r="BP117" s="173">
        <f t="shared" si="83"/>
        <v>7</v>
      </c>
      <c r="BQ117" s="173">
        <f t="shared" si="83"/>
        <v>7</v>
      </c>
      <c r="BR117" s="173">
        <f t="shared" si="83"/>
        <v>5.25</v>
      </c>
      <c r="BS117" s="173">
        <f t="shared" si="83"/>
        <v>5.25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2953.386</v>
      </c>
      <c r="D118" s="202">
        <f>B118/Troupeau!$B$17</f>
        <v>9.7150855263157894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763.05</v>
      </c>
      <c r="D119" s="202">
        <f>IF(B119=0,0,B119/Troupeau!$C$17)</f>
        <v>40.160526315789468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3716.4359999999997</v>
      </c>
    </row>
    <row r="123" spans="1:132" x14ac:dyDescent="0.25">
      <c r="A123" s="2" t="s">
        <v>856</v>
      </c>
      <c r="B123" s="30">
        <f>B108</f>
        <v>360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144.5</v>
      </c>
    </row>
    <row r="126" spans="1:132" x14ac:dyDescent="0.25">
      <c r="A126" s="2" t="s">
        <v>872</v>
      </c>
      <c r="B126" s="30">
        <f>B114+B115+B116</f>
        <v>197.20000000000002</v>
      </c>
    </row>
    <row r="128" spans="1:132" x14ac:dyDescent="0.25">
      <c r="A128" s="2" t="s">
        <v>873</v>
      </c>
      <c r="B128" s="201">
        <f>SUM(B122:B126)</f>
        <v>5018.1359999999995</v>
      </c>
    </row>
    <row r="129" spans="1:2" x14ac:dyDescent="0.25">
      <c r="A129" s="2" t="s">
        <v>874</v>
      </c>
      <c r="B129" s="30">
        <f>IF(Scénario!K129=1,Travail!F77+Travail!F86,F86)</f>
        <v>445.5</v>
      </c>
    </row>
    <row r="130" spans="1:2" x14ac:dyDescent="0.25">
      <c r="A130" s="2" t="s">
        <v>875</v>
      </c>
      <c r="B130" s="201">
        <f>ROUND((B128-B129)/(Scénario!K4+Scénario!K6),0)</f>
        <v>3048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40280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42858</v>
      </c>
      <c r="K5" s="173">
        <f>ROUND(B5*F5/1000,0)</f>
        <v>42858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40280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139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11100</v>
      </c>
      <c r="K9" s="173">
        <f>ROUND(B9*F9,0)</f>
        <v>5414</v>
      </c>
      <c r="L9" s="173">
        <f t="shared" ref="L9:M16" si="5">ROUND(C9*G9,0)</f>
        <v>5686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70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4470</v>
      </c>
      <c r="K10" s="173">
        <f t="shared" ref="K10:K16" si="7">ROUND(B10*F10,0)</f>
        <v>2727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39</v>
      </c>
      <c r="U11" s="173">
        <f>Troupeau!C37</f>
        <v>4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39</v>
      </c>
      <c r="C13" s="173">
        <f>U11-C14</f>
        <v>4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5146</v>
      </c>
      <c r="K13" s="173">
        <f t="shared" si="7"/>
        <v>1034</v>
      </c>
      <c r="L13" s="173">
        <f t="shared" si="5"/>
        <v>4112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-1750</v>
      </c>
      <c r="K16" s="173">
        <f t="shared" si="7"/>
        <v>-1750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-9.8000000000000007</v>
      </c>
      <c r="S16" s="5">
        <f>IF(R16&gt;0,R16,0)</f>
        <v>0</v>
      </c>
      <c r="T16" s="5">
        <f>IF(R16&lt;0,-R16,0)</f>
        <v>9.8000000000000007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-9.8000000000000007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0.59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117.44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117.44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117.44</v>
      </c>
      <c r="C42" s="215">
        <f>[1]Eco!$B$24</f>
        <v>97</v>
      </c>
      <c r="J42" s="173">
        <f>B42*C42</f>
        <v>11391.68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117.44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7868.48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81.78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5489.6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117.44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23.149999999999995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23.149999999999995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115712.96000000001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55.131999999999998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55.131999999999998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48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70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174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81.78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9.8000000000000007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1960.0000000000002</v>
      </c>
      <c r="K82" s="173">
        <f>$C82*D82</f>
        <v>1960.0000000000002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9.8000000000000007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15.9</v>
      </c>
      <c r="E92" s="173">
        <f t="shared" si="33"/>
        <v>0</v>
      </c>
      <c r="F92" s="173">
        <f t="shared" si="33"/>
        <v>0</v>
      </c>
      <c r="J92" s="173">
        <f t="shared" si="36"/>
        <v>6614.4000000000005</v>
      </c>
      <c r="K92" s="173">
        <f t="shared" si="37"/>
        <v>6614.4000000000005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2.9</v>
      </c>
      <c r="E94" s="173">
        <f t="shared" si="33"/>
        <v>0</v>
      </c>
      <c r="F94" s="173">
        <f t="shared" si="33"/>
        <v>0</v>
      </c>
      <c r="J94" s="173">
        <f t="shared" si="36"/>
        <v>893.19999999999993</v>
      </c>
      <c r="K94" s="173">
        <f t="shared" si="37"/>
        <v>893.19999999999993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7.3</v>
      </c>
      <c r="E95" s="173">
        <f t="shared" si="33"/>
        <v>0</v>
      </c>
      <c r="F95" s="173">
        <f t="shared" si="33"/>
        <v>0</v>
      </c>
      <c r="J95" s="173">
        <f t="shared" si="36"/>
        <v>1971</v>
      </c>
      <c r="K95" s="173">
        <f t="shared" si="37"/>
        <v>1971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5.5</v>
      </c>
      <c r="F96" s="173">
        <f t="shared" si="33"/>
        <v>0</v>
      </c>
      <c r="J96" s="173">
        <f t="shared" si="36"/>
        <v>1567.5</v>
      </c>
      <c r="K96" s="173">
        <f t="shared" si="37"/>
        <v>0</v>
      </c>
      <c r="L96" s="173">
        <f t="shared" si="34"/>
        <v>1567.5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2.2999999999999998</v>
      </c>
      <c r="F97" s="173">
        <f t="shared" si="33"/>
        <v>0</v>
      </c>
      <c r="J97" s="173">
        <f t="shared" si="36"/>
        <v>972.9</v>
      </c>
      <c r="K97" s="173">
        <f t="shared" si="37"/>
        <v>0</v>
      </c>
      <c r="L97" s="173">
        <f t="shared" si="34"/>
        <v>972.9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15.9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2.9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7.3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5.5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2.2999999999999998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4541</v>
      </c>
      <c r="K110" s="177">
        <f t="shared" ref="K110:K115" si="55">ROUND(T132*U132,0)</f>
        <v>2432</v>
      </c>
      <c r="L110" s="177">
        <f>ROUND(V132*W132,0)</f>
        <v>2109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11438.600000000002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8625</v>
      </c>
      <c r="K111" s="177">
        <f t="shared" si="55"/>
        <v>5718</v>
      </c>
      <c r="L111" s="177">
        <f>ROUND(V133*W133,0)</f>
        <v>2907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2540.4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1292</v>
      </c>
      <c r="K113" s="177">
        <f t="shared" si="55"/>
        <v>912</v>
      </c>
      <c r="L113" s="177">
        <f>ROUND(V135*W135,0)</f>
        <v>380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646</v>
      </c>
      <c r="K114" s="177">
        <f t="shared" si="55"/>
        <v>608</v>
      </c>
      <c r="L114" s="177">
        <f>ROUND(U136*V136,0)</f>
        <v>38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21108.600000000002</v>
      </c>
      <c r="L116" s="62">
        <f t="shared" ref="L116:M116" si="57">SUM(L110:L115)+SUM(L82:L106)</f>
        <v>7974.4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28.234999999999985</v>
      </c>
      <c r="C118" s="190">
        <f>IF(Scénario!$K$12="BV",[1]Eco!$B$78,IF(Scénario!$K$12="BL",[1]Eco!$B$77,[1]Eco!$B$76))</f>
        <v>223</v>
      </c>
      <c r="J118" s="173">
        <f>B118*C118</f>
        <v>6296.404999999997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50.375500000000002</v>
      </c>
      <c r="C119" s="190">
        <f>[1]Eco!$B$79</f>
        <v>80</v>
      </c>
      <c r="J119" s="173">
        <f>B119*C119</f>
        <v>4030.04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4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40.28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4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45.96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139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1345.5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70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3.8</v>
      </c>
      <c r="D132" s="190">
        <f>HLOOKUP(Troupeau!$J$17,[1]Anx!$D$170:$CN$186,'Calcul éco'!O132)</f>
        <v>27</v>
      </c>
      <c r="E132" s="236"/>
      <c r="F132" s="236"/>
      <c r="G132" s="18"/>
      <c r="J132" s="173">
        <f>D132*C132</f>
        <v>102.6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10.199999999999999</v>
      </c>
      <c r="D133" s="190">
        <f>HLOOKUP(Troupeau!$J$17,[1]Anx!$D$170:$CN$186,'Calcul éco'!O133)</f>
        <v>46.62</v>
      </c>
      <c r="E133" s="236"/>
      <c r="F133" s="236"/>
      <c r="G133" s="18"/>
      <c r="J133" s="173">
        <f t="shared" ref="J133:J138" si="61">D133*C133</f>
        <v>475.52399999999994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18.809999999999999</v>
      </c>
      <c r="V133" s="171">
        <f>$U$127</f>
        <v>19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8.5</v>
      </c>
      <c r="D134" s="190">
        <f>HLOOKUP(Troupeau!$J$17,[1]Anx!$D$170:$CN$186,'Calcul éco'!O134)</f>
        <v>50.13</v>
      </c>
      <c r="E134" s="236"/>
      <c r="F134" s="236"/>
      <c r="G134" s="18"/>
      <c r="J134" s="173">
        <f t="shared" si="61"/>
        <v>426.10500000000002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88.92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2</v>
      </c>
      <c r="V136" s="171">
        <f>$U$127</f>
        <v>19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112.68</v>
      </c>
      <c r="E137" s="5"/>
      <c r="F137" s="5"/>
      <c r="G137" s="18"/>
      <c r="J137" s="173">
        <f t="shared" si="61"/>
        <v>563.40000000000009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69</v>
      </c>
      <c r="U137" s="190">
        <f>HLOOKUP($T$123,[1]Anx!$D$170:$CN$1177,$AB137)</f>
        <v>0</v>
      </c>
      <c r="V137" s="171">
        <f>Troupeau!C22</f>
        <v>4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175.5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39</v>
      </c>
      <c r="AG138" s="30">
        <f>C13</f>
        <v>4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2800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4521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531.22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46493.294000000002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4595.5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28.5</v>
      </c>
      <c r="C149" s="190">
        <f>HLOOKUP(Troupeau!J$17,[1]Anx!$A$170:$CN$220,'Calcul éco'!O149)</f>
        <v>86.5</v>
      </c>
      <c r="D149" s="5"/>
      <c r="G149" s="171"/>
      <c r="J149" s="173">
        <f t="shared" ref="J149:J154" si="67">B149*C149</f>
        <v>2465.25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23.7</v>
      </c>
      <c r="X153" t="s">
        <v>52</v>
      </c>
      <c r="Y153" s="173">
        <f>W153-Scénario!K28</f>
        <v>0.19999999999999929</v>
      </c>
      <c r="Z153" s="173">
        <f>Y153-Y156</f>
        <v>0.17999999999999935</v>
      </c>
    </row>
    <row r="154" spans="1:39" x14ac:dyDescent="0.25">
      <c r="A154" t="s">
        <v>1076</v>
      </c>
      <c r="B154" s="173">
        <f>Scénario!K48</f>
        <v>28.5</v>
      </c>
      <c r="C154" s="190">
        <f>HLOOKUP(Troupeau!J$17,[1]Anx!$A$170:$CN$220,'Calcul éco'!O154)</f>
        <v>290.7</v>
      </c>
      <c r="D154" s="5"/>
      <c r="G154" s="171"/>
      <c r="J154" s="173">
        <f t="shared" si="67"/>
        <v>8284.9499999999989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13.5</v>
      </c>
      <c r="X154" t="s">
        <v>52</v>
      </c>
      <c r="Y154" s="173">
        <f>W154-Scénario!K29</f>
        <v>-2.5</v>
      </c>
      <c r="Z154" s="173">
        <f>Y154</f>
        <v>-2.5</v>
      </c>
    </row>
    <row r="155" spans="1:39" x14ac:dyDescent="0.25">
      <c r="A155" s="17" t="s">
        <v>1078</v>
      </c>
      <c r="B155" s="239">
        <f>B154</f>
        <v>28.5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1710</v>
      </c>
      <c r="O155" s="234">
        <v>25</v>
      </c>
      <c r="V155" s="14" t="s">
        <v>1079</v>
      </c>
      <c r="W155" s="173">
        <f>W$228</f>
        <v>6</v>
      </c>
      <c r="X155" t="s">
        <v>52</v>
      </c>
      <c r="Y155" s="173">
        <f>W155-Scénario!K30</f>
        <v>6</v>
      </c>
      <c r="Z155" s="173">
        <f t="shared" ref="Z155:Z156" si="68">Y155</f>
        <v>6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1.9999999999999928E-2</v>
      </c>
      <c r="Z156" s="173">
        <f t="shared" si="68"/>
        <v>1.9999999999999928E-2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0.17999999999999935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6.5159999999999769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-2.5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-75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6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180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1.9999999999999928E-2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3.107999999999989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1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1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2.5</v>
      </c>
      <c r="T165" s="173">
        <f>VLOOKUP(R165,[1]MEP!$A$4:$M$300,13)</f>
        <v>2</v>
      </c>
      <c r="U165" s="173">
        <f t="shared" ref="U165:U207" si="72">IF($T165&gt;0,$S165,0)</f>
        <v>2.5</v>
      </c>
      <c r="V165" s="173">
        <f t="shared" ref="V165:V207" si="73">IF($T165&gt;1,$S165,0)</f>
        <v>2.5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2.5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2.5</v>
      </c>
      <c r="AN165" s="32" t="s">
        <v>659</v>
      </c>
      <c r="AO165" s="173">
        <f>SUM(AD164:AD183)</f>
        <v>18.2</v>
      </c>
    </row>
    <row r="166" spans="1:41" x14ac:dyDescent="0.25">
      <c r="A166" s="5" t="s">
        <v>1423</v>
      </c>
      <c r="B166" s="30">
        <f>T246*[1]Eco!$B$108*[1]Eco!$B$109</f>
        <v>168.00000000000003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1785.8400000000004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3.7</v>
      </c>
      <c r="T166" s="173">
        <f>VLOOKUP(R166,[1]MEP!$A$4:$M$300,13)</f>
        <v>1</v>
      </c>
      <c r="U166" s="173">
        <f t="shared" si="72"/>
        <v>3.7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3.7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3.7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282.2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2999.7860000000001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72"/>
        <v>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297</v>
      </c>
      <c r="S168" s="173">
        <f>Alim_Surf!R11</f>
        <v>0</v>
      </c>
      <c r="T168" s="173">
        <f>VLOOKUP(R168,[1]MEP!$A$4:$M$300,13)</f>
        <v>2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298</v>
      </c>
      <c r="S169" s="173">
        <f>Alim_Surf!R12</f>
        <v>6</v>
      </c>
      <c r="T169" s="173">
        <f>VLOOKUP(R169,[1]MEP!$A$4:$M$300,13)</f>
        <v>3</v>
      </c>
      <c r="U169" s="173">
        <f t="shared" si="72"/>
        <v>6</v>
      </c>
      <c r="V169" s="173">
        <f t="shared" si="73"/>
        <v>6</v>
      </c>
      <c r="W169" s="173">
        <f t="shared" si="74"/>
        <v>6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6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6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34764.449999999997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34455.216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22970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11400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2175.8385855382489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20879.377414461753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13920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2.8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2.8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72"/>
        <v>1.5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1.5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1.5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27.5</v>
      </c>
      <c r="U228" s="62">
        <f>SUM(U164:U227)</f>
        <v>23.7</v>
      </c>
      <c r="V228" s="62">
        <f t="shared" ref="V228:W228" si="84">SUM(V164:V227)</f>
        <v>13.5</v>
      </c>
      <c r="W228" s="62">
        <f t="shared" si="84"/>
        <v>6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22.5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3.8</v>
      </c>
      <c r="AI228" s="62">
        <f t="shared" si="86"/>
        <v>10.199999999999999</v>
      </c>
      <c r="AJ228" s="62">
        <f t="shared" si="86"/>
        <v>8.5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5458</v>
      </c>
      <c r="U234" t="s">
        <v>1101</v>
      </c>
      <c r="V234" s="173"/>
      <c r="W234" s="173">
        <f>[1]Protect!$B$4</f>
        <v>6</v>
      </c>
      <c r="X234" s="173">
        <f>T234*W234</f>
        <v>32748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0.2</v>
      </c>
      <c r="W235" s="173">
        <f>[1]Protect!$B$83</f>
        <v>2000</v>
      </c>
      <c r="X235" s="173">
        <f t="shared" ref="X235:X236" si="87">T235*W235</f>
        <v>400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33148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17648</v>
      </c>
      <c r="AB237" s="30">
        <f>(Scénario!K127/100)*AA237</f>
        <v>0</v>
      </c>
      <c r="AC237" s="30">
        <f>AA237-AB237</f>
        <v>17648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2175.8385855382489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5</v>
      </c>
      <c r="X245" s="173">
        <f>ROUND((([1]Protect!$B$5/[1]Protect!$B$11)+[1]Protect!$B$8)*T245,0)</f>
        <v>4521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0.70000000000000007</v>
      </c>
      <c r="W246" s="173">
        <f>[1]Eco!$B$106*[1]Eco!$B$108*[1]Eco!$B$109</f>
        <v>2551.2000000000003</v>
      </c>
      <c r="X246" s="173">
        <f>T246*W246</f>
        <v>1785.8400000000004</v>
      </c>
    </row>
    <row r="247" spans="17:31" x14ac:dyDescent="0.25">
      <c r="S247" s="14" t="s">
        <v>1116</v>
      </c>
      <c r="T247" s="30">
        <f>Travail!F16/8</f>
        <v>19.600000000000001</v>
      </c>
      <c r="W247" s="173">
        <f>[1]Eco!$B$111</f>
        <v>28.3</v>
      </c>
      <c r="X247" s="173">
        <f>T247*W247</f>
        <v>554.68000000000006</v>
      </c>
    </row>
    <row r="248" spans="17:31" x14ac:dyDescent="0.25">
      <c r="W248" s="14" t="s">
        <v>1117</v>
      </c>
      <c r="X248" s="173">
        <f>SUM(X245:X247)</f>
        <v>6861.52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6862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1200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3">
        <f>IF(T258=0,0,[1]Protect!$B78)</f>
        <v>20000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5489.6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5489.6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5489.6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81.87</v>
      </c>
      <c r="U272" s="173"/>
      <c r="V272" s="173"/>
      <c r="W272" s="173">
        <f>W234</f>
        <v>6</v>
      </c>
      <c r="X272" s="173">
        <f>T272*W272</f>
        <v>491.22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0.4</v>
      </c>
      <c r="U274" s="173"/>
      <c r="V274" s="173"/>
      <c r="W274" s="173">
        <f>W271</f>
        <v>100</v>
      </c>
      <c r="X274" s="173">
        <f>T274*W274</f>
        <v>40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Z1_OLBV_T3PT_SC1s2</v>
      </c>
      <c r="D1" s="275" t="str">
        <f>CONCATENATE(C1,"_corr")</f>
        <v>Z1_OLBV_T3PT_SC1s2_corr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5</v>
      </c>
      <c r="D25" s="177">
        <f t="shared" si="0"/>
        <v>5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4</v>
      </c>
      <c r="D31" s="177">
        <f t="shared" si="0"/>
        <v>4</v>
      </c>
    </row>
    <row r="32" spans="2:5" x14ac:dyDescent="0.25">
      <c r="B32" s="14" t="s">
        <v>584</v>
      </c>
      <c r="C32" s="177">
        <f>Scénario!K62</f>
        <v>12</v>
      </c>
      <c r="D32" s="177">
        <f t="shared" si="0"/>
        <v>12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48</v>
      </c>
      <c r="D39" s="177">
        <f t="shared" si="0"/>
        <v>48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48</v>
      </c>
      <c r="D41" s="177">
        <f t="shared" si="0"/>
        <v>48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2</v>
      </c>
      <c r="D51" s="177">
        <f t="shared" si="0"/>
        <v>2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1</v>
      </c>
      <c r="D59" s="177">
        <f t="shared" si="0"/>
        <v>1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18.2</v>
      </c>
      <c r="D78" s="258">
        <f t="shared" si="3"/>
        <v>17.474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23.7</v>
      </c>
      <c r="D85" s="261">
        <f>ROUND(C85*$D$82/$C$82,3)</f>
        <v>22.754000000000001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13.5</v>
      </c>
      <c r="D86" s="261">
        <f t="shared" ref="D86:D97" si="14">ROUND(C86*$D$82/$C$82,3)</f>
        <v>12.961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6</v>
      </c>
      <c r="D87" s="261">
        <f t="shared" si="14"/>
        <v>5.7610000000000001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2.37</v>
      </c>
      <c r="D88" s="261">
        <f t="shared" si="14"/>
        <v>2.2749999999999999</v>
      </c>
      <c r="AT88" s="189" t="str">
        <f>CdTrp1!A16</f>
        <v>vides</v>
      </c>
      <c r="AU88" s="192" t="str">
        <f>Scénario!K97</f>
        <v>faible</v>
      </c>
      <c r="AV88" s="173">
        <f t="shared" si="15"/>
        <v>1</v>
      </c>
      <c r="AW88" s="173">
        <f t="shared" si="15"/>
        <v>1</v>
      </c>
      <c r="AX88" s="173">
        <f t="shared" si="15"/>
        <v>1</v>
      </c>
      <c r="AY88" s="173">
        <f t="shared" si="15"/>
        <v>1</v>
      </c>
      <c r="AZ88" s="173">
        <f t="shared" si="15"/>
        <v>1</v>
      </c>
      <c r="BA88" s="173">
        <f t="shared" si="15"/>
        <v>1</v>
      </c>
      <c r="BB88" s="173">
        <f t="shared" si="15"/>
        <v>1</v>
      </c>
      <c r="BC88" s="173">
        <f t="shared" si="15"/>
        <v>1</v>
      </c>
      <c r="BD88" s="173">
        <f t="shared" si="15"/>
        <v>1</v>
      </c>
      <c r="BE88" s="173">
        <f t="shared" si="15"/>
        <v>1</v>
      </c>
      <c r="BF88" s="173">
        <f t="shared" si="15"/>
        <v>1</v>
      </c>
      <c r="BG88" s="173">
        <f t="shared" si="15"/>
        <v>1</v>
      </c>
      <c r="BH88" s="173">
        <f t="shared" si="15"/>
        <v>1</v>
      </c>
      <c r="BI88" s="173">
        <f t="shared" si="15"/>
        <v>1</v>
      </c>
      <c r="BJ88" s="173">
        <f t="shared" si="15"/>
        <v>1</v>
      </c>
      <c r="BK88" s="173">
        <f t="shared" si="15"/>
        <v>1</v>
      </c>
      <c r="BL88" s="173">
        <f t="shared" si="16"/>
        <v>1</v>
      </c>
      <c r="BM88" s="173">
        <f t="shared" si="16"/>
        <v>1</v>
      </c>
      <c r="BN88" s="173">
        <f t="shared" si="16"/>
        <v>1</v>
      </c>
      <c r="BO88" s="173">
        <f t="shared" si="16"/>
        <v>1</v>
      </c>
      <c r="BP88" s="173">
        <f t="shared" si="16"/>
        <v>1</v>
      </c>
      <c r="BQ88" s="173">
        <f t="shared" si="16"/>
        <v>1</v>
      </c>
      <c r="BR88" s="173">
        <f t="shared" si="16"/>
        <v>1</v>
      </c>
      <c r="BS88" s="173">
        <f t="shared" si="16"/>
        <v>1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faible</v>
      </c>
      <c r="AV90" s="173">
        <f t="shared" si="15"/>
        <v>1</v>
      </c>
      <c r="AW90" s="173">
        <f t="shared" si="15"/>
        <v>1</v>
      </c>
      <c r="AX90" s="173">
        <f t="shared" si="15"/>
        <v>1</v>
      </c>
      <c r="AY90" s="173">
        <f t="shared" si="15"/>
        <v>1</v>
      </c>
      <c r="AZ90" s="173">
        <f t="shared" si="15"/>
        <v>1</v>
      </c>
      <c r="BA90" s="173">
        <f t="shared" si="15"/>
        <v>1</v>
      </c>
      <c r="BB90" s="173">
        <f t="shared" si="15"/>
        <v>1</v>
      </c>
      <c r="BC90" s="173">
        <f t="shared" si="15"/>
        <v>1</v>
      </c>
      <c r="BD90" s="173">
        <f t="shared" si="15"/>
        <v>1</v>
      </c>
      <c r="BE90" s="173">
        <f t="shared" si="15"/>
        <v>1</v>
      </c>
      <c r="BF90" s="173">
        <f t="shared" si="15"/>
        <v>1</v>
      </c>
      <c r="BG90" s="173">
        <f t="shared" si="15"/>
        <v>1</v>
      </c>
      <c r="BH90" s="173">
        <f t="shared" si="15"/>
        <v>1</v>
      </c>
      <c r="BI90" s="173">
        <f t="shared" si="15"/>
        <v>1</v>
      </c>
      <c r="BJ90" s="173">
        <f t="shared" si="15"/>
        <v>1</v>
      </c>
      <c r="BK90" s="173">
        <f t="shared" si="15"/>
        <v>1</v>
      </c>
      <c r="BL90" s="173">
        <f t="shared" si="16"/>
        <v>1</v>
      </c>
      <c r="BM90" s="173">
        <f t="shared" si="16"/>
        <v>1</v>
      </c>
      <c r="BN90" s="173">
        <f t="shared" si="16"/>
        <v>1</v>
      </c>
      <c r="BO90" s="173">
        <f t="shared" si="16"/>
        <v>1</v>
      </c>
      <c r="BP90" s="173">
        <f t="shared" si="16"/>
        <v>1</v>
      </c>
      <c r="BQ90" s="173">
        <f t="shared" si="16"/>
        <v>1</v>
      </c>
      <c r="BR90" s="173">
        <f t="shared" si="16"/>
        <v>1</v>
      </c>
      <c r="BS90" s="173">
        <f t="shared" si="16"/>
        <v>1</v>
      </c>
      <c r="BZ90" s="189" t="str">
        <f t="shared" si="17"/>
        <v>lot4</v>
      </c>
      <c r="CA90" s="192">
        <f>Scénario!K109</f>
        <v>0</v>
      </c>
      <c r="CB90" s="173">
        <f t="shared" si="21"/>
        <v>1</v>
      </c>
      <c r="CC90" s="173">
        <f t="shared" si="18"/>
        <v>1</v>
      </c>
      <c r="CD90" s="173">
        <f t="shared" si="18"/>
        <v>1</v>
      </c>
      <c r="CE90" s="173">
        <f t="shared" si="18"/>
        <v>1</v>
      </c>
      <c r="CF90" s="173">
        <f t="shared" si="18"/>
        <v>1</v>
      </c>
      <c r="CG90" s="173">
        <f t="shared" si="18"/>
        <v>1</v>
      </c>
      <c r="CH90" s="173">
        <f t="shared" si="18"/>
        <v>1</v>
      </c>
      <c r="CI90" s="173">
        <f t="shared" si="18"/>
        <v>1</v>
      </c>
      <c r="CJ90" s="173">
        <f t="shared" si="18"/>
        <v>1</v>
      </c>
      <c r="CK90" s="173">
        <f t="shared" si="18"/>
        <v>1</v>
      </c>
      <c r="CL90" s="173">
        <f t="shared" si="18"/>
        <v>1</v>
      </c>
      <c r="CM90" s="173">
        <f t="shared" si="18"/>
        <v>1</v>
      </c>
      <c r="CN90" s="173">
        <f t="shared" si="18"/>
        <v>1</v>
      </c>
      <c r="CO90" s="173">
        <f t="shared" si="18"/>
        <v>1</v>
      </c>
      <c r="CP90" s="173">
        <f t="shared" si="18"/>
        <v>1</v>
      </c>
      <c r="CQ90" s="173">
        <f t="shared" si="18"/>
        <v>1</v>
      </c>
      <c r="CR90" s="173">
        <f t="shared" si="18"/>
        <v>1</v>
      </c>
      <c r="CS90" s="173">
        <f t="shared" si="18"/>
        <v>1</v>
      </c>
      <c r="CT90" s="173">
        <f t="shared" si="18"/>
        <v>1</v>
      </c>
      <c r="CU90" s="173">
        <f t="shared" si="18"/>
        <v>1</v>
      </c>
      <c r="CV90" s="173">
        <f t="shared" si="18"/>
        <v>1</v>
      </c>
      <c r="CW90" s="173">
        <f t="shared" si="18"/>
        <v>1</v>
      </c>
      <c r="CX90" s="173">
        <f t="shared" si="18"/>
        <v>1</v>
      </c>
      <c r="CY90" s="173">
        <f t="shared" si="18"/>
        <v>1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1</v>
      </c>
      <c r="AE95" s="30">
        <f>CdTrp1!Y77</f>
        <v>1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2</v>
      </c>
      <c r="D98" s="173">
        <f>C98</f>
        <v>2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1</v>
      </c>
      <c r="AW99" s="173">
        <f>IF(CdTrp1!C53=1,3,IF(CdTrp1!C53=0.5,2,IF(CdTrp1!C53=0,1,0)))</f>
        <v>1</v>
      </c>
      <c r="AX99" s="173">
        <f>IF(CdTrp1!D53=1,3,IF(CdTrp1!D53=0.5,2,IF(CdTrp1!D53=0,1,0)))</f>
        <v>1</v>
      </c>
      <c r="AY99" s="173">
        <f>IF(CdTrp1!E53=1,3,IF(CdTrp1!E53=0.5,2,IF(CdTrp1!E53=0,1,0)))</f>
        <v>1</v>
      </c>
      <c r="AZ99" s="173">
        <f>IF(CdTrp1!F53=1,3,IF(CdTrp1!F53=0.5,2,IF(CdTrp1!F53=0,1,0)))</f>
        <v>1</v>
      </c>
      <c r="BA99" s="173">
        <f>IF(CdTrp1!G53=1,3,IF(CdTrp1!G53=0.5,2,IF(CdTrp1!G53=0,1,0)))</f>
        <v>1</v>
      </c>
      <c r="BB99" s="173">
        <f>IF(CdTrp1!H53=1,3,IF(CdTrp1!H53=0.5,2,IF(CdTrp1!H53=0,1,0)))</f>
        <v>1</v>
      </c>
      <c r="BC99" s="173">
        <f>IF(CdTrp1!I53=1,3,IF(CdTrp1!I53=0.5,2,IF(CdTrp1!I53=0,1,0)))</f>
        <v>1</v>
      </c>
      <c r="BD99" s="173">
        <f>IF(CdTrp1!J53=1,3,IF(CdTrp1!J53=0.5,2,IF(CdTrp1!J53=0,1,0)))</f>
        <v>1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1</v>
      </c>
      <c r="BP99" s="173">
        <f>IF(CdTrp1!V53=1,3,IF(CdTrp1!V53=0.5,2,IF(CdTrp1!V53=0,1,0)))</f>
        <v>1</v>
      </c>
      <c r="BQ99" s="173">
        <f>IF(CdTrp1!W53=1,3,IF(CdTrp1!W53=0.5,2,IF(CdTrp1!W53=0,1,0)))</f>
        <v>1</v>
      </c>
      <c r="BR99" s="173">
        <f>IF(CdTrp1!X53=1,3,IF(CdTrp1!X53=0.5,2,IF(CdTrp1!X53=0,1,0)))</f>
        <v>1</v>
      </c>
      <c r="BS99" s="173">
        <f>IF(CdTrp1!Y53=1,3,IF(CdTrp1!Y53=0.5,2,IF(CdTrp1!Y53=0,1,0)))</f>
        <v>1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3</v>
      </c>
      <c r="BF100" s="173">
        <f>IF(CdTrp1!L54=1,3,IF(CdTrp1!L54=0.5,2,IF(CdTrp1!L54=0,1,0)))</f>
        <v>3</v>
      </c>
      <c r="BG100" s="173">
        <f>IF(CdTrp1!M54=1,3,IF(CdTrp1!M54=0.5,2,IF(CdTrp1!M54=0,1,0)))</f>
        <v>3</v>
      </c>
      <c r="BH100" s="173">
        <f>IF(CdTrp1!N54=1,3,IF(CdTrp1!N54=0.5,2,IF(CdTrp1!N54=0,1,0)))</f>
        <v>3</v>
      </c>
      <c r="BI100" s="173">
        <f>IF(CdTrp1!O54=1,3,IF(CdTrp1!O54=0.5,2,IF(CdTrp1!O54=0,1,0)))</f>
        <v>3</v>
      </c>
      <c r="BJ100" s="173">
        <f>IF(CdTrp1!P54=1,3,IF(CdTrp1!P54=0.5,2,IF(CdTrp1!P54=0,1,0)))</f>
        <v>3</v>
      </c>
      <c r="BK100" s="173">
        <f>IF(CdTrp1!Q54=1,3,IF(CdTrp1!Q54=0.5,2,IF(CdTrp1!Q54=0,1,0)))</f>
        <v>3</v>
      </c>
      <c r="BL100" s="173">
        <f>IF(CdTrp1!R54=1,3,IF(CdTrp1!R54=0.5,2,IF(CdTrp1!R54=0,1,0)))</f>
        <v>3</v>
      </c>
      <c r="BM100" s="173">
        <f>IF(CdTrp1!S54=1,3,IF(CdTrp1!S54=0.5,2,IF(CdTrp1!S54=0,1,0)))</f>
        <v>3</v>
      </c>
      <c r="BN100" s="173">
        <f>IF(CdTrp1!T54=1,3,IF(CdTrp1!T54=0.5,2,IF(CdTrp1!T54=0,1,0)))</f>
        <v>3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5</v>
      </c>
      <c r="D101" s="173">
        <f t="shared" si="25"/>
        <v>5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15.5</v>
      </c>
      <c r="D106" s="173">
        <f t="shared" si="25"/>
        <v>15.5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42</v>
      </c>
      <c r="D109" s="173">
        <f t="shared" si="25"/>
        <v>42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8</v>
      </c>
      <c r="D110" s="173">
        <f t="shared" si="25"/>
        <v>8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1</v>
      </c>
      <c r="AW110" s="173">
        <f>IF(CdTrp1!C77=1,1,IF(CdTrp1!C77=2,2,IF(CdTrp1!C77=3,2,IF(CdTrp1!C77=4,4,0))))</f>
        <v>1</v>
      </c>
      <c r="AX110" s="173">
        <f>IF(CdTrp1!D77=1,1,IF(CdTrp1!D77=2,2,IF(CdTrp1!D77=3,2,IF(CdTrp1!D77=4,4,0))))</f>
        <v>1</v>
      </c>
      <c r="AY110" s="173">
        <f>IF(CdTrp1!E77=1,1,IF(CdTrp1!E77=2,2,IF(CdTrp1!E77=3,2,IF(CdTrp1!E77=4,4,0))))</f>
        <v>1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1</v>
      </c>
      <c r="BS110" s="173">
        <f>IF(CdTrp1!Y77=1,1,IF(CdTrp1!Y77=2,2,IF(CdTrp1!Y77=3,2,IF(CdTrp1!Y77=4,4,0))))</f>
        <v>1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10.5</v>
      </c>
      <c r="D111" s="173">
        <f t="shared" si="25"/>
        <v>10.5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0</v>
      </c>
      <c r="BF111" s="173">
        <f>IF(CdTrp1!L78=1,1,IF(CdTrp1!L78=2,2,IF(CdTrp1!L78=3,2,IF(CdTrp1!L78=4,4,0))))</f>
        <v>0</v>
      </c>
      <c r="BG111" s="173">
        <f>IF(CdTrp1!M78=1,1,IF(CdTrp1!M78=2,2,IF(CdTrp1!M78=3,2,IF(CdTrp1!M78=4,4,0))))</f>
        <v>0</v>
      </c>
      <c r="BH111" s="173">
        <f>IF(CdTrp1!N78=1,1,IF(CdTrp1!N78=2,2,IF(CdTrp1!N78=3,2,IF(CdTrp1!N78=4,4,0))))</f>
        <v>0</v>
      </c>
      <c r="BI111" s="173">
        <f>IF(CdTrp1!O78=1,1,IF(CdTrp1!O78=2,2,IF(CdTrp1!O78=3,2,IF(CdTrp1!O78=4,4,0))))</f>
        <v>0</v>
      </c>
      <c r="BJ111" s="173">
        <f>IF(CdTrp1!P78=1,1,IF(CdTrp1!P78=2,2,IF(CdTrp1!P78=3,2,IF(CdTrp1!P78=4,4,0))))</f>
        <v>0</v>
      </c>
      <c r="BK111" s="173">
        <f>IF(CdTrp1!Q78=1,1,IF(CdTrp1!Q78=2,2,IF(CdTrp1!Q78=3,2,IF(CdTrp1!Q78=4,4,0))))</f>
        <v>0</v>
      </c>
      <c r="BL111" s="173">
        <f>IF(CdTrp1!R78=1,1,IF(CdTrp1!R78=2,2,IF(CdTrp1!R78=3,2,IF(CdTrp1!R78=4,4,0))))</f>
        <v>0</v>
      </c>
      <c r="BM111" s="173">
        <f>IF(CdTrp1!S78=1,1,IF(CdTrp1!S78=2,2,IF(CdTrp1!S78=3,2,IF(CdTrp1!S78=4,4,0))))</f>
        <v>0</v>
      </c>
      <c r="BN111" s="173">
        <f>IF(CdTrp1!T78=1,1,IF(CdTrp1!T78=2,2,IF(CdTrp1!T78=3,2,IF(CdTrp1!T78=4,4,0))))</f>
        <v>0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0</v>
      </c>
      <c r="D113" s="173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11</v>
      </c>
      <c r="D114" s="173">
        <f t="shared" si="25"/>
        <v>11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</v>
      </c>
      <c r="D116" s="173">
        <f t="shared" si="25"/>
        <v>4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</v>
      </c>
      <c r="D117" s="173">
        <f t="shared" si="25"/>
        <v>1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111</v>
      </c>
      <c r="AW122" s="173">
        <f>IF(AW76=0,0,IF(AW99=3,0,VALUE(CONCATENATE(Travail!AW27,Travail!AW38,Travail!AW49))))</f>
        <v>111</v>
      </c>
      <c r="AX122" s="173">
        <f>IF(AX76=0,0,IF(AX99=3,0,VALUE(CONCATENATE(Travail!AX27,Travail!AX38,Travail!AX49))))</f>
        <v>111</v>
      </c>
      <c r="AY122" s="173">
        <f>IF(AY76=0,0,IF(AY99=3,0,VALUE(CONCATENATE(Travail!AY27,Travail!AY38,Travail!AY49))))</f>
        <v>111</v>
      </c>
      <c r="AZ122" s="173">
        <f>IF(AZ76=0,0,IF(AZ99=3,0,VALUE(CONCATENATE(Travail!AZ27,Travail!AZ38,Travail!AZ49))))</f>
        <v>112</v>
      </c>
      <c r="BA122" s="173">
        <f>IF(BA76=0,0,IF(BA99=3,0,VALUE(CONCATENATE(Travail!BA27,Travail!BA38,Travail!BA49))))</f>
        <v>112</v>
      </c>
      <c r="BB122" s="173">
        <f>IF(BB76=0,0,IF(BB99=3,0,VALUE(CONCATENATE(Travail!BB27,Travail!BB38,Travail!BB49))))</f>
        <v>112</v>
      </c>
      <c r="BC122" s="173">
        <f>IF(BC76=0,0,IF(BC99=3,0,VALUE(CONCATENATE(Travail!BC27,Travail!BC38,Travail!BC49))))</f>
        <v>112</v>
      </c>
      <c r="BD122" s="173">
        <f>IF(BD76=0,0,IF(BD99=3,0,VALUE(CONCATENATE(Travail!BD27,Travail!BD38,Travail!BD49))))</f>
        <v>112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112</v>
      </c>
      <c r="BP122" s="173">
        <f>IF(BP76=0,0,IF(BP99=3,0,VALUE(CONCATENATE(Travail!BP27,Travail!BP38,Travail!BP49))))</f>
        <v>112</v>
      </c>
      <c r="BQ122" s="173">
        <f>IF(BQ76=0,0,IF(BQ99=3,0,VALUE(CONCATENATE(Travail!BQ27,Travail!BQ38,Travail!BQ49))))</f>
        <v>112</v>
      </c>
      <c r="BR122" s="173">
        <f>IF(BR76=0,0,IF(BR99=3,0,VALUE(CONCATENATE(Travail!BR27,Travail!BR38,Travail!BR49))))</f>
        <v>111</v>
      </c>
      <c r="BS122" s="173">
        <f>IF(BS76=0,0,IF(BS99=3,0,VALUE(CONCATENATE(Travail!BS27,Travail!BS38,Travail!BS49))))</f>
        <v>111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4</v>
      </c>
      <c r="D123" s="173">
        <f t="shared" si="25"/>
        <v>4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0</v>
      </c>
      <c r="BF123" s="173">
        <f>IF(BF77=0,0,IF(BF100=3,0,VALUE(CONCATENATE(Travail!BF28,Travail!BF39,Travail!BF50))))</f>
        <v>0</v>
      </c>
      <c r="BG123" s="173">
        <f>IF(BG77=0,0,IF(BG100=3,0,VALUE(CONCATENATE(Travail!BG28,Travail!BG39,Travail!BG50))))</f>
        <v>0</v>
      </c>
      <c r="BH123" s="173">
        <f>IF(BH77=0,0,IF(BH100=3,0,VALUE(CONCATENATE(Travail!BH28,Travail!BH39,Travail!BH50))))</f>
        <v>0</v>
      </c>
      <c r="BI123" s="173">
        <f>IF(BI77=0,0,IF(BI100=3,0,VALUE(CONCATENATE(Travail!BI28,Travail!BI39,Travail!BI50))))</f>
        <v>0</v>
      </c>
      <c r="BJ123" s="173">
        <f>IF(BJ77=0,0,IF(BJ100=3,0,VALUE(CONCATENATE(Travail!BJ28,Travail!BJ39,Travail!BJ50))))</f>
        <v>0</v>
      </c>
      <c r="BK123" s="173">
        <f>IF(BK77=0,0,IF(BK100=3,0,VALUE(CONCATENATE(Travail!BK28,Travail!BK39,Travail!BK50))))</f>
        <v>0</v>
      </c>
      <c r="BL123" s="173">
        <f>IF(BL77=0,0,IF(BL100=3,0,VALUE(CONCATENATE(Travail!BL28,Travail!BL39,Travail!BL50))))</f>
        <v>0</v>
      </c>
      <c r="BM123" s="173">
        <f>IF(BM77=0,0,IF(BM100=3,0,VALUE(CONCATENATE(Travail!BM28,Travail!BM39,Travail!BM50))))</f>
        <v>0</v>
      </c>
      <c r="BN123" s="173">
        <f>IF(BN77=0,0,IF(BN100=3,0,VALUE(CONCATENATE(Travail!BN28,Travail!BN39,Travail!BN50))))</f>
        <v>0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4</v>
      </c>
      <c r="D126" s="173">
        <f t="shared" si="25"/>
        <v>4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4</v>
      </c>
      <c r="D128" s="173">
        <f t="shared" si="25"/>
        <v>4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1</v>
      </c>
      <c r="R129">
        <f t="shared" si="35"/>
        <v>1</v>
      </c>
      <c r="S129">
        <f t="shared" si="35"/>
        <v>1</v>
      </c>
      <c r="T129">
        <f t="shared" si="35"/>
        <v>1</v>
      </c>
      <c r="U129">
        <f t="shared" si="35"/>
        <v>1</v>
      </c>
      <c r="V129">
        <f t="shared" si="35"/>
        <v>1</v>
      </c>
      <c r="W129">
        <f t="shared" si="35"/>
        <v>1</v>
      </c>
      <c r="X129">
        <f t="shared" si="35"/>
        <v>1</v>
      </c>
      <c r="Y129">
        <f t="shared" si="35"/>
        <v>1</v>
      </c>
      <c r="Z129">
        <f t="shared" si="35"/>
        <v>1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2</v>
      </c>
      <c r="K132">
        <f t="shared" si="38"/>
        <v>3</v>
      </c>
      <c r="L132">
        <f t="shared" si="38"/>
        <v>3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5</v>
      </c>
      <c r="Q132">
        <f t="shared" si="38"/>
        <v>4</v>
      </c>
      <c r="R132">
        <f t="shared" si="38"/>
        <v>4</v>
      </c>
      <c r="S132">
        <f t="shared" si="38"/>
        <v>4</v>
      </c>
      <c r="T132">
        <f t="shared" si="38"/>
        <v>4</v>
      </c>
      <c r="U132">
        <f t="shared" si="38"/>
        <v>4</v>
      </c>
      <c r="V132">
        <f t="shared" si="38"/>
        <v>4</v>
      </c>
      <c r="W132">
        <f t="shared" si="38"/>
        <v>4</v>
      </c>
      <c r="X132">
        <f t="shared" si="38"/>
        <v>4</v>
      </c>
      <c r="Y132">
        <f t="shared" si="38"/>
        <v>4</v>
      </c>
      <c r="Z132">
        <f t="shared" si="38"/>
        <v>4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0.66666666666666663</v>
      </c>
      <c r="D133" s="262">
        <f t="shared" si="25"/>
        <v>0.66666666666666663</v>
      </c>
      <c r="AT133" s="189" t="str">
        <f t="shared" ref="AT133:AT141" si="42">AT122</f>
        <v>vides</v>
      </c>
      <c r="AV133" s="173">
        <f t="shared" si="39"/>
        <v>11</v>
      </c>
      <c r="AW133" s="173">
        <f t="shared" si="39"/>
        <v>11</v>
      </c>
      <c r="AX133" s="173">
        <f t="shared" si="39"/>
        <v>11</v>
      </c>
      <c r="AY133" s="173">
        <f t="shared" si="39"/>
        <v>11</v>
      </c>
      <c r="AZ133" s="173">
        <f t="shared" si="39"/>
        <v>11</v>
      </c>
      <c r="BA133" s="173">
        <f t="shared" si="39"/>
        <v>11</v>
      </c>
      <c r="BB133" s="173">
        <f t="shared" si="39"/>
        <v>11</v>
      </c>
      <c r="BC133" s="173">
        <f t="shared" si="39"/>
        <v>11</v>
      </c>
      <c r="BD133" s="173">
        <f t="shared" si="39"/>
        <v>11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11</v>
      </c>
      <c r="BP133" s="173">
        <f t="shared" si="39"/>
        <v>11</v>
      </c>
      <c r="BQ133" s="173">
        <f t="shared" si="39"/>
        <v>11</v>
      </c>
      <c r="BR133" s="173">
        <f t="shared" si="39"/>
        <v>11</v>
      </c>
      <c r="BS133" s="173">
        <f t="shared" si="39"/>
        <v>11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0.46666666666666667</v>
      </c>
      <c r="D134" s="262">
        <f t="shared" si="25"/>
        <v>0.46666666666666667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23</v>
      </c>
      <c r="BF134" s="173">
        <f t="shared" si="39"/>
        <v>23</v>
      </c>
      <c r="BG134" s="173">
        <f t="shared" si="39"/>
        <v>23</v>
      </c>
      <c r="BH134" s="173">
        <f t="shared" si="39"/>
        <v>23</v>
      </c>
      <c r="BI134" s="173">
        <f t="shared" si="39"/>
        <v>23</v>
      </c>
      <c r="BJ134" s="173">
        <f t="shared" si="39"/>
        <v>23</v>
      </c>
      <c r="BK134" s="173">
        <f t="shared" si="39"/>
        <v>23</v>
      </c>
      <c r="BL134" s="173">
        <f t="shared" si="39"/>
        <v>23</v>
      </c>
      <c r="BM134" s="173">
        <f t="shared" si="39"/>
        <v>23</v>
      </c>
      <c r="BN134" s="173">
        <f t="shared" si="39"/>
        <v>23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13</v>
      </c>
      <c r="AW135" s="173">
        <f t="shared" si="39"/>
        <v>13</v>
      </c>
      <c r="AX135" s="173">
        <f t="shared" si="39"/>
        <v>13</v>
      </c>
      <c r="AY135" s="173">
        <f t="shared" si="39"/>
        <v>13</v>
      </c>
      <c r="AZ135" s="173">
        <f t="shared" si="39"/>
        <v>13</v>
      </c>
      <c r="BA135" s="173">
        <f t="shared" si="39"/>
        <v>13</v>
      </c>
      <c r="BB135" s="173">
        <f t="shared" si="39"/>
        <v>13</v>
      </c>
      <c r="BC135" s="173">
        <f t="shared" si="39"/>
        <v>13</v>
      </c>
      <c r="BD135" s="173">
        <f t="shared" si="39"/>
        <v>13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13</v>
      </c>
      <c r="BP135" s="173">
        <f t="shared" si="39"/>
        <v>13</v>
      </c>
      <c r="BQ135" s="173">
        <f t="shared" si="39"/>
        <v>13</v>
      </c>
      <c r="BR135" s="173">
        <f t="shared" si="39"/>
        <v>13</v>
      </c>
      <c r="BS135" s="173">
        <f t="shared" si="39"/>
        <v>13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0.53623188405797106</v>
      </c>
      <c r="D136" s="262">
        <f t="shared" si="25"/>
        <v>0.53623188405797106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209</v>
      </c>
      <c r="D137" s="263">
        <f>C137*$D$82/$C$82</f>
        <v>200.66084788029926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39</v>
      </c>
      <c r="D138" s="263">
        <f t="shared" ref="D138:D174" si="50">C138*$D$82/$C$82</f>
        <v>37.443890274314214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9</v>
      </c>
      <c r="D142" s="263">
        <f t="shared" si="50"/>
        <v>8.6408977556109718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1</v>
      </c>
      <c r="BB142" s="173">
        <f t="shared" si="58"/>
        <v>1</v>
      </c>
      <c r="BC142" s="173">
        <f t="shared" si="58"/>
        <v>1</v>
      </c>
      <c r="BD142" s="173">
        <f t="shared" si="58"/>
        <v>1</v>
      </c>
      <c r="BE142" s="173">
        <f t="shared" si="58"/>
        <v>1</v>
      </c>
      <c r="BF142" s="173">
        <f t="shared" si="58"/>
        <v>1</v>
      </c>
      <c r="BG142" s="173">
        <f t="shared" si="58"/>
        <v>1</v>
      </c>
      <c r="BH142" s="173">
        <f t="shared" si="58"/>
        <v>1</v>
      </c>
      <c r="BI142" s="173">
        <f t="shared" si="58"/>
        <v>1</v>
      </c>
      <c r="BJ142" s="173">
        <f t="shared" si="58"/>
        <v>1</v>
      </c>
      <c r="BK142" s="173">
        <f t="shared" si="58"/>
        <v>1</v>
      </c>
      <c r="BL142" s="173">
        <f t="shared" si="58"/>
        <v>1</v>
      </c>
      <c r="BM142" s="173">
        <f t="shared" si="58"/>
        <v>1</v>
      </c>
      <c r="BN142" s="173">
        <f t="shared" si="58"/>
        <v>1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4</v>
      </c>
      <c r="D143" s="263">
        <f t="shared" si="50"/>
        <v>3.8403990024937653</v>
      </c>
      <c r="AT143" s="19" t="s">
        <v>820</v>
      </c>
      <c r="AV143" s="173">
        <f>COUNTIF(AV$132:AV$141,13)</f>
        <v>1</v>
      </c>
      <c r="AW143" s="173">
        <f t="shared" ref="AW143:BS143" si="61">COUNTIF(AW$132:AW$141,13)</f>
        <v>1</v>
      </c>
      <c r="AX143" s="173">
        <f t="shared" si="61"/>
        <v>1</v>
      </c>
      <c r="AY143" s="173">
        <f t="shared" si="61"/>
        <v>1</v>
      </c>
      <c r="AZ143" s="173">
        <f t="shared" si="61"/>
        <v>1</v>
      </c>
      <c r="BA143" s="173">
        <f t="shared" si="61"/>
        <v>1</v>
      </c>
      <c r="BB143" s="173">
        <f t="shared" si="61"/>
        <v>1</v>
      </c>
      <c r="BC143" s="173">
        <f t="shared" si="61"/>
        <v>1</v>
      </c>
      <c r="BD143" s="173">
        <f t="shared" si="61"/>
        <v>1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1</v>
      </c>
      <c r="BP143" s="173">
        <f t="shared" si="61"/>
        <v>1</v>
      </c>
      <c r="BQ143" s="173">
        <f t="shared" si="61"/>
        <v>1</v>
      </c>
      <c r="BR143" s="173">
        <f t="shared" si="61"/>
        <v>1</v>
      </c>
      <c r="BS143" s="173">
        <f t="shared" si="61"/>
        <v>1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1</v>
      </c>
      <c r="AZ144" s="173">
        <f t="shared" si="64"/>
        <v>1</v>
      </c>
      <c r="BA144" s="173">
        <f t="shared" si="64"/>
        <v>1</v>
      </c>
      <c r="BB144" s="173">
        <f t="shared" si="64"/>
        <v>1</v>
      </c>
      <c r="BC144" s="173">
        <f t="shared" si="64"/>
        <v>1</v>
      </c>
      <c r="BD144" s="173">
        <f t="shared" si="64"/>
        <v>1</v>
      </c>
      <c r="BE144" s="173">
        <f t="shared" si="64"/>
        <v>1</v>
      </c>
      <c r="BF144" s="173">
        <f t="shared" si="64"/>
        <v>1</v>
      </c>
      <c r="BG144" s="173">
        <f t="shared" si="64"/>
        <v>0</v>
      </c>
      <c r="BH144" s="173">
        <f t="shared" si="64"/>
        <v>0</v>
      </c>
      <c r="BI144" s="173">
        <f t="shared" si="64"/>
        <v>0</v>
      </c>
      <c r="BJ144" s="173">
        <f t="shared" si="64"/>
        <v>0</v>
      </c>
      <c r="BK144" s="173">
        <f t="shared" si="64"/>
        <v>0</v>
      </c>
      <c r="BL144" s="173">
        <f t="shared" si="64"/>
        <v>0</v>
      </c>
      <c r="BM144" s="173">
        <f t="shared" si="64"/>
        <v>0</v>
      </c>
      <c r="BN144" s="173">
        <f t="shared" si="64"/>
        <v>1</v>
      </c>
      <c r="BO144" s="173">
        <f t="shared" si="64"/>
        <v>1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23</v>
      </c>
      <c r="BF146" s="62">
        <f t="shared" si="70"/>
        <v>23</v>
      </c>
      <c r="BG146" s="62">
        <f t="shared" si="70"/>
        <v>23</v>
      </c>
      <c r="BH146" s="62">
        <f t="shared" si="70"/>
        <v>23</v>
      </c>
      <c r="BI146" s="62">
        <f t="shared" si="70"/>
        <v>23</v>
      </c>
      <c r="BJ146" s="62">
        <f t="shared" si="70"/>
        <v>23</v>
      </c>
      <c r="BK146" s="62">
        <f t="shared" si="70"/>
        <v>23</v>
      </c>
      <c r="BL146" s="62">
        <f t="shared" si="70"/>
        <v>23</v>
      </c>
      <c r="BM146" s="62">
        <f t="shared" si="70"/>
        <v>23</v>
      </c>
      <c r="BN146" s="62">
        <f t="shared" si="70"/>
        <v>23</v>
      </c>
      <c r="BO146" s="62">
        <f t="shared" si="70"/>
        <v>13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42</v>
      </c>
      <c r="BF147" s="190">
        <f>IF(BF146=0,0,HLOOKUP(BF146,[1]Trav!$C$39:$G$59,$AU$166))</f>
        <v>42</v>
      </c>
      <c r="BG147" s="190">
        <f>IF(BG146=0,0,HLOOKUP(BG146,[1]Trav!$C$39:$G$59,$AU$166))</f>
        <v>42</v>
      </c>
      <c r="BH147" s="190">
        <f>IF(BH146=0,0,HLOOKUP(BH146,[1]Trav!$C$39:$G$59,$AU$166))</f>
        <v>42</v>
      </c>
      <c r="BI147" s="190">
        <f>IF(BI146=0,0,HLOOKUP(BI146,[1]Trav!$C$39:$G$59,$AU$166))</f>
        <v>42</v>
      </c>
      <c r="BJ147" s="190">
        <f>IF(BJ146=0,0,HLOOKUP(BJ146,[1]Trav!$C$39:$G$59,$AU$166))</f>
        <v>42</v>
      </c>
      <c r="BK147" s="190">
        <f>IF(BK146=0,0,HLOOKUP(BK146,[1]Trav!$C$39:$G$59,$AU$166))</f>
        <v>42</v>
      </c>
      <c r="BL147" s="190">
        <f>IF(BL146=0,0,HLOOKUP(BL146,[1]Trav!$C$39:$G$59,$AU$166))</f>
        <v>42</v>
      </c>
      <c r="BM147" s="190">
        <f>IF(BM146=0,0,HLOOKUP(BM146,[1]Trav!$C$39:$G$59,$AU$166))</f>
        <v>42</v>
      </c>
      <c r="BN147" s="190">
        <f>IF(BN146=0,0,HLOOKUP(BN146,[1]Trav!$C$39:$G$59,$AU$166))</f>
        <v>42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40280</v>
      </c>
      <c r="D148" s="263">
        <f t="shared" si="50"/>
        <v>38672.817955112216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0</v>
      </c>
      <c r="AW152" s="173">
        <f t="shared" si="74"/>
        <v>0</v>
      </c>
      <c r="AX152" s="173">
        <f t="shared" si="74"/>
        <v>0</v>
      </c>
      <c r="AY152" s="173">
        <f t="shared" si="74"/>
        <v>0</v>
      </c>
      <c r="AZ152" s="173">
        <f t="shared" si="74"/>
        <v>0</v>
      </c>
      <c r="BA152" s="173">
        <f t="shared" si="74"/>
        <v>0</v>
      </c>
      <c r="BB152" s="173">
        <f t="shared" si="74"/>
        <v>0</v>
      </c>
      <c r="BC152" s="173">
        <f t="shared" si="74"/>
        <v>0</v>
      </c>
      <c r="BD152" s="173">
        <f t="shared" si="74"/>
        <v>0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0</v>
      </c>
      <c r="BP152" s="173">
        <f t="shared" si="74"/>
        <v>0</v>
      </c>
      <c r="BQ152" s="173">
        <f t="shared" si="74"/>
        <v>0</v>
      </c>
      <c r="BR152" s="173">
        <f t="shared" si="74"/>
        <v>0</v>
      </c>
      <c r="BS152" s="173">
        <f t="shared" si="74"/>
        <v>0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4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7.6140084571180742</v>
      </c>
      <c r="AW154" s="173">
        <f t="shared" si="74"/>
        <v>7.6140084571180742</v>
      </c>
      <c r="AX154" s="173">
        <f t="shared" si="74"/>
        <v>7.6140084571180742</v>
      </c>
      <c r="AY154" s="173">
        <f t="shared" si="74"/>
        <v>7.6140084571180742</v>
      </c>
      <c r="AZ154" s="173">
        <f t="shared" si="74"/>
        <v>7.6140084571180742</v>
      </c>
      <c r="BA154" s="173">
        <f t="shared" si="74"/>
        <v>7.6140084571180742</v>
      </c>
      <c r="BB154" s="173">
        <f t="shared" si="74"/>
        <v>7.6140084571180742</v>
      </c>
      <c r="BC154" s="173">
        <f t="shared" si="74"/>
        <v>7.6140084571180742</v>
      </c>
      <c r="BD154" s="173">
        <f t="shared" si="74"/>
        <v>7.6140084571180742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7.6140084571180742</v>
      </c>
      <c r="BP154" s="173">
        <f t="shared" si="74"/>
        <v>7.6140084571180742</v>
      </c>
      <c r="BQ154" s="173">
        <f t="shared" si="74"/>
        <v>7.6140084571180742</v>
      </c>
      <c r="BR154" s="173">
        <f t="shared" si="74"/>
        <v>7.6140084571180742</v>
      </c>
      <c r="BS154" s="173">
        <f t="shared" si="74"/>
        <v>7.6140084571180742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327.40236365607717</v>
      </c>
      <c r="AW160" s="62">
        <f t="shared" ref="AW160:BS160" si="83">SUM(AW151:AW159)</f>
        <v>324.86436083703785</v>
      </c>
      <c r="AX160" s="62">
        <f t="shared" si="83"/>
        <v>322.32635801799847</v>
      </c>
      <c r="AY160" s="62">
        <f t="shared" si="83"/>
        <v>321.05735660847881</v>
      </c>
      <c r="AZ160" s="62">
        <f t="shared" si="83"/>
        <v>319.7883551989591</v>
      </c>
      <c r="BA160" s="62">
        <f t="shared" si="83"/>
        <v>318.51935378943944</v>
      </c>
      <c r="BB160" s="62">
        <f t="shared" si="83"/>
        <v>317.25035237991978</v>
      </c>
      <c r="BC160" s="62">
        <f t="shared" si="83"/>
        <v>315.98135097040006</v>
      </c>
      <c r="BD160" s="62">
        <f t="shared" si="83"/>
        <v>313.44334815136074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275.37330586577036</v>
      </c>
      <c r="BP160" s="62">
        <f t="shared" si="83"/>
        <v>275.37330586577036</v>
      </c>
      <c r="BQ160" s="62">
        <f t="shared" si="83"/>
        <v>327.40236365607717</v>
      </c>
      <c r="BR160" s="62">
        <f t="shared" si="83"/>
        <v>327.40236365607717</v>
      </c>
      <c r="BS160" s="62">
        <f t="shared" si="83"/>
        <v>327.40236365607717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84.431674436869514</v>
      </c>
      <c r="D161" s="263">
        <f t="shared" si="50"/>
        <v>81.062829571558012</v>
      </c>
      <c r="AT161" s="189" t="s">
        <v>844</v>
      </c>
      <c r="AV161" s="173">
        <f>IF($AT$62="OL",AV160/50,AV160/10)</f>
        <v>6.5480472731215436</v>
      </c>
      <c r="AW161" s="173">
        <f t="shared" ref="AW161:BS161" si="86">IF($AT$62="OL",AW160/50,AW160/10)</f>
        <v>6.4972872167407569</v>
      </c>
      <c r="AX161" s="173">
        <f t="shared" si="86"/>
        <v>6.4465271603599694</v>
      </c>
      <c r="AY161" s="173">
        <f t="shared" si="86"/>
        <v>6.4211471321695761</v>
      </c>
      <c r="AZ161" s="173">
        <f t="shared" si="86"/>
        <v>6.3957671039791819</v>
      </c>
      <c r="BA161" s="173">
        <f t="shared" si="86"/>
        <v>6.3703870757887886</v>
      </c>
      <c r="BB161" s="173">
        <f t="shared" si="86"/>
        <v>6.3450070475983953</v>
      </c>
      <c r="BC161" s="173">
        <f t="shared" si="86"/>
        <v>6.3196270194080011</v>
      </c>
      <c r="BD161" s="173">
        <f t="shared" si="86"/>
        <v>6.2688669630272145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5.5074661173154071</v>
      </c>
      <c r="BP161" s="173">
        <f t="shared" si="86"/>
        <v>5.5074661173154071</v>
      </c>
      <c r="BQ161" s="173">
        <f t="shared" si="86"/>
        <v>6.5480472731215436</v>
      </c>
      <c r="BR161" s="173">
        <f t="shared" si="86"/>
        <v>6.5480472731215436</v>
      </c>
      <c r="BS161" s="173">
        <f t="shared" si="86"/>
        <v>6.5480472731215436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132.29450193022615</v>
      </c>
      <c r="D162" s="263">
        <f t="shared" si="50"/>
        <v>127.01591831206251</v>
      </c>
      <c r="AT162" s="189" t="s">
        <v>846</v>
      </c>
      <c r="AV162" s="173">
        <f>IF(AV161&gt;1,AV161-1,0)</f>
        <v>5.5480472731215436</v>
      </c>
      <c r="AW162" s="173">
        <f t="shared" ref="AW162:BS162" si="89">IF(AW161&gt;1,AW161-1,0)</f>
        <v>5.4972872167407569</v>
      </c>
      <c r="AX162" s="173">
        <f t="shared" si="89"/>
        <v>5.4465271603599694</v>
      </c>
      <c r="AY162" s="173">
        <f t="shared" si="89"/>
        <v>5.4211471321695761</v>
      </c>
      <c r="AZ162" s="173">
        <f t="shared" si="89"/>
        <v>5.3957671039791819</v>
      </c>
      <c r="BA162" s="173">
        <f t="shared" si="89"/>
        <v>5.3703870757887886</v>
      </c>
      <c r="BB162" s="173">
        <f t="shared" si="89"/>
        <v>5.3450070475983953</v>
      </c>
      <c r="BC162" s="173">
        <f t="shared" si="89"/>
        <v>5.3196270194080011</v>
      </c>
      <c r="BD162" s="173">
        <f t="shared" si="89"/>
        <v>5.2688669630272145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4.5074661173154071</v>
      </c>
      <c r="BP162" s="173">
        <f t="shared" si="89"/>
        <v>4.5074661173154071</v>
      </c>
      <c r="BQ162" s="173">
        <f t="shared" si="89"/>
        <v>5.5480472731215436</v>
      </c>
      <c r="BR162" s="173">
        <f t="shared" si="89"/>
        <v>5.5480472731215436</v>
      </c>
      <c r="BS162" s="173">
        <f t="shared" si="89"/>
        <v>5.5480472731215436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51.709082727962702</v>
      </c>
      <c r="AW163" s="62">
        <f t="shared" ref="AW163:BS163" si="92">AW147+AW148*AW162</f>
        <v>51.620252629296324</v>
      </c>
      <c r="AX163" s="62">
        <f t="shared" si="92"/>
        <v>51.531422530629946</v>
      </c>
      <c r="AY163" s="62">
        <f t="shared" si="92"/>
        <v>51.487007481296757</v>
      </c>
      <c r="AZ163" s="62">
        <f t="shared" si="92"/>
        <v>51.442592431963568</v>
      </c>
      <c r="BA163" s="62">
        <f t="shared" si="92"/>
        <v>51.398177382630379</v>
      </c>
      <c r="BB163" s="62">
        <f t="shared" si="92"/>
        <v>51.35376233329719</v>
      </c>
      <c r="BC163" s="62">
        <f t="shared" si="92"/>
        <v>51.309347283964001</v>
      </c>
      <c r="BD163" s="62">
        <f t="shared" si="92"/>
        <v>51.220517185297624</v>
      </c>
      <c r="BE163" s="62">
        <f t="shared" si="92"/>
        <v>51.131687086631246</v>
      </c>
      <c r="BF163" s="62">
        <f t="shared" si="92"/>
        <v>51.131687086631246</v>
      </c>
      <c r="BG163" s="62">
        <f t="shared" si="92"/>
        <v>42.559582565325819</v>
      </c>
      <c r="BH163" s="62">
        <f t="shared" si="92"/>
        <v>42.559582565325819</v>
      </c>
      <c r="BI163" s="62">
        <f t="shared" si="92"/>
        <v>42.559582565325819</v>
      </c>
      <c r="BJ163" s="62">
        <f t="shared" si="92"/>
        <v>42.559582565325819</v>
      </c>
      <c r="BK163" s="62">
        <f t="shared" si="92"/>
        <v>42.559582565325819</v>
      </c>
      <c r="BL163" s="62">
        <f t="shared" si="92"/>
        <v>42.559582565325819</v>
      </c>
      <c r="BM163" s="62">
        <f t="shared" si="92"/>
        <v>42.559582565325819</v>
      </c>
      <c r="BN163" s="62">
        <f t="shared" si="92"/>
        <v>51.131687086631246</v>
      </c>
      <c r="BO163" s="62">
        <f t="shared" si="92"/>
        <v>49.888065705301962</v>
      </c>
      <c r="BP163" s="62">
        <f t="shared" si="92"/>
        <v>49.888065705301962</v>
      </c>
      <c r="BQ163" s="62">
        <f t="shared" si="92"/>
        <v>51.709082727962702</v>
      </c>
      <c r="BR163" s="62">
        <f t="shared" si="92"/>
        <v>51.709082727962702</v>
      </c>
      <c r="BS163" s="62">
        <f t="shared" si="92"/>
        <v>51.709082727962702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37.419010456239995</v>
      </c>
      <c r="D166" s="263">
        <f t="shared" si="50"/>
        <v>35.925982607611964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5.25</v>
      </c>
      <c r="AW168" s="190">
        <f>IF(AW122&gt;0,HLOOKUP(AW122,[1]Trav!$C$11:$O$31,$AU$166),0)</f>
        <v>5.25</v>
      </c>
      <c r="AX168" s="190">
        <f>IF(AX122&gt;0,HLOOKUP(AX122,[1]Trav!$C$11:$O$31,$AU$166),0)</f>
        <v>5.25</v>
      </c>
      <c r="AY168" s="190">
        <f>IF(AY122&gt;0,HLOOKUP(AY122,[1]Trav!$C$11:$O$31,$AU$166),0)</f>
        <v>5.25</v>
      </c>
      <c r="AZ168" s="190">
        <f>IF(AZ122&gt;0,HLOOKUP(AZ122,[1]Trav!$C$11:$O$31,$AU$166),0)</f>
        <v>7</v>
      </c>
      <c r="BA168" s="190">
        <f>IF(BA122&gt;0,HLOOKUP(BA122,[1]Trav!$C$11:$O$31,$AU$166),0)</f>
        <v>7</v>
      </c>
      <c r="BB168" s="190">
        <f>IF(BB122&gt;0,HLOOKUP(BB122,[1]Trav!$C$11:$O$31,$AU$166),0)</f>
        <v>7</v>
      </c>
      <c r="BC168" s="190">
        <f>IF(BC122&gt;0,HLOOKUP(BC122,[1]Trav!$C$11:$O$31,$AU$166),0)</f>
        <v>7</v>
      </c>
      <c r="BD168" s="190">
        <f>IF(BD122&gt;0,HLOOKUP(BD122,[1]Trav!$C$11:$O$31,$AU$166),0)</f>
        <v>7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7</v>
      </c>
      <c r="BP168" s="190">
        <f>IF(BP122&gt;0,HLOOKUP(BP122,[1]Trav!$C$11:$O$31,$AU$166),0)</f>
        <v>7</v>
      </c>
      <c r="BQ168" s="190">
        <f>IF(BQ122&gt;0,HLOOKUP(BQ122,[1]Trav!$C$11:$O$31,$AU$166),0)</f>
        <v>7</v>
      </c>
      <c r="BR168" s="190">
        <f>IF(BR122&gt;0,HLOOKUP(BR122,[1]Trav!$C$11:$O$31,$AU$166),0)</f>
        <v>5.25</v>
      </c>
      <c r="BS168" s="190">
        <f>IF(BS122&gt;0,HLOOKUP(BS122,[1]Trav!$C$11:$O$31,$AU$166),0)</f>
        <v>5.25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114.53699999999999</v>
      </c>
      <c r="D169" s="263">
        <f t="shared" si="50"/>
        <v>109.96694513715711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0</v>
      </c>
      <c r="BF169" s="190">
        <f>IF(BF123&gt;0,HLOOKUP(BF123,[1]Trav!$C$11:$O$31,$AU$166),0)</f>
        <v>0</v>
      </c>
      <c r="BG169" s="190">
        <f>IF(BG123&gt;0,HLOOKUP(BG123,[1]Trav!$C$11:$O$31,$AU$166),0)</f>
        <v>0</v>
      </c>
      <c r="BH169" s="190">
        <f>IF(BH123&gt;0,HLOOKUP(BH123,[1]Trav!$C$11:$O$31,$AU$166),0)</f>
        <v>0</v>
      </c>
      <c r="BI169" s="190">
        <f>IF(BI123&gt;0,HLOOKUP(BI123,[1]Trav!$C$11:$O$31,$AU$166),0)</f>
        <v>0</v>
      </c>
      <c r="BJ169" s="190">
        <f>IF(BJ123&gt;0,HLOOKUP(BJ123,[1]Trav!$C$11:$O$31,$AU$166),0)</f>
        <v>0</v>
      </c>
      <c r="BK169" s="190">
        <f>IF(BK123&gt;0,HLOOKUP(BK123,[1]Trav!$C$11:$O$31,$AU$166),0)</f>
        <v>0</v>
      </c>
      <c r="BL169" s="190">
        <f>IF(BL123&gt;0,HLOOKUP(BL123,[1]Trav!$C$11:$O$31,$AU$166),0)</f>
        <v>0</v>
      </c>
      <c r="BM169" s="190">
        <f>IF(BM123&gt;0,HLOOKUP(BM123,[1]Trav!$C$11:$O$31,$AU$166),0)</f>
        <v>0</v>
      </c>
      <c r="BN169" s="190">
        <f>IF(BN123&gt;0,HLOOKUP(BN123,[1]Trav!$C$11:$O$31,$AU$166),0)</f>
        <v>0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85.787959400347816</v>
      </c>
      <c r="D170" s="263">
        <f t="shared" si="50"/>
        <v>82.364998426767855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129.565</v>
      </c>
      <c r="D171" s="263">
        <f t="shared" si="50"/>
        <v>124.39532418952616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157.79999999999998</v>
      </c>
      <c r="D172" s="263">
        <f t="shared" si="50"/>
        <v>151.50374064837902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28.749040599652176</v>
      </c>
      <c r="D173" s="263">
        <f t="shared" si="50"/>
        <v>27.601946710389246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74.900000000000006</v>
      </c>
      <c r="D174" s="263">
        <f t="shared" si="50"/>
        <v>71.911471321695757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-28.234999999999985</v>
      </c>
      <c r="D175" s="263">
        <f>C175*$D$82/$C$82</f>
        <v>-27.108416458852854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28.234999999999985</v>
      </c>
      <c r="D176" s="263">
        <f>C176*$D$82/$C$82</f>
        <v>27.108416458852854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88</v>
      </c>
      <c r="D178" s="173">
        <f>ROUND((D170+D171)/(D170+D172),2)*100</f>
        <v>88</v>
      </c>
      <c r="AT178" s="40" t="s">
        <v>865</v>
      </c>
      <c r="AV178" s="173">
        <f>SUM(AV167:AV176)</f>
        <v>5.25</v>
      </c>
      <c r="AW178" s="173">
        <f t="shared" ref="AW178:BS178" si="98">SUM(AW167:AW176)</f>
        <v>5.25</v>
      </c>
      <c r="AX178" s="173">
        <f t="shared" si="98"/>
        <v>5.25</v>
      </c>
      <c r="AY178" s="173">
        <f t="shared" si="98"/>
        <v>19.25</v>
      </c>
      <c r="AZ178" s="173">
        <f t="shared" si="98"/>
        <v>21</v>
      </c>
      <c r="BA178" s="173">
        <f t="shared" si="98"/>
        <v>21</v>
      </c>
      <c r="BB178" s="173">
        <f t="shared" si="98"/>
        <v>21</v>
      </c>
      <c r="BC178" s="173">
        <f t="shared" si="98"/>
        <v>21</v>
      </c>
      <c r="BD178" s="173">
        <f t="shared" si="98"/>
        <v>21</v>
      </c>
      <c r="BE178" s="173">
        <f t="shared" si="98"/>
        <v>14</v>
      </c>
      <c r="BF178" s="173">
        <f t="shared" si="98"/>
        <v>14</v>
      </c>
      <c r="BG178" s="173">
        <f t="shared" si="98"/>
        <v>0</v>
      </c>
      <c r="BH178" s="173">
        <f t="shared" si="98"/>
        <v>0</v>
      </c>
      <c r="BI178" s="173">
        <f t="shared" si="98"/>
        <v>0</v>
      </c>
      <c r="BJ178" s="173">
        <f t="shared" si="98"/>
        <v>0</v>
      </c>
      <c r="BK178" s="173">
        <f t="shared" si="98"/>
        <v>0</v>
      </c>
      <c r="BL178" s="173">
        <f t="shared" si="98"/>
        <v>0</v>
      </c>
      <c r="BM178" s="173">
        <f t="shared" si="98"/>
        <v>0</v>
      </c>
      <c r="BN178" s="173">
        <f t="shared" si="98"/>
        <v>14</v>
      </c>
      <c r="BO178" s="173">
        <f t="shared" si="98"/>
        <v>21</v>
      </c>
      <c r="BP178" s="173">
        <f t="shared" si="98"/>
        <v>7</v>
      </c>
      <c r="BQ178" s="173">
        <f t="shared" si="98"/>
        <v>7</v>
      </c>
      <c r="BR178" s="173">
        <f t="shared" si="98"/>
        <v>5.25</v>
      </c>
      <c r="BS178" s="173">
        <f t="shared" si="98"/>
        <v>5.25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28</v>
      </c>
      <c r="CM178" s="173">
        <f t="shared" si="99"/>
        <v>28</v>
      </c>
      <c r="CN178" s="173">
        <f t="shared" si="99"/>
        <v>28</v>
      </c>
      <c r="CO178" s="173">
        <f t="shared" si="99"/>
        <v>28</v>
      </c>
      <c r="CP178" s="173">
        <f t="shared" si="99"/>
        <v>28</v>
      </c>
      <c r="CQ178" s="173">
        <f t="shared" si="99"/>
        <v>28</v>
      </c>
      <c r="CR178" s="173">
        <f t="shared" si="99"/>
        <v>28</v>
      </c>
      <c r="CS178" s="173">
        <f t="shared" si="99"/>
        <v>28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43.699999999999996</v>
      </c>
      <c r="D179" s="263">
        <f>C179*$D$82/$C$82</f>
        <v>41.956359102244384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5458</v>
      </c>
      <c r="D183" s="264">
        <f>ROUND(D184*D185,0)</f>
        <v>5236</v>
      </c>
      <c r="E183" s="17" t="s">
        <v>1295</v>
      </c>
    </row>
    <row r="184" spans="1:132" x14ac:dyDescent="0.25">
      <c r="B184" s="14" t="s">
        <v>1296</v>
      </c>
      <c r="C184" s="173">
        <f>Protection!AK26</f>
        <v>29.799999999999997</v>
      </c>
      <c r="D184" s="265">
        <f>C184*D82/C82</f>
        <v>28.61097256857855</v>
      </c>
    </row>
    <row r="185" spans="1:132" x14ac:dyDescent="0.25">
      <c r="B185" s="14" t="s">
        <v>1297</v>
      </c>
      <c r="C185" s="173">
        <f>IF(C183=0,0,ROUND(C183/C184,0))</f>
        <v>183</v>
      </c>
      <c r="D185" s="173">
        <f>C185</f>
        <v>183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0.2</v>
      </c>
      <c r="D187" s="173">
        <f>C187</f>
        <v>0.2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5</v>
      </c>
      <c r="D189" s="173">
        <f t="shared" si="101"/>
        <v>5</v>
      </c>
      <c r="AH189" s="15"/>
      <c r="AJ189" s="14" t="s">
        <v>1114</v>
      </c>
      <c r="AK189" s="30">
        <f>D189</f>
        <v>5</v>
      </c>
      <c r="AO189" s="173">
        <f>ROUND((([1]Protect!$B$5/[1]Protect!$B$11)+[1]Protect!$B$8)*AK189,0)</f>
        <v>4521</v>
      </c>
    </row>
    <row r="190" spans="1:132" x14ac:dyDescent="0.25">
      <c r="B190" s="14" t="s">
        <v>1302</v>
      </c>
      <c r="C190" s="173">
        <f>'Calcul éco'!T246*(30)</f>
        <v>21.000000000000004</v>
      </c>
      <c r="D190" s="173">
        <f>C190</f>
        <v>21.000000000000004</v>
      </c>
      <c r="AH190" s="15"/>
      <c r="AJ190" s="14" t="s">
        <v>1115</v>
      </c>
      <c r="AK190" s="30">
        <f>D190/30</f>
        <v>0.70000000000000007</v>
      </c>
      <c r="AN190" s="173">
        <f>[1]Eco!$B$106*[1]Eco!$B$108*[1]Eco!$B$109</f>
        <v>2551.2000000000003</v>
      </c>
      <c r="AO190" s="173">
        <f>AK190*AN190</f>
        <v>1785.8400000000004</v>
      </c>
    </row>
    <row r="191" spans="1:132" x14ac:dyDescent="0.25">
      <c r="B191" s="14" t="s">
        <v>1303</v>
      </c>
      <c r="C191" s="198">
        <f>ROUND(SUM(Travail!F69:F74)/8,1)</f>
        <v>15</v>
      </c>
      <c r="D191" s="173">
        <f>C191</f>
        <v>15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19.600000000000001</v>
      </c>
      <c r="AN191" s="173">
        <f>[1]Eco!$B$111</f>
        <v>28.3</v>
      </c>
      <c r="AO191" s="173">
        <f>AK191*AN191</f>
        <v>554.68000000000006</v>
      </c>
    </row>
    <row r="192" spans="1:132" x14ac:dyDescent="0.25">
      <c r="B192" s="14" t="s">
        <v>1307</v>
      </c>
      <c r="C192" s="173">
        <f>(Travail!F83+Travail!F84)/8</f>
        <v>0.77500000000000002</v>
      </c>
      <c r="D192" s="266">
        <f>ROUND((D183/1000)*([1]Protect!$B$25*8/10+[1]Protect!$B$26),2)/8</f>
        <v>0.74</v>
      </c>
      <c r="E192" s="17" t="s">
        <v>1308</v>
      </c>
      <c r="I192" s="5"/>
      <c r="AN192" s="14" t="s">
        <v>1117</v>
      </c>
      <c r="AO192" s="173">
        <f>SUM(AO189:AO191)</f>
        <v>6861.52</v>
      </c>
    </row>
    <row r="193" spans="1:43" x14ac:dyDescent="0.25">
      <c r="B193" s="14" t="s">
        <v>1309</v>
      </c>
      <c r="C193" s="173">
        <f>(Travail!F75+Travail!F76+Travail!F81)/8</f>
        <v>22.5625</v>
      </c>
      <c r="D193" s="173">
        <f>C193</f>
        <v>22.5625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61917</v>
      </c>
      <c r="D194" s="261">
        <f>ROUND(C194*D$82/C$82,0)</f>
        <v>59446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42858</v>
      </c>
      <c r="D195" s="261">
        <f t="shared" ref="D195:D200" si="102">ROUND(C195*D$82/C$82,0)</f>
        <v>41148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11018</v>
      </c>
      <c r="D197" s="261">
        <f t="shared" si="102"/>
        <v>10578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1152.1197007481296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11542</v>
      </c>
      <c r="D199" s="261">
        <f t="shared" si="102"/>
        <v>11081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1</v>
      </c>
      <c r="AK202" s="173">
        <f>IF(AJ202=0,0,[1]Protect!B78)</f>
        <v>20000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11392</v>
      </c>
      <c r="D206" s="261">
        <f>ROUND(C206*D$82/C$82,0)</f>
        <v>10937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6861.52</v>
      </c>
      <c r="AQ207" s="5"/>
    </row>
    <row r="208" spans="1:43" x14ac:dyDescent="0.25">
      <c r="B208" s="211" t="s">
        <v>987</v>
      </c>
      <c r="C208" s="173">
        <f>ROUND('Calcul éco'!J44,0)</f>
        <v>7868</v>
      </c>
      <c r="D208" s="261">
        <f>ROUND(C208*D$82/C$82,0)</f>
        <v>7554</v>
      </c>
      <c r="S208" s="14" t="s">
        <v>978</v>
      </c>
      <c r="T208" s="30">
        <f>L212</f>
        <v>112.75415760598503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6861.52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6861.52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5490</v>
      </c>
      <c r="D210" s="264">
        <f>ROUND(AL207,0)</f>
        <v>6862</v>
      </c>
      <c r="E210" s="17" t="s">
        <v>1329</v>
      </c>
      <c r="K210" s="14" t="s">
        <v>990</v>
      </c>
      <c r="L210" s="173">
        <f>J221</f>
        <v>78.516957605985027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53796.2</v>
      </c>
      <c r="D211" s="264">
        <f>ROUND(SUM(D201:D210),0)</f>
        <v>53978</v>
      </c>
      <c r="E211" s="17" t="s">
        <v>1331</v>
      </c>
      <c r="K211" s="40" t="s">
        <v>995</v>
      </c>
      <c r="L211" s="62">
        <f>L209+L210</f>
        <v>112.75415760598503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21108.600000000002</v>
      </c>
      <c r="D212" s="261">
        <f>ROUND(C212*D$82/C$82,0)</f>
        <v>20266</v>
      </c>
      <c r="K212" s="40" t="s">
        <v>1334</v>
      </c>
      <c r="L212" s="62">
        <f>L211/IF(Scénario!K2="Exploit. Ind.",1,Scénario!K3)</f>
        <v>112.75415760598503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7974.4</v>
      </c>
      <c r="D214" s="261">
        <f t="shared" si="106"/>
        <v>7656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29083</v>
      </c>
      <c r="D216" s="261">
        <f t="shared" si="106"/>
        <v>27923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78.540000000000006</v>
      </c>
      <c r="AK216" s="173"/>
      <c r="AL216" s="173"/>
      <c r="AM216" s="173">
        <f>'Calcul éco'!W272</f>
        <v>6</v>
      </c>
      <c r="AN216" s="173">
        <f>AJ216*AM216</f>
        <v>471.24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2031.6290000000001</v>
      </c>
      <c r="D217" s="261">
        <f t="shared" si="106"/>
        <v>1951</v>
      </c>
      <c r="G217" s="19" t="s">
        <v>601</v>
      </c>
      <c r="H217" s="19" t="str">
        <f>Troupeau!C3</f>
        <v>BV</v>
      </c>
      <c r="I217" s="30">
        <f>'Calcul éco'!S51</f>
        <v>48</v>
      </c>
      <c r="J217" s="48">
        <f t="shared" ref="J217:J218" si="107">I217*D$82/C$82</f>
        <v>46.084788029925186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10326.444999999996</v>
      </c>
      <c r="D218" s="261">
        <f t="shared" si="106"/>
        <v>9914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0.4</v>
      </c>
      <c r="AK218" s="173"/>
      <c r="AL218" s="173"/>
      <c r="AM218" s="173">
        <f>'Calcul éco'!W274</f>
        <v>100</v>
      </c>
      <c r="AN218" s="173">
        <f>AJ218*AM218</f>
        <v>40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4521</v>
      </c>
      <c r="D219" s="261">
        <f t="shared" si="106"/>
        <v>4341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531.22</v>
      </c>
      <c r="D220" s="264">
        <f>SUM(AN215:AN219)</f>
        <v>511.24</v>
      </c>
      <c r="E220" s="17" t="s">
        <v>1345</v>
      </c>
      <c r="H220" s="14" t="s">
        <v>1000</v>
      </c>
      <c r="I220" s="30">
        <f>SUM(I216:I219)</f>
        <v>174</v>
      </c>
      <c r="J220" s="30">
        <f>SUM(J216:J219)</f>
        <v>167.05735660847878</v>
      </c>
    </row>
    <row r="221" spans="1:43" x14ac:dyDescent="0.25">
      <c r="B221" s="14" t="s">
        <v>1346</v>
      </c>
      <c r="C221" s="173">
        <f>ROUND(SUM(C216:C220),0)</f>
        <v>46493</v>
      </c>
      <c r="D221" s="264">
        <f>ROUND(SUM(D216:D220),0)</f>
        <v>44640</v>
      </c>
      <c r="E221" s="17" t="s">
        <v>1345</v>
      </c>
      <c r="H221" s="14" t="s">
        <v>1001</v>
      </c>
      <c r="I221" s="30">
        <f>I220*[1]Eco!$B$25</f>
        <v>81.78</v>
      </c>
      <c r="J221" s="30">
        <f>J220*[1]Eco!$B$25</f>
        <v>78.516957605985027</v>
      </c>
    </row>
    <row r="222" spans="1:43" x14ac:dyDescent="0.25">
      <c r="A222" s="2" t="s">
        <v>1067</v>
      </c>
      <c r="B222" s="14" t="s">
        <v>1347</v>
      </c>
      <c r="C222" s="173">
        <f>'Calcul éco'!J149</f>
        <v>2465.25</v>
      </c>
      <c r="D222" s="261">
        <f>ROUND(C222*D$82/C$82,0)</f>
        <v>2367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12</v>
      </c>
      <c r="L224" s="30">
        <f>K224*'Synthèse résultats'!D$82/'Synthèse résultats'!C$82</f>
        <v>11.521197007481296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5236</v>
      </c>
      <c r="AL225" t="s">
        <v>1101</v>
      </c>
      <c r="AM225" s="173"/>
      <c r="AN225" s="173">
        <f>[1]Protect!$B$4</f>
        <v>6</v>
      </c>
      <c r="AO225" s="173">
        <f>AK225*AN225</f>
        <v>31416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12447</v>
      </c>
      <c r="G226" s="14"/>
      <c r="H226" s="14"/>
      <c r="AJ226" s="14" t="s">
        <v>1102</v>
      </c>
      <c r="AK226" s="30">
        <f>D187</f>
        <v>0.2</v>
      </c>
      <c r="AN226" s="173">
        <f>[1]Protect!$B$83</f>
        <v>2000</v>
      </c>
      <c r="AO226" s="173">
        <f t="shared" ref="AO226:AO227" si="108">AK226*AN226</f>
        <v>400</v>
      </c>
    </row>
    <row r="227" spans="1:49" x14ac:dyDescent="0.25">
      <c r="B227" s="14" t="s">
        <v>1076</v>
      </c>
      <c r="C227" s="173">
        <f>'Calcul éco'!J154</f>
        <v>8284.9499999999989</v>
      </c>
      <c r="D227" s="261">
        <f t="shared" ref="D227:D233" si="109">ROUND(C227*D$82/C$82,0)</f>
        <v>7954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31816</v>
      </c>
      <c r="AQ228" s="30">
        <f>IF(Scénario!K84=1,MIN(0.8*AO228,[1]Protect!$B$68),IF(Scénario!K84=2,MIN(0.8*AO228,[1]Protect!$B$67),0))</f>
        <v>15500</v>
      </c>
      <c r="AR228" s="30">
        <f>AO228-AQ228</f>
        <v>16316</v>
      </c>
      <c r="AS228" s="30">
        <f>(1-Scénario!K127/100)*AR228</f>
        <v>16316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6.5159999999999769</v>
      </c>
      <c r="D230" s="261">
        <f t="shared" si="109"/>
        <v>6</v>
      </c>
    </row>
    <row r="231" spans="1:49" x14ac:dyDescent="0.25">
      <c r="B231" s="14" t="s">
        <v>1083</v>
      </c>
      <c r="C231" s="173">
        <f>'Calcul éco'!J159</f>
        <v>-75</v>
      </c>
      <c r="D231" s="261">
        <f t="shared" si="109"/>
        <v>-72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180</v>
      </c>
      <c r="D232" s="261">
        <f t="shared" si="109"/>
        <v>173</v>
      </c>
    </row>
    <row r="233" spans="1:49" x14ac:dyDescent="0.25">
      <c r="B233" s="14" t="s">
        <v>1085</v>
      </c>
      <c r="C233" s="173">
        <f>'Calcul éco'!J161</f>
        <v>3.107999999999989</v>
      </c>
      <c r="D233" s="261">
        <f t="shared" si="109"/>
        <v>3</v>
      </c>
    </row>
    <row r="234" spans="1:49" x14ac:dyDescent="0.25">
      <c r="B234" s="14" t="s">
        <v>1352</v>
      </c>
      <c r="C234" s="173">
        <f>'Calcul éco'!J166</f>
        <v>1785.8400000000004</v>
      </c>
      <c r="D234" s="173">
        <f>C234</f>
        <v>1785.8400000000004</v>
      </c>
    </row>
    <row r="235" spans="1:49" x14ac:dyDescent="0.25">
      <c r="B235" s="14" t="s">
        <v>1353</v>
      </c>
      <c r="C235" s="173">
        <f>'Calcul éco'!J167</f>
        <v>2999.7860000000001</v>
      </c>
      <c r="D235" s="264">
        <f>(D191+D192)*8*[1]Eco!$B$106</f>
        <v>1338.5296000000001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34764</v>
      </c>
      <c r="D236" s="264">
        <f>ROUND(SUM(D222:D235),0)</f>
        <v>32152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34456.199999999997</v>
      </c>
      <c r="D237" s="264">
        <f>D194+D211-D221-D236</f>
        <v>36632</v>
      </c>
    </row>
    <row r="238" spans="1:49" x14ac:dyDescent="0.25">
      <c r="B238" s="211" t="s">
        <v>1090</v>
      </c>
      <c r="C238" s="173">
        <f>ROUND(C237/Scénario!$K$4,0)</f>
        <v>22971</v>
      </c>
      <c r="D238" s="264">
        <f>ROUND(D237/D83,0)</f>
        <v>18316</v>
      </c>
    </row>
    <row r="239" spans="1:49" x14ac:dyDescent="0.25">
      <c r="B239" s="211" t="s">
        <v>1091</v>
      </c>
      <c r="C239" s="173">
        <f>'Calcul éco'!B177</f>
        <v>11400</v>
      </c>
      <c r="D239" s="264">
        <f>C239</f>
        <v>11400</v>
      </c>
    </row>
    <row r="240" spans="1:49" x14ac:dyDescent="0.25">
      <c r="B240" s="211" t="s">
        <v>1092</v>
      </c>
      <c r="C240" s="267">
        <f>'Calcul éco'!B178</f>
        <v>2175.8385855382489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20880</v>
      </c>
      <c r="D241" s="268">
        <f>ROUND(D237-D239-D240,0)</f>
        <v>25232</v>
      </c>
    </row>
    <row r="242" spans="1:15" x14ac:dyDescent="0.25">
      <c r="B242" s="211" t="s">
        <v>1094</v>
      </c>
      <c r="C242" s="173">
        <f>ROUND(C241/Scénario!K4,0)</f>
        <v>13920</v>
      </c>
      <c r="D242" s="264">
        <f>ROUND(D241/D83,0)</f>
        <v>12616</v>
      </c>
    </row>
    <row r="243" spans="1:15" x14ac:dyDescent="0.25">
      <c r="B243" s="211" t="s">
        <v>1357</v>
      </c>
      <c r="C243" s="173">
        <f>'Calcul éco'!X237+'Calcul éco'!X240</f>
        <v>33148</v>
      </c>
      <c r="D243" s="173">
        <f>C243</f>
        <v>33148</v>
      </c>
    </row>
    <row r="244" spans="1:15" x14ac:dyDescent="0.25">
      <c r="B244" s="211" t="s">
        <v>1358</v>
      </c>
      <c r="C244" s="173">
        <f>'Calcul éco'!AA237+'Calcul éco'!AA240</f>
        <v>17648</v>
      </c>
      <c r="D244" s="173">
        <f>C244</f>
        <v>17648</v>
      </c>
    </row>
    <row r="245" spans="1:15" x14ac:dyDescent="0.25">
      <c r="A245" s="2" t="s">
        <v>1359</v>
      </c>
      <c r="B245" s="14" t="s">
        <v>568</v>
      </c>
      <c r="C245" s="270">
        <f>Travail!F5</f>
        <v>227.5</v>
      </c>
      <c r="D245" s="173">
        <f>C245</f>
        <v>227.5</v>
      </c>
    </row>
    <row r="246" spans="1:15" x14ac:dyDescent="0.25">
      <c r="B246" s="14" t="s">
        <v>601</v>
      </c>
      <c r="C246" s="270">
        <f>Travail!F6</f>
        <v>169.04999999999998</v>
      </c>
      <c r="D246" s="173">
        <f t="shared" ref="D246:D247" si="112">C246</f>
        <v>169.04999999999998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1177.7360000000001</v>
      </c>
      <c r="D248" s="264">
        <f>ROUND(SUM(AV163:BS163),1)</f>
        <v>1169.3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156.80000000000001</v>
      </c>
      <c r="D251" s="173">
        <f>C251</f>
        <v>156.80000000000001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511.5</v>
      </c>
      <c r="D257" s="261">
        <f>ROUND(C257*D$82/C$82,0)</f>
        <v>491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90</v>
      </c>
      <c r="D258" s="261">
        <f t="shared" ref="D258:D259" si="115">ROUND(C258*D$82/C$82,0)</f>
        <v>86</v>
      </c>
      <c r="E258" s="17"/>
      <c r="J258" s="32" t="s">
        <v>790</v>
      </c>
      <c r="K258" s="173">
        <f>D85*((100-Scénario!K31)/100)</f>
        <v>20.4786</v>
      </c>
      <c r="L258" s="190">
        <f>IF(K258&gt;[1]Trav!E121,[1]Trav!C121,[1]Trav!B121)</f>
        <v>7.2</v>
      </c>
      <c r="N258" s="274"/>
      <c r="O258">
        <f t="shared" si="114"/>
        <v>147.44592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12.961</v>
      </c>
      <c r="L259" s="190">
        <f>IF(K259&gt;[1]Trav!E121,[1]Trav!C121,[1]Trav!B121)</f>
        <v>7.2</v>
      </c>
      <c r="N259" s="274"/>
      <c r="O259">
        <f t="shared" si="114"/>
        <v>93.319200000000009</v>
      </c>
    </row>
    <row r="260" spans="1:15" x14ac:dyDescent="0.25">
      <c r="A260" s="2" t="s">
        <v>767</v>
      </c>
      <c r="B260" s="14" t="s">
        <v>568</v>
      </c>
      <c r="C260" s="270">
        <f>ROUND(Travail!F35,0)</f>
        <v>880</v>
      </c>
      <c r="D260" s="264">
        <f>ROUND(Travail!B35+(Travail!D35*Travail!C35*'Synthèse résultats'!G63),0)</f>
        <v>854</v>
      </c>
      <c r="E260" s="17" t="s">
        <v>1361</v>
      </c>
      <c r="J260" s="32" t="s">
        <v>792</v>
      </c>
      <c r="K260" s="173">
        <f>D87</f>
        <v>5.7610000000000001</v>
      </c>
      <c r="L260" s="190">
        <f>IF(K260&gt;[1]Trav!E121,[1]Trav!C121,[1]Trav!B121)</f>
        <v>7.2</v>
      </c>
      <c r="N260" s="274"/>
      <c r="O260">
        <f t="shared" si="114"/>
        <v>41.479199999999999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2.2749999999999999</v>
      </c>
      <c r="L261" s="190">
        <f>IF(K261&gt;[1]Trav!E122,[1]Trav!C122,[1]Trav!B122)</f>
        <v>4.4000000000000004</v>
      </c>
      <c r="M261" s="5"/>
      <c r="N261" s="274"/>
      <c r="O261">
        <f t="shared" si="114"/>
        <v>10.01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154</v>
      </c>
      <c r="D267" s="264">
        <f t="shared" si="116"/>
        <v>147</v>
      </c>
    </row>
    <row r="268" spans="1:15" x14ac:dyDescent="0.25">
      <c r="B268" s="32" t="s">
        <v>791</v>
      </c>
      <c r="C268" s="270">
        <f>Travail!F56</f>
        <v>97</v>
      </c>
      <c r="D268" s="264">
        <f t="shared" si="116"/>
        <v>93</v>
      </c>
    </row>
    <row r="269" spans="1:15" x14ac:dyDescent="0.25">
      <c r="B269" s="32" t="s">
        <v>792</v>
      </c>
      <c r="C269" s="270">
        <f>Travail!F57</f>
        <v>43</v>
      </c>
      <c r="D269" s="264">
        <f t="shared" si="116"/>
        <v>41</v>
      </c>
    </row>
    <row r="270" spans="1:15" x14ac:dyDescent="0.25">
      <c r="B270" s="32" t="s">
        <v>793</v>
      </c>
      <c r="C270" s="270">
        <f>Travail!F58</f>
        <v>10</v>
      </c>
      <c r="D270" s="264">
        <f t="shared" si="116"/>
        <v>10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120</v>
      </c>
      <c r="D275" s="173">
        <f>C275</f>
        <v>120</v>
      </c>
    </row>
    <row r="276" spans="1:4" x14ac:dyDescent="0.25">
      <c r="A276" s="23"/>
      <c r="B276" s="32" t="s">
        <v>1369</v>
      </c>
      <c r="C276" s="270">
        <f>C192*8</f>
        <v>6.2</v>
      </c>
      <c r="D276" s="264">
        <f>D192*8</f>
        <v>5.92</v>
      </c>
    </row>
    <row r="277" spans="1:4" x14ac:dyDescent="0.25">
      <c r="B277" s="32" t="s">
        <v>1419</v>
      </c>
      <c r="C277" s="270">
        <f>Travail!F75+Travail!F81</f>
        <v>156</v>
      </c>
      <c r="D277" s="173">
        <f>C277</f>
        <v>156</v>
      </c>
    </row>
    <row r="278" spans="1:4" x14ac:dyDescent="0.25">
      <c r="B278" s="32" t="s">
        <v>1420</v>
      </c>
      <c r="C278" s="270">
        <f>Travail!F76</f>
        <v>24.5</v>
      </c>
      <c r="D278" s="173">
        <f>C278</f>
        <v>24.5</v>
      </c>
    </row>
    <row r="279" spans="1:4" x14ac:dyDescent="0.25">
      <c r="B279" s="32" t="s">
        <v>1386</v>
      </c>
      <c r="C279" s="270">
        <f>Travail!F86</f>
        <v>168.00000000000003</v>
      </c>
      <c r="D279" s="270">
        <f>C279</f>
        <v>168.00000000000003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2954</v>
      </c>
      <c r="D281" s="264">
        <f>ROUND(D245+D248+D251+D254+D257+D260+D261,0)</f>
        <v>2899</v>
      </c>
    </row>
    <row r="282" spans="1:4" x14ac:dyDescent="0.25">
      <c r="B282" s="14" t="s">
        <v>1372</v>
      </c>
      <c r="C282" s="173">
        <f>ROUND(C246+C249+C252+C255+C258,0)</f>
        <v>763</v>
      </c>
      <c r="D282" s="264">
        <f>ROUND(D246+D249+D252+D255+D258,0)</f>
        <v>759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9.7200000000000006</v>
      </c>
      <c r="D284" s="173">
        <f>ROUND(D281/(Troupeau!$B$17*G63),2)</f>
        <v>9.93</v>
      </c>
    </row>
    <row r="285" spans="1:4" x14ac:dyDescent="0.25">
      <c r="B285" s="14" t="s">
        <v>1375</v>
      </c>
      <c r="C285" s="173">
        <f>IF(Troupeau!$C$17=0,0,ROUND(C282/Troupeau!$C$17,2))</f>
        <v>40.159999999999997</v>
      </c>
      <c r="D285" s="173">
        <f>IF(Troupeau!$C$17=0,0,ROUND(D282/Troupeau!$C$17*G63,2))</f>
        <v>38.35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3717</v>
      </c>
      <c r="D287" s="264">
        <f>SUM(D281:D283)</f>
        <v>3658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360</v>
      </c>
      <c r="D289" s="264">
        <f>SUM(D262:D271)</f>
        <v>348</v>
      </c>
    </row>
    <row r="290" spans="2:4" x14ac:dyDescent="0.25">
      <c r="B290" s="14" t="s">
        <v>1421</v>
      </c>
      <c r="C290" s="270">
        <f>C275+C276+C277</f>
        <v>282.2</v>
      </c>
      <c r="D290" s="277">
        <f>D275+D276+D277</f>
        <v>281.92</v>
      </c>
    </row>
    <row r="291" spans="2:4" x14ac:dyDescent="0.25">
      <c r="B291" s="14" t="s">
        <v>1422</v>
      </c>
      <c r="C291" s="270">
        <f>C278+C279+C280</f>
        <v>192.50000000000003</v>
      </c>
      <c r="D291" s="270">
        <f>D278+D279+D280</f>
        <v>192.50000000000003</v>
      </c>
    </row>
    <row r="292" spans="2:4" x14ac:dyDescent="0.25">
      <c r="B292" s="14" t="s">
        <v>873</v>
      </c>
      <c r="C292" s="173">
        <f>ROUND(SUM(C287:C291),0)</f>
        <v>5152</v>
      </c>
      <c r="D292" s="264">
        <f>ROUND(SUM(D287:D291),0)</f>
        <v>5080</v>
      </c>
    </row>
    <row r="293" spans="2:4" x14ac:dyDescent="0.25">
      <c r="B293" s="14" t="s">
        <v>874</v>
      </c>
      <c r="C293" s="173">
        <f>ROUND(IF(Scénario!$K$129=1,SUM(C275:C280),SUM(C278:C280)),0)</f>
        <v>475</v>
      </c>
      <c r="D293" s="173">
        <f>ROUND(IF(Scénario!$K$129=1,SUM(D275:D280),SUM(D278:D280)),0)</f>
        <v>474</v>
      </c>
    </row>
    <row r="294" spans="2:4" x14ac:dyDescent="0.25">
      <c r="B294" s="14" t="s">
        <v>875</v>
      </c>
      <c r="C294" s="173">
        <f>ROUND((C292-C293)/C83,0)</f>
        <v>3118</v>
      </c>
      <c r="D294" s="173">
        <f>ROUND((D292-D293)/D83,0)</f>
        <v>2303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45.950852440347823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39.837106959999993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18.7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32748</v>
      </c>
    </row>
    <row r="308" spans="2:3" x14ac:dyDescent="0.25">
      <c r="B308" s="14" t="s">
        <v>1460</v>
      </c>
      <c r="C308" s="173">
        <f>'Calcul éco'!X235</f>
        <v>400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9" zoomScaleNormal="100" workbookViewId="0">
      <selection activeCell="F23" sqref="F23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4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279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265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348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278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69</v>
      </c>
      <c r="C22" s="61">
        <f>ROUNDDOWN(C17*K22/100,0)</f>
        <v>4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69</v>
      </c>
      <c r="C23" s="61">
        <f>IF(K$23&gt;1,C22,0)</f>
        <v>4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4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40280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39</v>
      </c>
      <c r="C37" s="61">
        <f>C22-C36</f>
        <v>4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70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139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55.131999999999998</v>
      </c>
      <c r="C49" s="75">
        <f>SUM(C50:C61)</f>
        <v>23.149999999999995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42.56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1.9320000000000004</v>
      </c>
      <c r="C51" s="61">
        <f t="shared" ref="C51:C61" si="4">C22*K51</f>
        <v>1.4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9.66</v>
      </c>
      <c r="C52" s="61">
        <f t="shared" si="4"/>
        <v>2.4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3.2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0.98000000000000009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15884</v>
      </c>
      <c r="C72" s="61">
        <f t="shared" ref="C72:E76" si="8">C$17*K72</f>
        <v>5454.9000000000005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52.25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9819.1999999999989</v>
      </c>
      <c r="C73" s="61">
        <f t="shared" si="8"/>
        <v>2325.6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32.299999999999997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2888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9.5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7265.7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105.3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107" activePane="bottomLeft" state="frozen"/>
      <selection pane="bottomLeft" activeCell="AA125" sqref="AA12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4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15884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15.9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9819.1999999999989</v>
      </c>
      <c r="AK19" s="54">
        <f t="shared" ref="AK19:AK52" si="4">IF($AH19=AK$17,ROUND($AI19/1000,1),0)</f>
        <v>9.8000000000000007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2888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2.9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7265.7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7.3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156">
        <v>0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9.8000000000000007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15.9</v>
      </c>
      <c r="AV54" s="84">
        <f t="shared" si="17"/>
        <v>0</v>
      </c>
      <c r="AW54" s="84">
        <f t="shared" si="17"/>
        <v>2.9</v>
      </c>
      <c r="AX54" s="84">
        <f t="shared" si="17"/>
        <v>7.3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36.1755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29.829008695652174</v>
      </c>
      <c r="H65" s="61">
        <f t="shared" si="20"/>
        <v>28.866782608695654</v>
      </c>
      <c r="I65" s="61">
        <f t="shared" si="20"/>
        <v>28.866782608695654</v>
      </c>
      <c r="J65" s="61">
        <f t="shared" si="20"/>
        <v>74.572521739130451</v>
      </c>
      <c r="K65" s="61">
        <f t="shared" si="20"/>
        <v>74.572521739130451</v>
      </c>
      <c r="L65" s="61">
        <f t="shared" si="20"/>
        <v>72.166956521739138</v>
      </c>
      <c r="M65" s="61">
        <f t="shared" si="20"/>
        <v>72.166956521739138</v>
      </c>
      <c r="N65" s="61">
        <f t="shared" si="20"/>
        <v>74.572521739130451</v>
      </c>
      <c r="O65" s="61">
        <f t="shared" si="20"/>
        <v>74.572521739130451</v>
      </c>
      <c r="P65" s="61">
        <f t="shared" si="20"/>
        <v>74.572521739130451</v>
      </c>
      <c r="Q65" s="61">
        <f t="shared" si="20"/>
        <v>74.572521739130451</v>
      </c>
      <c r="R65" s="61">
        <f t="shared" si="20"/>
        <v>72.166956521739138</v>
      </c>
      <c r="S65" s="61">
        <f t="shared" si="20"/>
        <v>72.166956521739138</v>
      </c>
      <c r="T65" s="61">
        <f t="shared" si="20"/>
        <v>74.572521739130451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17.209043478260874</v>
      </c>
      <c r="C66" s="61">
        <f t="shared" si="21"/>
        <v>17.209043478260874</v>
      </c>
      <c r="D66" s="61">
        <f t="shared" si="21"/>
        <v>15.543652173913047</v>
      </c>
      <c r="E66" s="61">
        <f t="shared" si="21"/>
        <v>15.543652173913047</v>
      </c>
      <c r="F66" s="61">
        <f t="shared" si="21"/>
        <v>17.209043478260874</v>
      </c>
      <c r="G66" s="61">
        <f t="shared" si="21"/>
        <v>17.209043478260874</v>
      </c>
      <c r="H66" s="61">
        <f t="shared" si="21"/>
        <v>16.653913043478266</v>
      </c>
      <c r="I66" s="61">
        <f t="shared" si="21"/>
        <v>16.653913043478266</v>
      </c>
      <c r="J66" s="61">
        <f t="shared" si="21"/>
        <v>17.209043478260874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17.209043478260874</v>
      </c>
      <c r="V66" s="61">
        <f t="shared" si="21"/>
        <v>16.653913043478266</v>
      </c>
      <c r="W66" s="61">
        <f t="shared" si="21"/>
        <v>16.653913043478266</v>
      </c>
      <c r="X66" s="61">
        <f t="shared" si="21"/>
        <v>17.209043478260874</v>
      </c>
      <c r="Y66" s="61">
        <f t="shared" si="21"/>
        <v>17.209043478260874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621</v>
      </c>
      <c r="C73" s="64">
        <f t="shared" ref="C73:Y73" si="28">ROUND(SUM(C63:C72),0)</f>
        <v>615</v>
      </c>
      <c r="D73" s="64">
        <f t="shared" si="28"/>
        <v>550</v>
      </c>
      <c r="E73" s="64">
        <f t="shared" si="28"/>
        <v>295</v>
      </c>
      <c r="F73" s="64">
        <f t="shared" si="28"/>
        <v>325</v>
      </c>
      <c r="G73" s="64">
        <f t="shared" si="28"/>
        <v>324</v>
      </c>
      <c r="H73" s="64">
        <f t="shared" si="28"/>
        <v>312</v>
      </c>
      <c r="I73" s="64">
        <f t="shared" si="28"/>
        <v>311</v>
      </c>
      <c r="J73" s="64">
        <f t="shared" si="28"/>
        <v>363</v>
      </c>
      <c r="K73" s="64">
        <f t="shared" si="28"/>
        <v>351</v>
      </c>
      <c r="L73" s="64">
        <f t="shared" si="28"/>
        <v>340</v>
      </c>
      <c r="M73" s="64">
        <f t="shared" si="28"/>
        <v>72</v>
      </c>
      <c r="N73" s="64">
        <f t="shared" si="28"/>
        <v>75</v>
      </c>
      <c r="O73" s="64">
        <f t="shared" si="28"/>
        <v>75</v>
      </c>
      <c r="P73" s="64">
        <f t="shared" si="28"/>
        <v>75</v>
      </c>
      <c r="Q73" s="64">
        <f t="shared" si="28"/>
        <v>75</v>
      </c>
      <c r="R73" s="64">
        <f t="shared" si="28"/>
        <v>72</v>
      </c>
      <c r="S73" s="64">
        <f t="shared" si="28"/>
        <v>72</v>
      </c>
      <c r="T73" s="64">
        <f t="shared" si="28"/>
        <v>351</v>
      </c>
      <c r="U73" s="64">
        <f t="shared" si="28"/>
        <v>320</v>
      </c>
      <c r="V73" s="64">
        <f t="shared" si="28"/>
        <v>602</v>
      </c>
      <c r="W73" s="64">
        <f t="shared" si="28"/>
        <v>601</v>
      </c>
      <c r="X73" s="64">
        <f t="shared" si="28"/>
        <v>621</v>
      </c>
      <c r="Y73" s="64">
        <f t="shared" si="28"/>
        <v>621</v>
      </c>
      <c r="Z73" s="52"/>
      <c r="AA73" s="56">
        <f>ROUND(SUM(B73:Y73),0)</f>
        <v>8039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1</v>
      </c>
      <c r="C77" s="60">
        <v>1</v>
      </c>
      <c r="D77" s="60">
        <v>1</v>
      </c>
      <c r="E77" s="60">
        <v>1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1</v>
      </c>
      <c r="Y77" s="60">
        <v>1</v>
      </c>
      <c r="AB77" t="s">
        <v>447</v>
      </c>
      <c r="AC77">
        <f>COUNTIF($B$76:$Y$85,"&gt;0")/2</f>
        <v>15.5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8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0.5</v>
      </c>
      <c r="U123" s="156">
        <v>0.5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beliers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2.1893201704347831</v>
      </c>
      <c r="U136" s="61">
        <f t="shared" si="51"/>
        <v>4.3270705739130433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102.51610106226092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0.35025029565217397</v>
      </c>
      <c r="E138" s="61">
        <f t="shared" si="52"/>
        <v>0.35025029565217397</v>
      </c>
      <c r="F138" s="61">
        <f t="shared" si="52"/>
        <v>0.38777711304347828</v>
      </c>
      <c r="G138" s="61">
        <f t="shared" si="52"/>
        <v>0.38777711304347828</v>
      </c>
      <c r="H138" s="61">
        <f t="shared" si="52"/>
        <v>0.37526817391304346</v>
      </c>
      <c r="I138" s="61">
        <f t="shared" si="52"/>
        <v>0.37526817391304346</v>
      </c>
      <c r="J138" s="61">
        <f t="shared" si="52"/>
        <v>0.96944278260869587</v>
      </c>
      <c r="K138" s="61">
        <f t="shared" si="52"/>
        <v>0.96944278260869587</v>
      </c>
      <c r="L138" s="61">
        <f t="shared" si="52"/>
        <v>0.93817043478260886</v>
      </c>
      <c r="M138" s="61">
        <f t="shared" si="52"/>
        <v>0.93817043478260886</v>
      </c>
      <c r="N138" s="61">
        <f t="shared" si="52"/>
        <v>0.96944278260869587</v>
      </c>
      <c r="O138" s="61">
        <f t="shared" si="52"/>
        <v>0.96944278260869587</v>
      </c>
      <c r="P138" s="61">
        <f t="shared" si="52"/>
        <v>0.96944278260869587</v>
      </c>
      <c r="Q138" s="61">
        <f t="shared" si="52"/>
        <v>0.96944278260869587</v>
      </c>
      <c r="R138" s="61">
        <f t="shared" si="52"/>
        <v>0.93817043478260886</v>
      </c>
      <c r="S138" s="61">
        <f t="shared" si="52"/>
        <v>0.93817043478260886</v>
      </c>
      <c r="T138" s="61">
        <f t="shared" si="52"/>
        <v>0.96944278260869587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14.691749008695654</v>
      </c>
    </row>
    <row r="139" spans="1:31" x14ac:dyDescent="0.25">
      <c r="A139" s="127" t="str">
        <f>A$18</f>
        <v>beliers</v>
      </c>
      <c r="B139" s="61">
        <f t="shared" si="52"/>
        <v>0.22371756521739136</v>
      </c>
      <c r="C139" s="61">
        <f t="shared" si="52"/>
        <v>0.22371756521739136</v>
      </c>
      <c r="D139" s="61">
        <f t="shared" si="52"/>
        <v>0.20206747826086963</v>
      </c>
      <c r="E139" s="61">
        <f t="shared" si="52"/>
        <v>0.20206747826086963</v>
      </c>
      <c r="F139" s="61">
        <f t="shared" si="52"/>
        <v>0.22371756521739136</v>
      </c>
      <c r="G139" s="61">
        <f t="shared" si="52"/>
        <v>0.22371756521739136</v>
      </c>
      <c r="H139" s="61">
        <f t="shared" si="52"/>
        <v>0.21650086956521744</v>
      </c>
      <c r="I139" s="61">
        <f t="shared" si="52"/>
        <v>0.21650086956521744</v>
      </c>
      <c r="J139" s="61">
        <f t="shared" si="52"/>
        <v>0.22371756521739136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0.22371756521739136</v>
      </c>
      <c r="V139" s="61">
        <f t="shared" si="52"/>
        <v>0.21650086956521744</v>
      </c>
      <c r="W139" s="61">
        <f t="shared" si="52"/>
        <v>0.21650086956521744</v>
      </c>
      <c r="X139" s="61">
        <f t="shared" si="52"/>
        <v>0.22371756521739136</v>
      </c>
      <c r="Y139" s="61">
        <f t="shared" si="52"/>
        <v>0.22371756521739136</v>
      </c>
      <c r="AA139" s="61">
        <f t="shared" si="53"/>
        <v>3.0598789565217399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120.26772902747831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132.29450193022615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2.1893201704347831</v>
      </c>
      <c r="U149" s="61">
        <f t="shared" si="55"/>
        <v>4.3270705739130433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</v>
      </c>
      <c r="L151" s="61">
        <f t="shared" si="57"/>
        <v>0</v>
      </c>
      <c r="M151" s="61">
        <f t="shared" si="57"/>
        <v>0</v>
      </c>
      <c r="N151" s="61">
        <f t="shared" si="57"/>
        <v>0</v>
      </c>
      <c r="O151" s="61">
        <f t="shared" si="57"/>
        <v>0</v>
      </c>
      <c r="P151" s="61">
        <f t="shared" si="57"/>
        <v>0</v>
      </c>
      <c r="Q151" s="61">
        <f t="shared" si="57"/>
        <v>0</v>
      </c>
      <c r="R151" s="61">
        <f t="shared" si="57"/>
        <v>0</v>
      </c>
      <c r="S151" s="61">
        <f t="shared" si="57"/>
        <v>0</v>
      </c>
      <c r="T151" s="61">
        <f t="shared" si="57"/>
        <v>0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84.431674436869514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2.1893201704347831</v>
      </c>
      <c r="U162" s="61">
        <f t="shared" si="65"/>
        <v>4.3270705739130433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0.70843895652173916</v>
      </c>
      <c r="C163" s="61">
        <f t="shared" si="66"/>
        <v>0.70843895652173916</v>
      </c>
      <c r="D163" s="61">
        <f t="shared" si="66"/>
        <v>0.63988034782608705</v>
      </c>
      <c r="E163" s="61">
        <f t="shared" si="66"/>
        <v>0.63988034782608705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0.70843895652173916</v>
      </c>
      <c r="Y163" s="61">
        <f t="shared" si="66"/>
        <v>0.70843895652173916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</v>
      </c>
      <c r="L164" s="61">
        <f t="shared" si="67"/>
        <v>0</v>
      </c>
      <c r="M164" s="61">
        <f t="shared" si="67"/>
        <v>0</v>
      </c>
      <c r="N164" s="61">
        <f t="shared" si="67"/>
        <v>0</v>
      </c>
      <c r="O164" s="61">
        <f t="shared" si="67"/>
        <v>0</v>
      </c>
      <c r="P164" s="61">
        <f t="shared" si="67"/>
        <v>0</v>
      </c>
      <c r="Q164" s="61">
        <f t="shared" si="67"/>
        <v>0</v>
      </c>
      <c r="R164" s="61">
        <f t="shared" si="67"/>
        <v>0</v>
      </c>
      <c r="S164" s="61">
        <f t="shared" si="67"/>
        <v>0</v>
      </c>
      <c r="T164" s="61">
        <f t="shared" si="67"/>
        <v>0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0.70843895652173916</v>
      </c>
      <c r="C172" s="61">
        <f t="shared" ref="C172:Y172" si="75">SUM(C162:C171)</f>
        <v>0.70843895652173916</v>
      </c>
      <c r="D172" s="61">
        <f t="shared" si="75"/>
        <v>0.63988034782608705</v>
      </c>
      <c r="E172" s="61">
        <f t="shared" si="75"/>
        <v>0.63988034782608705</v>
      </c>
      <c r="F172" s="61">
        <f t="shared" si="75"/>
        <v>0</v>
      </c>
      <c r="G172" s="61">
        <f t="shared" si="75"/>
        <v>5.3772581885217399</v>
      </c>
      <c r="H172" s="61">
        <f t="shared" si="75"/>
        <v>5.1768355617391331</v>
      </c>
      <c r="I172" s="61">
        <f t="shared" si="75"/>
        <v>5.1498728765217399</v>
      </c>
      <c r="J172" s="61">
        <f t="shared" si="75"/>
        <v>5.2658124229565226</v>
      </c>
      <c r="K172" s="61">
        <f t="shared" si="75"/>
        <v>4.459459745391305</v>
      </c>
      <c r="L172" s="61">
        <f t="shared" si="75"/>
        <v>4.3156062052173922</v>
      </c>
      <c r="M172" s="61">
        <f t="shared" si="75"/>
        <v>0</v>
      </c>
      <c r="N172" s="61">
        <f t="shared" si="75"/>
        <v>0</v>
      </c>
      <c r="O172" s="61">
        <f t="shared" si="75"/>
        <v>0</v>
      </c>
      <c r="P172" s="61">
        <f t="shared" si="75"/>
        <v>0</v>
      </c>
      <c r="Q172" s="61">
        <f t="shared" si="75"/>
        <v>0</v>
      </c>
      <c r="R172" s="61">
        <f t="shared" si="75"/>
        <v>0</v>
      </c>
      <c r="S172" s="61">
        <f t="shared" si="75"/>
        <v>0</v>
      </c>
      <c r="T172" s="61">
        <f t="shared" si="75"/>
        <v>2.1893201704347831</v>
      </c>
      <c r="U172" s="61">
        <f t="shared" si="75"/>
        <v>4.3270705739130433</v>
      </c>
      <c r="V172" s="61">
        <f t="shared" si="75"/>
        <v>0</v>
      </c>
      <c r="W172" s="61">
        <f t="shared" si="75"/>
        <v>0</v>
      </c>
      <c r="X172" s="61">
        <f t="shared" si="75"/>
        <v>0.70843895652173916</v>
      </c>
      <c r="Y172" s="61">
        <f t="shared" si="75"/>
        <v>0.70843895652173916</v>
      </c>
      <c r="AA172" s="64">
        <f>SUM(B172:Y172)</f>
        <v>40.37475226643479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</v>
      </c>
      <c r="Y198" s="61">
        <f t="shared" si="96"/>
        <v>0</v>
      </c>
      <c r="AA198" s="64">
        <f>SUM(B198:Y198)</f>
        <v>5.5761001739130442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0.70843895652173916</v>
      </c>
      <c r="C215" s="61">
        <f t="shared" ref="C215:Y215" si="108">C172</f>
        <v>0.70843895652173916</v>
      </c>
      <c r="D215" s="61">
        <f t="shared" si="108"/>
        <v>0.63988034782608705</v>
      </c>
      <c r="E215" s="61">
        <f t="shared" si="108"/>
        <v>0.63988034782608705</v>
      </c>
      <c r="F215" s="61">
        <f t="shared" si="108"/>
        <v>0</v>
      </c>
      <c r="G215" s="61">
        <f t="shared" si="108"/>
        <v>5.3772581885217399</v>
      </c>
      <c r="H215" s="61">
        <f t="shared" si="108"/>
        <v>5.1768355617391331</v>
      </c>
      <c r="I215" s="61">
        <f t="shared" si="108"/>
        <v>5.1498728765217399</v>
      </c>
      <c r="J215" s="61">
        <f t="shared" si="108"/>
        <v>5.2658124229565226</v>
      </c>
      <c r="K215" s="61">
        <f t="shared" si="108"/>
        <v>4.459459745391305</v>
      </c>
      <c r="L215" s="61">
        <f t="shared" si="108"/>
        <v>4.3156062052173922</v>
      </c>
      <c r="M215" s="61">
        <f t="shared" si="108"/>
        <v>0</v>
      </c>
      <c r="N215" s="61">
        <f t="shared" si="108"/>
        <v>0</v>
      </c>
      <c r="O215" s="61">
        <f t="shared" si="108"/>
        <v>0</v>
      </c>
      <c r="P215" s="61">
        <f t="shared" si="108"/>
        <v>0</v>
      </c>
      <c r="Q215" s="61">
        <f t="shared" si="108"/>
        <v>0</v>
      </c>
      <c r="R215" s="61">
        <f t="shared" si="108"/>
        <v>0</v>
      </c>
      <c r="S215" s="61">
        <f t="shared" si="108"/>
        <v>0</v>
      </c>
      <c r="T215" s="61">
        <f t="shared" si="108"/>
        <v>2.1893201704347831</v>
      </c>
      <c r="U215" s="61">
        <f t="shared" si="108"/>
        <v>4.3270705739130433</v>
      </c>
      <c r="V215" s="61">
        <f t="shared" si="108"/>
        <v>0</v>
      </c>
      <c r="W215" s="61">
        <f t="shared" si="108"/>
        <v>0</v>
      </c>
      <c r="X215" s="61">
        <f t="shared" si="108"/>
        <v>0.70843895652173916</v>
      </c>
      <c r="Y215" s="61">
        <f t="shared" si="108"/>
        <v>0.70843895652173916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84.431674436869542</v>
      </c>
      <c r="AB219" t="s">
        <v>222</v>
      </c>
    </row>
    <row r="220" spans="1:28" x14ac:dyDescent="0.25">
      <c r="AA220" s="30">
        <f>SUM(B215:Y217)</f>
        <v>45.950852440347823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9" activePane="bottomLeft" state="frozen"/>
      <selection pane="bottomLeft" activeCell="H80" sqref="H8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5454.9000000000005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5.5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2325.6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2.2999999999999998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3</v>
      </c>
      <c r="C53" s="60">
        <v>3</v>
      </c>
      <c r="D53" s="60">
        <v>3</v>
      </c>
      <c r="E53" s="60">
        <v>3</v>
      </c>
      <c r="F53" s="60">
        <v>3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3</v>
      </c>
      <c r="Y53" s="60">
        <v>3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5.5</v>
      </c>
      <c r="AZ54" s="84">
        <f t="shared" si="17"/>
        <v>2.2999999999999998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10.5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11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2.6869620842666664</v>
      </c>
      <c r="C110" s="61">
        <f t="shared" si="31"/>
        <v>2.6758128640000001</v>
      </c>
      <c r="D110" s="61">
        <f t="shared" si="31"/>
        <v>2.4168632320000003</v>
      </c>
      <c r="E110" s="61">
        <f t="shared" si="31"/>
        <v>2.4168632320000003</v>
      </c>
      <c r="F110" s="61">
        <f t="shared" si="31"/>
        <v>2.6758128640000001</v>
      </c>
      <c r="G110" s="61">
        <f t="shared" si="31"/>
        <v>2.5197237802666668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2.6702382538666662</v>
      </c>
      <c r="Y110" s="61">
        <f t="shared" si="31"/>
        <v>2.7204097450666662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1.23228224</v>
      </c>
      <c r="C112" s="61">
        <f t="shared" si="31"/>
        <v>1.23228224</v>
      </c>
      <c r="D112" s="61">
        <f t="shared" si="31"/>
        <v>1.11302912</v>
      </c>
      <c r="E112" s="61">
        <f t="shared" si="31"/>
        <v>1.11302912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1.23228224</v>
      </c>
      <c r="Y112" s="61">
        <f t="shared" si="31"/>
        <v>1.23228224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</v>
      </c>
      <c r="C120" s="61">
        <f t="shared" ref="C120:Y120" si="32">SUM(C110:C119)</f>
        <v>3.908095104</v>
      </c>
      <c r="D120" s="61">
        <f t="shared" si="32"/>
        <v>3.5298923520000001</v>
      </c>
      <c r="E120" s="61">
        <f t="shared" si="32"/>
        <v>3.5298923520000001</v>
      </c>
      <c r="F120" s="61">
        <f t="shared" si="32"/>
        <v>3.9621888639999998</v>
      </c>
      <c r="G120" s="61">
        <f t="shared" si="32"/>
        <v>3.9132977802666664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3.9025204938666662</v>
      </c>
      <c r="Y120" s="61">
        <f t="shared" si="32"/>
        <v>3.9526919850666662</v>
      </c>
      <c r="AA120" s="57">
        <f>SUM(B120:Y120)</f>
        <v>93.225053451199983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2.6869620842666664</v>
      </c>
      <c r="C136" s="61">
        <f t="shared" ref="C136:Y136" si="33">C110*(1-C123)</f>
        <v>2.6758128640000001</v>
      </c>
      <c r="D136" s="61">
        <f t="shared" si="33"/>
        <v>2.4168632320000003</v>
      </c>
      <c r="E136" s="61">
        <f t="shared" si="33"/>
        <v>2.4168632320000003</v>
      </c>
      <c r="F136" s="61">
        <f t="shared" si="33"/>
        <v>2.6758128640000001</v>
      </c>
      <c r="G136" s="61">
        <f t="shared" si="33"/>
        <v>2.5197237802666668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2.6702382538666662</v>
      </c>
      <c r="Y136" s="61">
        <f t="shared" si="33"/>
        <v>2.7204097450666662</v>
      </c>
      <c r="AA136" s="61">
        <f>SUM(B136:Y136)</f>
        <v>26.235994615466666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1.23228224</v>
      </c>
      <c r="C138" s="61">
        <f t="shared" si="34"/>
        <v>1.23228224</v>
      </c>
      <c r="D138" s="61">
        <f t="shared" si="34"/>
        <v>1.11302912</v>
      </c>
      <c r="E138" s="61">
        <f t="shared" si="34"/>
        <v>1.11302912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1.23228224</v>
      </c>
      <c r="Y138" s="61">
        <f t="shared" si="34"/>
        <v>1.23228224</v>
      </c>
      <c r="AA138" s="61">
        <f t="shared" ref="AA138:AA144" si="35">SUM(B138:Y138)</f>
        <v>7.1551872000000003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35.637152815466663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37.419010456239995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0.15561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0.160797</v>
      </c>
      <c r="P172" s="61">
        <f t="shared" si="57"/>
        <v>0.160797</v>
      </c>
      <c r="Q172" s="61">
        <f t="shared" si="57"/>
        <v>0.160797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8.3729751000000014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2.3031078000000003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1.286376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3.5479878000000005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1.24488</v>
      </c>
      <c r="M185" s="61">
        <f>SUM(CdTrp2!M175:M184)</f>
        <v>1.24488</v>
      </c>
      <c r="N185" s="61">
        <f>SUM(CdTrp2!N175:N184)</f>
        <v>1.286376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1.24488</v>
      </c>
      <c r="S185" s="61">
        <f>SUM(CdTrp2!S175:S184)</f>
        <v>1.24488</v>
      </c>
      <c r="T185" s="61">
        <f>SUM(CdTrp2!T175:T184)</f>
        <v>1.286376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28.833987699999998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1.2972607199999999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2.63014416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0.15561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0.160797</v>
      </c>
      <c r="P215" s="61">
        <f t="shared" si="90"/>
        <v>0.160797</v>
      </c>
      <c r="Q215" s="61">
        <f t="shared" si="90"/>
        <v>0.160797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3.5479878000000005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1.24488</v>
      </c>
      <c r="M216" s="61">
        <f t="shared" si="91"/>
        <v>1.24488</v>
      </c>
      <c r="N216" s="61">
        <f t="shared" si="91"/>
        <v>1.286376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1.24488</v>
      </c>
      <c r="S216" s="61">
        <f t="shared" si="91"/>
        <v>1.24488</v>
      </c>
      <c r="T216" s="61">
        <f t="shared" si="91"/>
        <v>1.286376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1.2972607199999999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39.837106959999993</v>
      </c>
      <c r="AB219" t="s">
        <v>222</v>
      </c>
    </row>
    <row r="220" spans="1:28" x14ac:dyDescent="0.25">
      <c r="AA220" s="30">
        <f>SUM(B215:Y217)</f>
        <v>39.837106959999993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2023-01-09T10:12:49Z</dcterms:modified>
</cp:coreProperties>
</file>