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firstSheet="6" activeTab="12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4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H25" i="29"/>
  <c r="BI25" i="29"/>
  <c r="BJ25" i="29"/>
  <c r="BK25" i="29"/>
  <c r="BL25" i="29"/>
  <c r="BG2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B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CT108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8" i="30"/>
  <c r="BR108" i="30"/>
  <c r="BQ108" i="30"/>
  <c r="AZ108" i="30"/>
  <c r="AY108" i="30"/>
  <c r="AX108" i="30"/>
  <c r="AW108" i="30"/>
  <c r="AV108" i="30"/>
  <c r="BS106" i="30"/>
  <c r="BR106" i="30"/>
  <c r="BQ106" i="30"/>
  <c r="BP106" i="30"/>
  <c r="AX106" i="30"/>
  <c r="AW106" i="30"/>
  <c r="AV106" i="30"/>
  <c r="AU105" i="30"/>
  <c r="BO109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O76" i="30"/>
  <c r="N76" i="30"/>
  <c r="M76" i="30"/>
  <c r="G76" i="30"/>
  <c r="O75" i="30"/>
  <c r="N75" i="30"/>
  <c r="M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U33" i="29"/>
  <c r="M33" i="29"/>
  <c r="L33" i="29"/>
  <c r="K33" i="29"/>
  <c r="J33" i="29"/>
  <c r="I33" i="29"/>
  <c r="C33" i="29"/>
  <c r="V31" i="29"/>
  <c r="U31" i="29"/>
  <c r="M31" i="29"/>
  <c r="L31" i="29"/>
  <c r="K31" i="29"/>
  <c r="J31" i="29"/>
  <c r="I31" i="29"/>
  <c r="C31" i="29"/>
  <c r="Z30" i="29"/>
  <c r="Y30" i="29"/>
  <c r="V30" i="29"/>
  <c r="U30" i="29"/>
  <c r="M30" i="29"/>
  <c r="L30" i="29"/>
  <c r="K30" i="29"/>
  <c r="J30" i="29"/>
  <c r="I30" i="29"/>
  <c r="D30" i="29"/>
  <c r="C30" i="29"/>
  <c r="Z29" i="29"/>
  <c r="Y29" i="29"/>
  <c r="V29" i="29"/>
  <c r="U29" i="29"/>
  <c r="M29" i="29"/>
  <c r="L29" i="29"/>
  <c r="K29" i="29"/>
  <c r="J29" i="29"/>
  <c r="I29" i="29"/>
  <c r="D29" i="29"/>
  <c r="C29" i="29"/>
  <c r="K12" i="29"/>
  <c r="J12" i="29"/>
  <c r="I12" i="29"/>
  <c r="F12" i="29"/>
  <c r="E12" i="29"/>
  <c r="D12" i="29"/>
  <c r="C12" i="29"/>
  <c r="K10" i="29"/>
  <c r="J10" i="29"/>
  <c r="I10" i="29"/>
  <c r="F10" i="29"/>
  <c r="E10" i="29"/>
  <c r="D10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BD86" i="30" l="1"/>
  <c r="AZ87" i="30"/>
  <c r="BR87" i="30"/>
  <c r="CJ87" i="30"/>
  <c r="AX87" i="30"/>
  <c r="CH87" i="30"/>
  <c r="CH86" i="30"/>
  <c r="AV86" i="30"/>
  <c r="CJ86" i="30"/>
  <c r="BB86" i="30"/>
  <c r="BC86" i="30"/>
  <c r="AY87" i="30"/>
  <c r="BS87" i="30"/>
  <c r="CI86" i="30"/>
  <c r="CI87" i="30"/>
  <c r="AW86" i="30"/>
  <c r="BQ86" i="30"/>
  <c r="BA87" i="30"/>
  <c r="CK86" i="30"/>
  <c r="CK87" i="30"/>
  <c r="AX86" i="30"/>
  <c r="BR86" i="30"/>
  <c r="BB87" i="30"/>
  <c r="CT86" i="30"/>
  <c r="CT87" i="30"/>
  <c r="CM107" i="30"/>
  <c r="AY86" i="30"/>
  <c r="BS86" i="30"/>
  <c r="BC87" i="30"/>
  <c r="CU86" i="30"/>
  <c r="CU87" i="30"/>
  <c r="AZ86" i="30"/>
  <c r="AV87" i="30"/>
  <c r="BD87" i="30"/>
  <c r="CV86" i="30"/>
  <c r="CV87" i="30"/>
  <c r="BA86" i="30"/>
  <c r="AW87" i="30"/>
  <c r="BQ87" i="30"/>
  <c r="CG86" i="30"/>
  <c r="CW86" i="30"/>
  <c r="CG87" i="30"/>
  <c r="CW87" i="30"/>
  <c r="BH106" i="30"/>
  <c r="BH108" i="30"/>
  <c r="CE108" i="30"/>
  <c r="CU108" i="30"/>
  <c r="CU107" i="30"/>
  <c r="AZ109" i="30"/>
  <c r="CM106" i="30"/>
  <c r="AZ106" i="30"/>
  <c r="BP109" i="30"/>
  <c r="CU106" i="30"/>
  <c r="BA106" i="30"/>
  <c r="BI106" i="30"/>
  <c r="BA108" i="30"/>
  <c r="BI108" i="30"/>
  <c r="BA109" i="30"/>
  <c r="BQ109" i="30"/>
  <c r="CN106" i="30"/>
  <c r="CV107" i="30"/>
  <c r="CF108" i="30"/>
  <c r="CV108" i="30"/>
  <c r="BB106" i="30"/>
  <c r="BJ106" i="30"/>
  <c r="BB107" i="30"/>
  <c r="BB108" i="30"/>
  <c r="BJ108" i="30"/>
  <c r="BB109" i="30"/>
  <c r="BR109" i="30"/>
  <c r="CO106" i="30"/>
  <c r="CW107" i="30"/>
  <c r="CG108" i="30"/>
  <c r="CW108" i="30"/>
  <c r="BC106" i="30"/>
  <c r="BK106" i="30"/>
  <c r="BC107" i="30"/>
  <c r="BC108" i="30"/>
  <c r="BK108" i="30"/>
  <c r="BC109" i="30"/>
  <c r="BS109" i="30"/>
  <c r="CH106" i="30"/>
  <c r="CP106" i="30"/>
  <c r="CH107" i="30"/>
  <c r="CH108" i="30"/>
  <c r="CP108" i="30"/>
  <c r="BD106" i="30"/>
  <c r="BL106" i="30"/>
  <c r="AV107" i="30"/>
  <c r="BD107" i="30"/>
  <c r="BD108" i="30"/>
  <c r="BL108" i="30"/>
  <c r="AV109" i="30"/>
  <c r="BD109" i="30"/>
  <c r="CI106" i="30"/>
  <c r="CQ106" i="30"/>
  <c r="CI107" i="30"/>
  <c r="CI108" i="30"/>
  <c r="CQ108" i="30"/>
  <c r="BE106" i="30"/>
  <c r="BM106" i="30"/>
  <c r="AW107" i="30"/>
  <c r="BE108" i="30"/>
  <c r="BM108" i="30"/>
  <c r="AW109" i="30"/>
  <c r="CJ106" i="30"/>
  <c r="CR106" i="30"/>
  <c r="CJ107" i="30"/>
  <c r="CJ108" i="30"/>
  <c r="CR108" i="30"/>
  <c r="BF106" i="30"/>
  <c r="BN106" i="30"/>
  <c r="AX107" i="30"/>
  <c r="BF108" i="30"/>
  <c r="BN108" i="30"/>
  <c r="AX109" i="30"/>
  <c r="CK106" i="30"/>
  <c r="CS106" i="30"/>
  <c r="CK107" i="30"/>
  <c r="CK108" i="30"/>
  <c r="CS108" i="30"/>
  <c r="AY106" i="30"/>
  <c r="BG106" i="30"/>
  <c r="BO106" i="30"/>
  <c r="AY107" i="30"/>
  <c r="BG108" i="30"/>
  <c r="AY109" i="30"/>
  <c r="CL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T246" i="3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O92" i="30" s="1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225" i="33" l="1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8" i="29" s="1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D187" i="33" s="1"/>
  <c r="AJ218" i="33" s="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25" i="29"/>
  <c r="U26" i="29"/>
  <c r="U25" i="29"/>
  <c r="C3" i="29"/>
  <c r="C201" i="29" s="1"/>
  <c r="S25" i="29"/>
  <c r="S29" i="29" s="1"/>
  <c r="F5" i="29"/>
  <c r="F20" i="29"/>
  <c r="F21" i="29" s="1"/>
  <c r="F7" i="29" s="1"/>
  <c r="F4" i="29"/>
  <c r="F3" i="29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W26" i="30"/>
  <c r="CW60" i="30" s="1"/>
  <c r="CW106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U8" i="29" l="1"/>
  <c r="Q8" i="29"/>
  <c r="Q201" i="29" s="1"/>
  <c r="L8" i="29"/>
  <c r="L201" i="29" s="1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N201" i="29"/>
  <c r="P201" i="29"/>
  <c r="I201" i="29"/>
  <c r="M201" i="29"/>
  <c r="K201" i="29"/>
  <c r="U167" i="28"/>
  <c r="V167" i="28"/>
  <c r="W167" i="28"/>
  <c r="AF188" i="28"/>
  <c r="V188" i="28"/>
  <c r="W188" i="28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AI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S57" i="29"/>
  <c r="AE177" i="31"/>
  <c r="U172" i="31"/>
  <c r="CI60" i="30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CG73" i="30"/>
  <c r="AW61" i="30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87" i="28" l="1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F86" i="30"/>
  <c r="CF87" i="30"/>
  <c r="CE86" i="30"/>
  <c r="CE87" i="30"/>
  <c r="CD87" i="30"/>
  <c r="CD86" i="30"/>
  <c r="CC87" i="30"/>
  <c r="CC86" i="30"/>
  <c r="CB86" i="30"/>
  <c r="CB87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J154" i="31" l="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147" i="33" l="1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6" i="30" l="1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B49" i="18"/>
  <c r="AA49" i="18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2" i="7"/>
  <c r="U25" i="7"/>
  <c r="U27" i="7"/>
  <c r="U28" i="7"/>
  <c r="U29" i="7"/>
  <c r="U30" i="7"/>
  <c r="U36" i="7"/>
  <c r="U37" i="7"/>
  <c r="S2" i="7"/>
  <c r="BA4" i="29" s="1"/>
  <c r="S3" i="7"/>
  <c r="S5" i="7"/>
  <c r="S6" i="7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T6" i="7"/>
  <c r="T7" i="7"/>
  <c r="T15" i="7"/>
  <c r="T10" i="7"/>
  <c r="V22" i="7"/>
  <c r="T22" i="7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S17" i="7"/>
  <c r="R17" i="7"/>
  <c r="S10" i="7"/>
  <c r="R10" i="7"/>
  <c r="S22" i="7"/>
  <c r="R22" i="7"/>
  <c r="R12" i="7"/>
  <c r="S12" i="7"/>
  <c r="R11" i="7"/>
  <c r="S11" i="7"/>
  <c r="R15" i="7"/>
  <c r="S15" i="7"/>
  <c r="R23" i="7"/>
  <c r="S23" i="7"/>
  <c r="U35" i="7"/>
  <c r="M25" i="7"/>
  <c r="T3" i="7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R36" i="7"/>
  <c r="S36" i="7"/>
  <c r="R19" i="7"/>
  <c r="S19" i="7"/>
  <c r="U31" i="7"/>
  <c r="M30" i="7"/>
  <c r="BH31" i="29" l="1"/>
  <c r="AP6" i="29" s="1"/>
  <c r="AD22" i="29" s="1"/>
  <c r="AF22" i="29" s="1"/>
  <c r="AK21" i="29" s="1"/>
  <c r="AK25" i="29" s="1"/>
  <c r="C183" i="33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5" i="33" l="1"/>
  <c r="T234" i="31"/>
  <c r="T272" i="31" s="1"/>
  <c r="X272" i="31" s="1"/>
  <c r="J142" i="31" s="1"/>
  <c r="C220" i="33" s="1"/>
  <c r="B83" i="30"/>
  <c r="F83" i="30" s="1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5" i="33" l="1"/>
  <c r="F84" i="30"/>
  <c r="C192" i="33" s="1"/>
  <c r="AK26" i="29"/>
  <c r="C184" i="33" s="1"/>
  <c r="X234" i="31"/>
  <c r="C307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4" i="33" l="1"/>
  <c r="D183" i="33" s="1"/>
  <c r="AJ216" i="33" s="1"/>
  <c r="AN216" i="33" s="1"/>
  <c r="D220" i="33" s="1"/>
  <c r="C276" i="33"/>
  <c r="B115" i="30"/>
  <c r="B126" i="30" s="1"/>
  <c r="X237" i="31"/>
  <c r="C243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R39" i="23" l="1"/>
  <c r="H93" i="23" s="1"/>
  <c r="H95" i="23" s="1"/>
  <c r="AK225" i="33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D243" i="33"/>
  <c r="C290" i="33"/>
  <c r="BR37" i="23"/>
  <c r="F93" i="23" s="1"/>
  <c r="F95" i="23" s="1"/>
  <c r="W172" i="18"/>
  <c r="W215" i="18" s="1"/>
  <c r="AB5" i="22" s="1"/>
  <c r="BN15" i="23" s="1"/>
  <c r="BN21" i="23" s="1"/>
  <c r="D276" i="33"/>
  <c r="D290" i="33" s="1"/>
  <c r="AA237" i="31"/>
  <c r="C244" i="3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44" i="33" l="1"/>
  <c r="D292" i="33"/>
  <c r="D294" i="33" s="1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161" i="33" l="1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<sst xmlns="http://schemas.openxmlformats.org/spreadsheetml/2006/main" count="3098" uniqueCount="1464">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</sst>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47.284000000000006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155.58039004346091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143.69999999999999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24.5</v>
      </c>
      <c r="H18" s="158">
        <f>G18/G17</f>
        <v>0.42608695652173911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0.34782608695652173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9.5652173913043481E-2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abSelected="1" topLeftCell="A5" zoomScale="80" zoomScaleNormal="80" workbookViewId="0">
      <selection activeCell="N19" sqref="N1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47.284000000000006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47.284000000000006</v>
      </c>
      <c r="G9" s="81"/>
      <c r="H9" s="61">
        <f>SUM(L34:L43)</f>
        <v>0</v>
      </c>
      <c r="I9" s="81"/>
      <c r="J9" s="81"/>
      <c r="K9" s="93">
        <f>H9-F9</f>
        <v>-47.284000000000006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143.69999999999999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-29.894999999999982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143.69999999999999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-29.894999999999982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zoomScale="80" workbookViewId="0">
      <selection activeCell="A16" sqref="A16:XFD16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8224.1835988409512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8224.1835988409512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108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8224.1835988409512</v>
      </c>
      <c r="U66" s="170">
        <f>SUMIF(Parcellaire!$B$2:$B$65,1,Parcellaire!U2:U65)</f>
        <v>7004.0396609330137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4" zoomScale="80" zoomScaleNormal="80" workbookViewId="0">
      <selection activeCell="K2" sqref="K2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8224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9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2174.8500869565223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112.97269565217391</v>
      </c>
      <c r="J13" s="30">
        <f t="shared" si="8"/>
        <v>126.92643478260869</v>
      </c>
      <c r="K13" s="30">
        <f t="shared" si="8"/>
        <v>126.88017391304348</v>
      </c>
      <c r="L13" s="30">
        <f t="shared" si="8"/>
        <v>123.33391304347826</v>
      </c>
      <c r="M13" s="30">
        <f t="shared" si="8"/>
        <v>112.78765217391305</v>
      </c>
      <c r="N13" s="30">
        <f t="shared" si="8"/>
        <v>116.24139130434783</v>
      </c>
      <c r="O13" s="30">
        <f t="shared" si="8"/>
        <v>114.3988695652174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99.011043478260873</v>
      </c>
      <c r="AA13" s="30">
        <f t="shared" si="8"/>
        <v>113.01104347826087</v>
      </c>
      <c r="AB13" s="30">
        <f t="shared" si="8"/>
        <v>114.90773913043478</v>
      </c>
      <c r="AC13" s="30">
        <f t="shared" si="8"/>
        <v>107.90773913043478</v>
      </c>
      <c r="AD13" s="30">
        <f t="shared" si="8"/>
        <v>107.90773913043478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3</v>
      </c>
      <c r="D16" s="190">
        <f>IF(B16&gt;0,VLOOKUP(C16,[1]Trav!$A$86:$D$90,4),0)</f>
        <v>42</v>
      </c>
      <c r="E16" s="190">
        <f>Scénario!K54*2</f>
        <v>7</v>
      </c>
      <c r="F16" s="173">
        <f>IF(B16&gt;0,D16*E16/B16,0)</f>
        <v>294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1389.1000869565219</v>
      </c>
      <c r="C91" s="5"/>
      <c r="D91" s="202">
        <f>B91/Troupeau!$B$17</f>
        <v>4.5694081807780327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2062.1500869565216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294</v>
      </c>
      <c r="C95" s="5"/>
      <c r="D95" s="202">
        <f>B95/Troupeau!$B$17</f>
        <v>0.96710526315789469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294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3074.4500869565218</v>
      </c>
      <c r="D118" s="202">
        <f>B118/Troupeau!$B$17</f>
        <v>10.113322654462243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763.05</v>
      </c>
      <c r="D119" s="202">
        <f>IF(B119=0,0,B119/Troupeau!$C$17)</f>
        <v>40.160526315789468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3837.500086956522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4770.500086956522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3180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110223.36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29.894999999999982</v>
      </c>
      <c r="C118" s="190">
        <f>IF(Scénario!$K$12="BV",[1]Eco!$B$78,IF(Scénario!$K$12="BL",[1]Eco!$B$77,[1]Eco!$B$76))</f>
        <v>223</v>
      </c>
      <c r="J118" s="173">
        <f>B118*C118</f>
        <v>6666.5849999999955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47.284000000000006</v>
      </c>
      <c r="C119" s="190">
        <f>[1]Eco!$B$79</f>
        <v>80</v>
      </c>
      <c r="J119" s="173">
        <f>B119*C119</f>
        <v>3782.7200000000003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121.5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349.65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551.43000000000006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41582.284999999996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30052.799999999999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38588.275000000009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25726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27188.275000000009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18126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36.75</v>
      </c>
      <c r="W247" s="173">
        <f>[1]Eco!$B$111</f>
        <v>28.3</v>
      </c>
      <c r="X247" s="173">
        <f>T247*W247</f>
        <v>1040.0250000000001</v>
      </c>
    </row>
    <row r="248" spans="17:31" x14ac:dyDescent="0.25">
      <c r="W248" s="14" t="s">
        <v>1117</v>
      </c>
      <c r="X248" s="173">
        <f>SUM(X245:X247)</f>
        <v>1040.0250000000001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9179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240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7343.2000000000007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7343.2000000000007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Z1_OLBV_T3PT_si</v>
      </c>
      <c r="D1" s="275" t="str">
        <f>CONCATENATE(C1,"_corr")</f>
        <v>Z1_OLBV_T3PT_si_corr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3. 7 visites par semaine</v>
      </c>
      <c r="D26" s="177" t="str">
        <f t="shared" si="0"/>
        <v>3. 7 visites par semaine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</v>
      </c>
      <c r="D136" s="262">
        <f t="shared" si="25"/>
        <v>0.49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143.69999999999999</v>
      </c>
      <c r="D172" s="263">
        <f t="shared" si="50"/>
        <v>137.96633416458852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-29.894999999999982</v>
      </c>
      <c r="D175" s="263">
        <f>C175*$D$82/$C$82</f>
        <v>-28.702182044887763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29.894999999999982</v>
      </c>
      <c r="D176" s="263">
        <f>C176*$D$82/$C$82</f>
        <v>28.702182044887763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88</v>
      </c>
      <c r="D178" s="173">
        <f>ROUND((D170+D171)/(D170+D172),2)*100</f>
        <v>88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36.75</v>
      </c>
      <c r="AN191" s="173">
        <f>[1]Eco!$B$111</f>
        <v>28.3</v>
      </c>
      <c r="AO191" s="173">
        <f>AK191*AN191</f>
        <v>1040.0250000000001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1040.0250000000001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230.42394014962593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1040.0250000000001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1040.0250000000001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48306.2</v>
      </c>
      <c r="D211" s="264">
        <f>ROUND(SUM(D201:D210),0)</f>
        <v>47116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2049.98</v>
      </c>
      <c r="D217" s="261">
        <f t="shared" si="106"/>
        <v>1968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10449.304999999997</v>
      </c>
      <c r="D218" s="261">
        <f t="shared" si="106"/>
        <v>10032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41582</v>
      </c>
      <c r="D221" s="264">
        <f>ROUND(SUM(D216:D220),0)</f>
        <v>39923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30053</v>
      </c>
      <c r="D236" s="264">
        <f>ROUND(SUM(D222:D235),0)</f>
        <v>29099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38588.199999999997</v>
      </c>
      <c r="D237" s="264">
        <f>D194+D211-D221-D236</f>
        <v>37540</v>
      </c>
    </row>
    <row r="238" spans="1:49" x14ac:dyDescent="0.25">
      <c r="B238" s="211" t="s">
        <v>1090</v>
      </c>
      <c r="C238" s="173">
        <f>ROUND(C237/Scénario!$K$4,0)</f>
        <v>25725</v>
      </c>
      <c r="D238" s="264">
        <f>ROUND(D237/D83,0)</f>
        <v>18770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27188</v>
      </c>
      <c r="D241" s="268">
        <f>ROUND(D237-D239-D240,0)</f>
        <v>26140</v>
      </c>
    </row>
    <row r="242" spans="1:15" x14ac:dyDescent="0.25">
      <c r="B242" s="211" t="s">
        <v>1094</v>
      </c>
      <c r="C242" s="173">
        <f>ROUND(C241/Scénario!K4,0)</f>
        <v>18125</v>
      </c>
      <c r="D242" s="264">
        <f>ROUND(D241/D83,0)</f>
        <v>13070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294</v>
      </c>
      <c r="D251" s="173">
        <f>C251</f>
        <v>294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3075</v>
      </c>
      <c r="D281" s="264">
        <f>ROUND(D245+D248+D251+D254+D257+D260+D261,0)</f>
        <v>3020</v>
      </c>
    </row>
    <row r="282" spans="1:4" x14ac:dyDescent="0.25">
      <c r="B282" s="14" t="s">
        <v>1372</v>
      </c>
      <c r="C282" s="173">
        <f>ROUND(C246+C249+C252+C255+C258,0)</f>
        <v>763</v>
      </c>
      <c r="D282" s="264">
        <f>ROUND(D246+D249+D252+D255+D258,0)</f>
        <v>759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10.119999999999999</v>
      </c>
      <c r="D284" s="173">
        <f>ROUND(D281/(Troupeau!$B$17*G63),2)</f>
        <v>10.35</v>
      </c>
    </row>
    <row r="285" spans="1:4" x14ac:dyDescent="0.25">
      <c r="B285" s="14" t="s">
        <v>1375</v>
      </c>
      <c r="C285" s="173">
        <f>IF(Troupeau!$C$17=0,0,ROUND(C282/Troupeau!$C$17,2))</f>
        <v>40.159999999999997</v>
      </c>
      <c r="D285" s="173">
        <f>IF(Troupeau!$C$17=0,0,ROUND(D282/Troupeau!$C$17*G63,2))</f>
        <v>38.35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3838</v>
      </c>
      <c r="D287" s="264">
        <f>SUM(D281:D283)</f>
        <v>3779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4771</v>
      </c>
      <c r="D292" s="264">
        <f>ROUND(SUM(D287:D291),0)</f>
        <v>4703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3181</v>
      </c>
      <c r="D294" s="173">
        <f>ROUND((D292-D293)/D83,0)</f>
        <v>2352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36" activePane="bottomLeft" state="frozen"/>
      <selection pane="bottomLeft" activeCell="V55" sqref="V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33.084000000000003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H80" sqref="H8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2023-01-15T15:29:22Z</dcterms:modified>
</cp:coreProperties>
</file>