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7" activeTab="8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50" r:id="rId18"/>
  </pivotCaches>
</workbook>
</file>

<file path=xl/calcChain.xml><?xml version="1.0" encoding="utf-8"?>
<calcChain xmlns="http://schemas.openxmlformats.org/spreadsheetml/2006/main">
  <c r="B202" i="24" l="1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L201" i="24"/>
  <c r="M201" i="24"/>
  <c r="N201" i="24"/>
  <c r="O201" i="24"/>
  <c r="P201" i="24"/>
  <c r="Q201" i="24"/>
  <c r="R201" i="24"/>
  <c r="S201" i="24"/>
  <c r="T201" i="24"/>
  <c r="U201" i="24"/>
  <c r="V201" i="24"/>
  <c r="W201" i="24"/>
  <c r="X201" i="24"/>
  <c r="Y201" i="24"/>
  <c r="B201" i="24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H15" i="29"/>
  <c r="BG10" i="29"/>
  <c r="BH10" i="29"/>
  <c r="BI10" i="29"/>
  <c r="BJ10" i="29"/>
  <c r="BK10" i="29"/>
  <c r="BL10" i="29"/>
  <c r="BJ7" i="29"/>
  <c r="BK7" i="29"/>
  <c r="BL7" i="29"/>
  <c r="BI7" i="29"/>
  <c r="BG7" i="29"/>
  <c r="BH7" i="29"/>
  <c r="BK14" i="29"/>
  <c r="BJ14" i="29"/>
  <c r="BL14" i="29"/>
  <c r="BG14" i="29"/>
  <c r="BH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I18" i="29"/>
  <c r="BJ18" i="29"/>
  <c r="BK18" i="29"/>
  <c r="BL18" i="29"/>
  <c r="BH17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H21" i="29"/>
  <c r="BI20" i="29"/>
  <c r="BH13" i="29"/>
  <c r="BI12" i="29"/>
  <c r="BD9" i="29"/>
  <c r="BE9" i="29" s="1"/>
  <c r="BF9" i="29" s="1"/>
  <c r="BJ9" i="29" s="1"/>
  <c r="BH28" i="29"/>
  <c r="BI27" i="29"/>
  <c r="BH20" i="29"/>
  <c r="BH12" i="29"/>
  <c r="BH27" i="29"/>
  <c r="BL23" i="29"/>
  <c r="BI19" i="29" l="1"/>
  <c r="BH19" i="29"/>
  <c r="BH11" i="29"/>
  <c r="BJ19" i="29"/>
  <c r="BK19" i="29"/>
  <c r="BG11" i="29"/>
  <c r="BL11" i="29"/>
  <c r="BH9" i="29"/>
  <c r="BI9" i="29"/>
  <c r="BG9" i="29"/>
  <c r="BG1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F30" i="29"/>
  <c r="E30" i="29"/>
  <c r="D30" i="29"/>
  <c r="C30" i="29"/>
  <c r="Z29" i="29"/>
  <c r="Y29" i="29"/>
  <c r="F29" i="29"/>
  <c r="E29" i="29"/>
  <c r="D29" i="29"/>
  <c r="C29" i="29"/>
  <c r="K12" i="29"/>
  <c r="J12" i="29"/>
  <c r="I12" i="29"/>
  <c r="H12" i="29"/>
  <c r="E12" i="29"/>
  <c r="D12" i="29"/>
  <c r="C12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AV91" i="30" s="1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S20" i="29"/>
  <c r="C20" i="29"/>
  <c r="S4" i="29"/>
  <c r="C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8" i="29" l="1"/>
  <c r="D16" i="30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T10" i="7"/>
  <c r="T9" i="7"/>
  <c r="T8" i="7"/>
  <c r="AB24" i="28" l="1"/>
  <c r="Z72" i="30"/>
  <c r="T72" i="30"/>
  <c r="P8" i="29"/>
  <c r="P201" i="29" s="1"/>
  <c r="Y72" i="30"/>
  <c r="T8" i="29"/>
  <c r="T201" i="29" s="1"/>
  <c r="X72" i="30"/>
  <c r="M8" i="29"/>
  <c r="M201" i="29" s="1"/>
  <c r="Q72" i="30"/>
  <c r="U72" i="30"/>
  <c r="Q8" i="29"/>
  <c r="Q201" i="29" s="1"/>
  <c r="V72" i="30"/>
  <c r="R8" i="29"/>
  <c r="P72" i="30"/>
  <c r="R72" i="30"/>
  <c r="N8" i="29"/>
  <c r="N201" i="29" s="1"/>
  <c r="S72" i="30"/>
  <c r="O8" i="29"/>
  <c r="O201" i="29" s="1"/>
  <c r="W72" i="30"/>
  <c r="Z24" i="28"/>
  <c r="W24" i="28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Y201" i="29"/>
  <c r="I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K224" i="33" l="1"/>
  <c r="AO224" i="33" s="1"/>
  <c r="F72" i="30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191" i="33" l="1"/>
  <c r="B109" i="30"/>
  <c r="B112" i="30" s="1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D191" i="33" l="1"/>
  <c r="C275" i="33"/>
  <c r="D275" i="33" s="1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Z76" i="33"/>
  <c r="AZ122" i="33" s="1"/>
  <c r="AZ168" i="33" s="1"/>
  <c r="AZ152" i="33"/>
  <c r="BC76" i="33"/>
  <c r="BC152" i="33"/>
  <c r="AW76" i="33"/>
  <c r="AW122" i="33" s="1"/>
  <c r="AW168" i="33" s="1"/>
  <c r="AW152" i="33"/>
  <c r="AV76" i="33"/>
  <c r="AV152" i="33"/>
  <c r="BS76" i="33"/>
  <c r="BS122" i="33" s="1"/>
  <c r="BS168" i="33" s="1"/>
  <c r="BS152" i="33"/>
  <c r="AX76" i="33"/>
  <c r="AX152" i="33"/>
  <c r="BD76" i="33"/>
  <c r="BD122" i="33" s="1"/>
  <c r="BD168" i="33" s="1"/>
  <c r="BD152" i="33"/>
  <c r="BR76" i="33"/>
  <c r="BR152" i="33"/>
  <c r="AY76" i="33"/>
  <c r="AY122" i="33" s="1"/>
  <c r="AY168" i="33" s="1"/>
  <c r="AY152" i="33"/>
  <c r="BB76" i="33"/>
  <c r="BB152" i="33"/>
  <c r="BQ76" i="33"/>
  <c r="BQ133" i="33" s="1"/>
  <c r="BQ152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Z133" i="33" l="1"/>
  <c r="BS133" i="33"/>
  <c r="AY133" i="33"/>
  <c r="AW133" i="33"/>
  <c r="BD133" i="33"/>
  <c r="BQ122" i="33"/>
  <c r="BQ168" i="33" s="1"/>
  <c r="BC160" i="33"/>
  <c r="BC161" i="33" s="1"/>
  <c r="BC162" i="33" s="1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P76" i="33" l="1"/>
  <c r="BP122" i="33" s="1"/>
  <c r="BP168" i="33" s="1"/>
  <c r="BP152" i="33"/>
  <c r="BP160" i="33" s="1"/>
  <c r="BP161" i="33" s="1"/>
  <c r="BP162" i="33" s="1"/>
  <c r="BO76" i="33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K142" i="33"/>
  <c r="BO151" i="33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60" i="33" l="1"/>
  <c r="BO161" i="33" s="1"/>
  <c r="BO162" i="33" s="1"/>
  <c r="BP133" i="33"/>
  <c r="BP145" i="33" s="1"/>
  <c r="CE146" i="33"/>
  <c r="CE147" i="33" s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8" i="33"/>
  <c r="DO147" i="33"/>
  <c r="AX146" i="33"/>
  <c r="BP178" i="33"/>
  <c r="BI146" i="33"/>
  <c r="BM146" i="33"/>
  <c r="BG146" i="33"/>
  <c r="BP143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BP142" i="33" l="1"/>
  <c r="BP146" i="33" s="1"/>
  <c r="BP148" i="33" s="1"/>
  <c r="BP144" i="33"/>
  <c r="CE148" i="33"/>
  <c r="AY148" i="33"/>
  <c r="AY163" i="33" s="1"/>
  <c r="CF148" i="33"/>
  <c r="CF163" i="33" s="1"/>
  <c r="CB148" i="33"/>
  <c r="CB163" i="33" s="1"/>
  <c r="AZ147" i="33"/>
  <c r="AZ163" i="33" s="1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11" i="24" l="1"/>
  <c r="L218" i="24" s="1"/>
  <c r="L162" i="24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K172" i="24" l="1"/>
  <c r="K215" i="24" s="1"/>
  <c r="P211" i="24"/>
  <c r="P218" i="24" s="1"/>
  <c r="P162" i="24"/>
  <c r="P172" i="24" s="1"/>
  <c r="P215" i="24" s="1"/>
  <c r="O211" i="24"/>
  <c r="O218" i="24" s="1"/>
  <c r="O162" i="24"/>
  <c r="O172" i="24" s="1"/>
  <c r="O215" i="24" s="1"/>
  <c r="Q211" i="24"/>
  <c r="Q218" i="24" s="1"/>
  <c r="Q162" i="24"/>
  <c r="Q172" i="24" s="1"/>
  <c r="Q215" i="24" s="1"/>
  <c r="M211" i="24"/>
  <c r="M218" i="24" s="1"/>
  <c r="M162" i="24"/>
  <c r="M172" i="24" s="1"/>
  <c r="M215" i="24" s="1"/>
  <c r="N211" i="24"/>
  <c r="N218" i="24" s="1"/>
  <c r="N162" i="24"/>
  <c r="N172" i="24" s="1"/>
  <c r="N215" i="24" s="1"/>
  <c r="R211" i="24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U185" i="24"/>
  <c r="U216" i="24" s="1"/>
  <c r="AA219" i="24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72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220" i="24" l="1"/>
  <c r="C300" i="33" s="1"/>
  <c r="AA185" i="24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U20" i="7"/>
  <c r="U21" i="7"/>
  <c r="U22" i="7"/>
  <c r="U24" i="7"/>
  <c r="U25" i="7"/>
  <c r="U26" i="7"/>
  <c r="U27" i="7"/>
  <c r="U33" i="7"/>
  <c r="U34" i="7"/>
  <c r="S2" i="7"/>
  <c r="BA4" i="29" s="1"/>
  <c r="S3" i="7"/>
  <c r="S4" i="7"/>
  <c r="S5" i="7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T6" i="7"/>
  <c r="BB8" i="29" s="1"/>
  <c r="BI8" i="29" s="1"/>
  <c r="T5" i="7"/>
  <c r="L2" i="7"/>
  <c r="M2" i="7" s="1"/>
  <c r="T12" i="7" l="1"/>
  <c r="T7" i="7"/>
  <c r="V19" i="7"/>
  <c r="T19" i="7"/>
  <c r="V20" i="7"/>
  <c r="T20" i="7"/>
  <c r="V8" i="7"/>
  <c r="U8" i="7"/>
  <c r="V9" i="7"/>
  <c r="U9" i="7"/>
  <c r="V13" i="7"/>
  <c r="U13" i="7"/>
  <c r="V12" i="7"/>
  <c r="U12" i="7"/>
  <c r="V6" i="7"/>
  <c r="U6" i="7"/>
  <c r="BC8" i="29" s="1"/>
  <c r="V14" i="7"/>
  <c r="U14" i="7"/>
  <c r="BC16" i="29" s="1"/>
  <c r="U15" i="7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S6" i="7"/>
  <c r="BA8" i="29" s="1"/>
  <c r="S14" i="7"/>
  <c r="BA16" i="29" s="1"/>
  <c r="R14" i="7"/>
  <c r="S7" i="7"/>
  <c r="R7" i="7"/>
  <c r="S19" i="7"/>
  <c r="R19" i="7"/>
  <c r="R9" i="7"/>
  <c r="S9" i="7"/>
  <c r="R8" i="7"/>
  <c r="S8" i="7"/>
  <c r="R12" i="7"/>
  <c r="S12" i="7"/>
  <c r="R20" i="7"/>
  <c r="S20" i="7"/>
  <c r="U32" i="7"/>
  <c r="T3" i="7"/>
  <c r="L27" i="7"/>
  <c r="M34" i="7"/>
  <c r="M29" i="7"/>
  <c r="M28" i="7"/>
  <c r="M30" i="7"/>
  <c r="M31" i="7"/>
  <c r="U16" i="7"/>
  <c r="M26" i="7"/>
  <c r="M33" i="7"/>
  <c r="U17" i="7"/>
  <c r="M25" i="7"/>
  <c r="V5" i="7"/>
  <c r="M36" i="7"/>
  <c r="L63" i="7"/>
  <c r="U18" i="7"/>
  <c r="U7" i="7" l="1"/>
  <c r="V7" i="7"/>
  <c r="V18" i="7"/>
  <c r="T18" i="7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V22" i="7"/>
  <c r="T22" i="7"/>
  <c r="V37" i="7"/>
  <c r="T37" i="7"/>
  <c r="V41" i="7"/>
  <c r="T41" i="7"/>
  <c r="V45" i="7"/>
  <c r="T45" i="7"/>
  <c r="V15" i="7"/>
  <c r="T15" i="7"/>
  <c r="BH31" i="29" s="1"/>
  <c r="AP6" i="29" s="1"/>
  <c r="AD22" i="29" s="1"/>
  <c r="AF22" i="29" s="1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V10" i="7"/>
  <c r="U10" i="7"/>
  <c r="V3" i="7"/>
  <c r="U3" i="7"/>
  <c r="R25" i="7"/>
  <c r="S25" i="7"/>
  <c r="U4" i="7"/>
  <c r="R18" i="7"/>
  <c r="S18" i="7"/>
  <c r="R21" i="7"/>
  <c r="S21" i="7"/>
  <c r="R17" i="7"/>
  <c r="S17" i="7"/>
  <c r="U36" i="7"/>
  <c r="R26" i="7"/>
  <c r="S26" i="7"/>
  <c r="U29" i="7"/>
  <c r="S22" i="7"/>
  <c r="R22" i="7"/>
  <c r="S11" i="7"/>
  <c r="R11" i="7"/>
  <c r="U2" i="7"/>
  <c r="BC4" i="29" s="1"/>
  <c r="U31" i="7"/>
  <c r="R34" i="7"/>
  <c r="S34" i="7"/>
  <c r="S15" i="7"/>
  <c r="R15" i="7"/>
  <c r="R10" i="7"/>
  <c r="S10" i="7"/>
  <c r="R24" i="7"/>
  <c r="S24" i="7"/>
  <c r="U30" i="7"/>
  <c r="U23" i="7"/>
  <c r="U5" i="7"/>
  <c r="R33" i="7"/>
  <c r="S33" i="7"/>
  <c r="R16" i="7"/>
  <c r="S16" i="7"/>
  <c r="U28" i="7"/>
  <c r="M27" i="7"/>
  <c r="BG31" i="29" l="1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L198" i="18" l="1"/>
  <c r="L217" i="18" s="1"/>
  <c r="Q7" i="22" s="1"/>
  <c r="BC17" i="23" s="1"/>
  <c r="BC35" i="23" s="1"/>
  <c r="X198" i="18"/>
  <c r="X217" i="18" s="1"/>
  <c r="AC7" i="22" s="1"/>
  <c r="BO17" i="23" s="1"/>
  <c r="BO38" i="23" s="1"/>
  <c r="F83" i="30"/>
  <c r="B167" i="31" s="1"/>
  <c r="J167" i="31" s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192" i="33" l="1"/>
  <c r="C276" i="33" s="1"/>
  <c r="C293" i="33" s="1"/>
  <c r="C235" i="33"/>
  <c r="C236" i="33" s="1"/>
  <c r="J170" i="3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<sst xmlns="http://schemas.openxmlformats.org/spreadsheetml/2006/main" count="3090" uniqueCount="1464">
  <si>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</si>
  <si>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</si>
  <si>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</si>
  <si>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</si>
  <si>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</si>
  <si>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</si>
  <si>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</si>
  <si>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</si>
  <si>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</si>
  <si>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</si>
  <si>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</si>
  <si>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</si>
  <si>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</si>
  <si>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</si>
  <si>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</si>
  <si>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</si>
  <si>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</si>
  <si>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</si>
  <si>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</si>
  <si>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</si>
  <si>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</si>
  <si>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</si>
  <si>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</si>
  <si>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</si>
  <si>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</si>
  <si>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</si>
  <si>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</si>
  <si>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</si>
  <si>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</si>
  <si>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</si>
  <si>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</si>
  <si>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</si>
  <si>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</si>
  <si>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</si>
  <si>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</si>
  <si>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</si>
  <si>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</si>
  <si>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</si>
  <si>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</si>
  <si>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</si>
  <si>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</si>
  <si>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</si>
  <si>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</si>
  <si>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</si>
  <si>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</si>
  <si>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</si>
  <si>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</si>
  <si>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</si>
  <si>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</si>
  <si>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</si>
  <si>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</si>
  <si>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</si>
  <si>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</si>
  <si>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</si>
  <si>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</si>
  <si>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</si>
  <si>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</si>
  <si>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</si>
  <si>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</si>
  <si>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</si>
  <si>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</si>
  <si>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</si>
  <si>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</si>
  <si>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</si>
  <si>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</si>
  <si>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</si>
  <si>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</si>
  <si>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</si>
  <si>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</si>
  <si>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</si>
  <si>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</si>
  <si>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</si>
  <si>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</si>
  <si>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</si>
  <si>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</si>
  <si>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</si>
  <si>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</si>
  <si>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</si>
  <si>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</si>
  <si>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</si>
  <si>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</si>
  <si>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</si>
  <si>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</si>
  <si>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</si>
  <si>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</si>
  <si>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</si>
  <si>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</si>
  <si>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</si>
  <si>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</si>
  <si>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</si>
  <si>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</si>
  <si>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</si>
  <si>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</si>
  <si>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</si>
  <si>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</si>
  <si>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</si>
  <si>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</si>
  <si>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</si>
  <si>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</si>
  <si>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</si>
  <si>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</si>
  <si>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</si>
  <si>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</si>
  <si>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</si>
  <si>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</si>
  <si>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</si>
  <si>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</si>
  <si>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</si>
  <si>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</si>
  <si>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</si>
  <si>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</si>
  <si>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</si>
  <si>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</si>
  <si>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</si>
  <si>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</si>
  <si>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</si>
  <si>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</si>
  <si>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</si>
  <si>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</si>
  <si>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</si>
  <si>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</si>
  <si>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</si>
  <si>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</si>
  <si>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</si>
  <si>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</si>
  <si>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</si>
  <si>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</si>
  <si>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</si>
  <si>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</si>
  <si>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</si>
  <si>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</si>
  <si>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</si>
  <si>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</si>
  <si>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</si>
  <si>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</si>
  <si>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</si>
  <si>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</si>
  <si>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</si>
  <si>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</si>
  <si>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</si>
  <si>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</si>
  <si>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</si>
  <si>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</si>
  <si>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</si>
  <si>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</si>
  <si>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</si>
  <si>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</si>
  <si>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</si>
  <si>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</si>
  <si>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</si>
  <si>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</si>
  <si>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</si>
  <si>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</si>
  <si>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</si>
  <si>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</si>
  <si>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</si>
  <si>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</si>
  <si>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</si>
  <si>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</si>
  <si>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</si>
  <si>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</si>
  <si>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</si>
  <si>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</si>
  <si>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</si>
  <si>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</si>
  <si>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</si>
  <si>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</si>
  <si>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</si>
  <si>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</si>
  <si>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</si>
  <si>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</si>
  <si>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</si>
  <si>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</si>
  <si>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</si>
  <si>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</si>
  <si>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</si>
  <si>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</si>
  <si>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</si>
  <si>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</si>
  <si>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</si>
  <si>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</si>
  <si>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</si>
  <si>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</si>
  <si>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</si>
  <si>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</si>
  <si>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</si>
  <si>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</si>
  <si>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</si>
  <si>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</si>
  <si>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</si>
  <si>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</si>
  <si>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</si>
  <si>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</si>
  <si>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</si>
  <si>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</si>
  <si>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</si>
  <si>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</si>
  <si>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</si>
  <si>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</si>
  <si>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</si>
  <si>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</si>
  <si>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</si>
  <si>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</si>
  <si>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</si>
  <si>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</si>
  <si>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</si>
  <si>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</si>
  <si>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</si>
  <si>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</si>
  <si>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</si>
  <si>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</si>
  <si>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</si>
  <si>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</si>
  <si>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</si>
  <si>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</si>
  <si>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</si>
  <si>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</si>
  <si>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</si>
  <si>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</si>
  <si>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</si>
  <si>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</si>
  <si>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</si>
  <si>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</si>
  <si>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</si>
  <si>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</si>
  <si>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</si>
  <si>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</si>
  <si>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</si>
  <si>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</si>
  <si>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</si>
  <si>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</si>
  <si>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</si>
  <si>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</si>
  <si>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</si>
  <si>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</si>
  <si>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</si>
  <si>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</si>
  <si>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</si>
  <si>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</si>
  <si>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</si>
  <si>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</si>
  <si>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</si>
  <si>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</si>
  <si>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</si>
  <si>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</si>
  <si>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</si>
  <si>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</si>
  <si>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</si>
  <si>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</si>
  <si>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</si>
  <si>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</si>
  <si>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</si>
  <si>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</si>
  <si>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</si>
  <si>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</si>
  <si>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</si>
  <si>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</si>
  <si>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</si>
  <si>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</si>
  <si>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</si>
  <si>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</si>
  <si>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</si>
  <si>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</si>
  <si>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</si>
  <si>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</si>
  <si>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</si>
  <si>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</si>
  <si>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</si>
  <si>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</si>
  <si>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</si>
  <si>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</si>
  <si>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</si>
  <si>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</si>
  <si>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</si>
  <si>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</si>
  <si>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</si>
  <si>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</si>
  <si>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</si>
  <si>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</si>
  <si>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</si>
  <si>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</si>
  <si>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</si>
  <si>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</si>
  <si>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</si>
  <si>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</si>
  <si>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</si>
  <si>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</si>
  <si>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</si>
  <si>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</si>
  <si>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</si>
  <si>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</si>
  <si>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</si>
  <si>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</si>
  <si>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</si>
  <si>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</si>
  <si>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</si>
  <si>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</si>
  <si>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</si>
  <si>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</si>
  <si>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</si>
  <si>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</si>
  <si>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</si>
  <si>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</si>
  <si>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</si>
  <si>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</si>
  <si>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</si>
  <si>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</si>
  <si>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</si>
  <si>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</si>
  <si>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</si>
  <si>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</si>
  <si>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</si>
  <si>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</si>
  <si>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</si>
  <si>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</si>
  <si>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</si>
  <si>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</si>
  <si>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</si>
  <si>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</si>
  <si>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</si>
  <si>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</si>
  <si>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</si>
  <si>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</si>
  <si>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</si>
  <si>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</si>
  <si>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</si>
  <si>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</si>
  <si>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</si>
  <si>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</si>
  <si>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</si>
  <si>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</si>
  <si>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</si>
  <si>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</si>
  <si>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</si>
  <si>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</si>
  <si>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</si>
  <si>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</si>
  <si>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</si>
  <si>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</si>
  <si>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</si>
  <si>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</si>
  <si>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</si>
  <si>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</si>
  <si>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</si>
  <si>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</si>
  <si>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</si>
  <si>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</si>
  <si>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</si>
  <si>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</si>
  <si>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</si>
  <si>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</si>
  <si>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</si>
  <si>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</si>
  <si>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</si>
  <si>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</si>
  <si>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</si>
  <si>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</si>
  <si>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</si>
  <si>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</si>
  <si>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</si>
  <si>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</si>
  <si>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</si>
  <si>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</si>
  <si>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</si>
  <si>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</si>
  <si>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</si>
  <si>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</si>
  <si>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</si>
  <si>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</si>
  <si>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</si>
  <si>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</si>
  <si>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</si>
  <si>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</si>
  <si>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</si>
  <si>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</si>
  <si>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</si>
  <si>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</si>
  <si>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</si>
  <si>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</si>
  <si>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</si>
  <si>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</si>
  <si>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</si>
  <si>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</si>
  <si>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</si>
  <si>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</si>
  <si>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</si>
  <si>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</si>
  <si>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</si>
  <si>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</si>
  <si>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</si>
  <si>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</si>
  <si>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</si>
  <si>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</si>
  <si>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</si>
  <si>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</si>
  <si>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</si>
  <si>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</si>
  <si>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</si>
  <si>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</si>
  <si>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</si>
  <si>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</si>
  <si>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</si>
  <si>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</si>
  <si>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</si>
  <si>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</si>
  <si>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</si>
  <si>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</si>
  <si>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</si>
  <si>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</si>
  <si>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</si>
  <si>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</si>
  <si>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</si>
  <si>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</si>
  <si>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</si>
  <si>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</si>
  <si>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</si>
  <si>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</si>
  <si>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</si>
  <si>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</si>
  <si>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</si>
  <si>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</si>
  <si>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</si>
  <si>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</si>
  <si>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</si>
  <si>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</si>
  <si>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</si>
  <si>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</si>
  <si>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</si>
  <si>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</si>
  <si>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</si>
  <si>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</si>
  <si>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</si>
  <si>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</si>
  <si>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</si>
  <si>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</si>
  <si>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</si>
  <si>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</si>
  <si>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</si>
  <si>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</si>
  <si>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</si>
  <si>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</si>
  <si>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</si>
  <si>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</si>
  <si>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</si>
  <si>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</si>
  <si>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</si>
  <si>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</si>
  <si>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</si>
  <si>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</si>
  <si>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</si>
  <si>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</si>
  <si>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</si>
  <si>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</si>
  <si>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</si>
  <si>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</si>
  <si>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</si>
  <si>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</si>
  <si>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</si>
  <si>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</si>
  <si>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</si>
  <si>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</si>
  <si>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</si>
  <si>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</si>
  <si>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</si>
  <si>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</si>
  <si>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</si>
  <si>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</si>
  <si>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</si>
  <si>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</si>
  <si>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</si>
  <si>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</si>
  <si>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</si>
  <si>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</si>
  <si>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</si>
  <si>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</si>
  <si>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</si>
  <si>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</si>
  <si>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</si>
  <si>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</si>
  <si>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</si>
  <si>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</si>
  <si>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</si>
  <si>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</si>
  <si>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</si>
  <si>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</si>
  <si>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</si>
  <si>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</si>
  <si>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</si>
  <si>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</si>
  <si>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</si>
  <si>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</si>
  <si>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</si>
  <si>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</si>
  <si>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</si>
  <si>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</si>
  <si>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</si>
  <si>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</si>
  <si>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</si>
  <si>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</si>
  <si>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</si>
  <si>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</si>
  <si>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</si>
  <si>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</si>
  <si>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</si>
  <si>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</si>
  <si>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</si>
  <si>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</si>
  <si>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</si>
  <si>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</si>
  <si>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</si>
  <si>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</si>
  <si>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</si>
  <si>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</si>
  <si>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</si>
  <si>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</si>
  <si>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</si>
  <si>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</si>
  <si>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</si>
  <si>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</si>
  <si>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</si>
  <si>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</si>
  <si>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</si>
  <si>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</si>
  <si>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</si>
  <si>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</si>
  <si>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</si>
  <si>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</si>
  <si>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</si>
  <si>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</si>
  <si>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</si>
  <si>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</si>
  <si>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</si>
  <si>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</si>
  <si>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</si>
  <si>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</si>
  <si>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</si>
  <si>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</si>
  <si>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</si>
  <si>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</si>
  <si>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</si>
  <si>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</si>
  <si>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</si>
  <si>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</si>
  <si>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</si>
  <si>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</si>
  <si>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</si>
  <si>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</si>
  <si>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</si>
  <si>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</si>
  <si>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</si>
  <si>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</si>
  <si>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</si>
  <si>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</si>
  <si>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</si>
  <si>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</si>
  <si>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</si>
  <si>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</si>
  <si>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</si>
  <si>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</si>
  <si>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</si>
  <si>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</si>
  <si>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</si>
  <si>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</si>
  <si>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</si>
  <si>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</si>
  <si>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</si>
  <si>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</si>
  <si>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</si>
  <si>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</si>
  <si>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</si>
  <si>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</si>
  <si>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</si>
  <si>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</si>
  <si>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</si>
  <si>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</si>
  <si>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</si>
  <si>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</si>
  <si>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</si>
  <si>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</si>
  <si>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</si>
  <si>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</si>
  <si>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</si>
  <si>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</si>
  <si>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</si>
  <si>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</si>
  <si>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</si>
  <si>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</si>
  <si>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</si>
  <si>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</si>
  <si>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</si>
  <si>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</si>
  <si>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</si>
  <si>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</si>
  <si>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</si>
  <si>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</si>
  <si>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</si>
  <si>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</si>
  <si>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</si>
  <si>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</si>
  <si>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</si>
  <si>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</si>
  <si>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</si>
  <si>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</si>
  <si>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</si>
  <si>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</si>
  <si>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</si>
  <si>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</si>
  <si>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</si>
  <si>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</si>
  <si>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</si>
  <si>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</si>
  <si>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</si>
  <si>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</si>
  <si>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</si>
  <si>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</si>
  <si>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</si>
  <si>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</si>
  <si>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</si>
  <si>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</si>
  <si>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</si>
  <si>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</si>
  <si>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</si>
  <si>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</si>
  <si>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</si>
  <si>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</si>
  <si>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</si>
  <si>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</si>
  <si>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</si>
  <si>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</si>
  <si>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</si>
  <si>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</si>
  <si>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</si>
  <si>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</si>
  <si>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</si>
  <si>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</si>
  <si>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</si>
  <si>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</si>
  <si>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</si>
  <si>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</si>
  <si>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</si>
  <si>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</si>
  <si>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</si>
  <si>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</si>
  <si>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</si>
  <si>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</si>
  <si>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</si>
  <si>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</si>
  <si>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</si>
  <si>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</si>
  <si>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</si>
  <si>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</si>
  <si>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</si>
  <si>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</si>
  <si>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</si>
  <si>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</si>
  <si>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</si>
  <si>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</si>
  <si>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</si>
  <si>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</si>
  <si>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</si>
  <si>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</si>
  <si>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</si>
  <si>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</si>
  <si>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</si>
  <si>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</si>
  <si>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</si>
  <si>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</si>
  <si>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</si>
  <si>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</si>
  <si>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</si>
  <si>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</si>
  <si>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</si>
  <si>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</si>
  <si>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</si>
  <si>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</si>
  <si>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</si>
  <si>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</si>
  <si>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</si>
  <si>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</si>
  <si>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</si>
  <si>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</si>
  <si>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</si>
  <si>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</si>
  <si>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</si>
  <si>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</si>
  <si>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</si>
  <si>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</si>
  <si>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</si>
  <si>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</si>
  <si>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</si>
  <si>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</si>
  <si>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</si>
  <si>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</si>
  <si>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</si>
  <si>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</si>
  <si>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</si>
  <si>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</si>
  <si>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</si>
  <si>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</si>
  <si>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</si>
  <si>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</si>
  <si>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</si>
  <si>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</si>
  <si>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</si>
  <si>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</si>
  <si>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</si>
  <si>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</si>
  <si>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</si>
  <si>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</si>
  <si>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</si>
  <si>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</si>
  <si>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</si>
  <si>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</si>
  <si>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</si>
  <si>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</si>
  <si>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</si>
  <si>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</si>
  <si>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</si>
  <si>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</si>
  <si>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</si>
  <si>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</si>
  <si>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</si>
  <si>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</si>
  <si>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</si>
  <si>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</si>
  <si>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</si>
  <si>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</si>
  <si>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</si>
  <si>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</si>
  <si>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</si>
  <si>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</si>
  <si>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</si>
  <si>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</si>
  <si>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</si>
  <si>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</si>
  <si>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</si>
  <si>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</si>
  <si>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</si>
  <si>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</si>
  <si>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</si>
  <si>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</si>
  <si>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</si>
  <si>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</si>
  <si>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</si>
  <si>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</si>
  <si>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</si>
  <si>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</si>
  <si>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</si>
  <si>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</si>
  <si>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</si>
  <si>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</si>
  <si>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</si>
  <si>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</si>
  <si>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</si>
  <si>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</si>
  <si>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</si>
  <si>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</si>
  <si>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</si>
  <si>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</si>
  <si>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</si>
  <si>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</si>
  <si>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</si>
  <si>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</si>
  <si>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</si>
  <si>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</si>
  <si>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</si>
  <si>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</si>
  <si>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</si>
  <si>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</si>
  <si>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</si>
  <si>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</si>
  <si>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</si>
  <si>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</si>
  <si>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</si>
  <si>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</si>
  <si>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</si>
  <si>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</si>
  <si>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</si>
  <si>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</si>
  <si>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</si>
  <si>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</si>
  <si>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</si>
  <si>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</si>
  <si>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</si>
  <si>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</si>
  <si>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</si>
  <si>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</si>
  <si>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</si>
  <si>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</si>
  <si>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</si>
  <si>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</si>
  <si>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</si>
  <si>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</si>
  <si>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</si>
  <si>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</si>
  <si>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</si>
  <si>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</si>
  <si>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</si>
  <si>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</si>
  <si>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</si>
  <si>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</si>
  <si>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</si>
  <si>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</si>
  <si>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</si>
  <si>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</si>
  <si>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</si>
  <si>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</si>
  <si>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</si>
  <si>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</si>
  <si>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</si>
  <si>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</si>
  <si>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</si>
  <si>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</si>
  <si>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</si>
  <si>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</si>
  <si>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</si>
  <si>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</si>
  <si>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</si>
  <si>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</si>
  <si>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</si>
  <si>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</si>
  <si>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</si>
  <si>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</si>
  <si>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</si>
  <si>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</si>
  <si>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</si>
  <si>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</si>
  <si>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</si>
  <si>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</si>
  <si>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</si>
  <si>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</si>
  <si>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</si>
  <si>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</si>
  <si>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</si>
  <si>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</si>
  <si>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</si>
  <si>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</si>
  <si>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</si>
  <si>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</si>
  <si>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</si>
  <si>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</si>
  <si>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</si>
  <si>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</si>
  <si>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</si>
  <si>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</si>
  <si>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</si>
  <si>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</si>
  <si>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</si>
  <si>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</si>
  <si>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</si>
  <si>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</si>
  <si>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</si>
  <si>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</si>
  <si>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</si>
  <si>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</si>
  <si>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</si>
  <si>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</si>
  <si>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</si>
  <si>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</si>
  <si>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</si>
  <si>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</si>
  <si>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</si>
  <si>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</si>
  <si>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</si>
  <si>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</si>
  <si>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</si>
  <si>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</si>
  <si>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</si>
  <si>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</si>
  <si>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</si>
  <si>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</si>
  <si>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</si>
  <si>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</si>
  <si>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</si>
  <si>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</si>
  <si>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</si>
  <si>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</si>
  <si>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</si>
  <si>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</si>
  <si>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</si>
  <si>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</si>
  <si>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</si>
  <si>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</si>
  <si>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</si>
  <si>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</si>
  <si>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</si>
  <si>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</si>
  <si>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</si>
  <si>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</si>
  <si>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</si>
  <si>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</si>
  <si>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</si>
  <si>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</si>
  <si>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</si>
  <si>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</si>
  <si>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</si>
  <si>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</si>
  <si>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</si>
  <si>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</si>
  <si>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</si>
  <si>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</si>
  <si>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</si>
  <si>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</si>
  <si>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</si>
  <si>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</si>
  <si>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</si>
  <si>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</si>
  <si>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</si>
  <si>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</si>
  <si>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</si>
  <si>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</si>
  <si>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</si>
  <si>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</si>
  <si>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</si>
  <si>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</si>
  <si>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</si>
  <si>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</si>
  <si>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</si>
  <si>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</si>
  <si>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</si>
  <si>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</si>
  <si>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</si>
  <si>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</si>
  <si>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</si>
  <si>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</si>
  <si>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</si>
  <si>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</si>
  <si>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</si>
  <si>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</si>
  <si>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</si>
  <si>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</si>
  <si>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</si>
  <si>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</si>
  <si>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</si>
  <si>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</si>
  <si>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</si>
  <si>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</si>
  <si>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</si>
  <si>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</si>
  <si>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</si>
  <si>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</si>
  <si>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</si>
  <si>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</si>
  <si>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</si>
  <si>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</si>
  <si>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</si>
  <si>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</si>
  <si>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</si>
  <si>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</si>
  <si>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</si>
  <si>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</si>
  <si>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</si>
  <si>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</si>
  <si>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</si>
  <si>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</si>
  <si>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</si>
  <si>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</si>
  <si>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</si>
  <si>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</si>
  <si>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</si>
  <si>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</si>
  <si>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</si>
  <si>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</si>
  <si>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</si>
  <si>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</si>
  <si>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</si>
  <si>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</si>
  <si>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</si>
  <si>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</si>
  <si>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</si>
  <si>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</si>
  <si>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</si>
  <si>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</si>
  <si>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</si>
  <si>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</si>
  <si>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</si>
  <si>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</si>
  <si>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</si>
  <si>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</si>
  <si>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</si>
  <si>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</si>
  <si>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</si>
  <si>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</si>
  <si>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</si>
  <si>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</si>
  <si>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</si>
  <si>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</si>
  <si>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</si>
  <si>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</si>
  <si>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</si>
  <si>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</si>
  <si>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</si>
  <si>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</si>
  <si>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</si>
  <si>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</si>
  <si>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</si>
  <si>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</si>
  <si>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</si>
  <si>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</si>
  <si>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</si>
  <si>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</si>
  <si>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</si>
  <si>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</si>
  <si>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</si>
  <si>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</si>
  <si>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</si>
  <si>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</si>
  <si>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</si>
  <si>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</si>
  <si>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</si>
  <si>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</si>
  <si>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</si>
  <si>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</si>
  <si>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</si>
  <si>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</si>
  <si>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</si>
  <si>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</si>
  <si>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</si>
  <si>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</si>
  <si>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</si>
  <si>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</si>
  <si>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</si>
  <si>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</si>
  <si>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</si>
  <si>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</si>
  <si>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</si>
  <si>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</si>
  <si>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</si>
  <si>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</si>
  <si>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</si>
  <si>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</si>
  <si>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</si>
  <si>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</si>
  <si>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</si>
  <si>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</si>
  <si>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</si>
  <si>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</si>
  <si>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</si>
  <si>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</si>
  <si>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</si>
  <si>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</si>
  <si>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</si>
  <si>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</si>
  <si>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</si>
  <si>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</si>
  <si>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</si>
  <si>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</si>
  <si>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</si>
  <si>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</si>
  <si>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</si>
  <si>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</si>
  <si>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</si>
  <si>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</si>
  <si>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</si>
  <si>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</si>
  <si>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</si>
  <si>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</si>
  <si>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</si>
  <si>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</si>
  <si>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</si>
  <si>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</si>
  <si>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</si>
  <si>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</si>
  <si>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</si>
  <si>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</si>
  <si>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</si>
  <si>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</si>
  <si>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</si>
  <si>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</si>
  <si>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</si>
  <si>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</si>
  <si>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</si>
  <si>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</si>
  <si>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</si>
  <si>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</si>
  <si>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</si>
  <si>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</si>
  <si>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</si>
  <si>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</si>
  <si>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</si>
  <si>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</si>
  <si>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</si>
  <si>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</si>
  <si>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</si>
  <si>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</si>
  <si>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</si>
  <si>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</si>
  <si>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</si>
  <si>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</si>
  <si>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</si>
  <si>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</si>
  <si>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</si>
  <si>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</si>
  <si>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</si>
  <si>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</si>
  <si>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</si>
  <si>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</si>
  <si>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</si>
  <si>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</si>
  <si>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</si>
  <si>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</si>
  <si>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</si>
  <si>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</si>
  <si>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</si>
  <si>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</si>
  <si>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</si>
  <si>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</si>
  <si>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</si>
  <si>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</si>
  <si>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</si>
  <si>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</si>
  <si>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</si>
  <si>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</si>
  <si>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</si>
  <si>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</si>
  <si>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</si>
  <si>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</si>
  <si>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</si>
  <si>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</si>
  <si>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</si>
  <si>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</si>
  <si>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</si>
  <si>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</si>
  <si>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</si>
  <si>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</si>
  <si>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</si>
  <si>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</si>
  <si>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</si>
  <si>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</si>
  <si>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</si>
  <si>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</si>
  <si>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</si>
  <si>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</si>
  <si>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</si>
  <si>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</si>
  <si>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</si>
  <si>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</si>
  <si>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</si>
  <si>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</si>
  <si>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</si>
  <si>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</si>
  <si>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</si>
  <si>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</si>
  <si>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</si>
  <si>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</si>
  <si>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</si>
  <si>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</si>
  <si>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</si>
  <si>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</si>
  <si>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</si>
  <si>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</si>
  <si>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</si>
  <si>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</si>
  <si>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</si>
  <si>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</si>
  <si>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</si>
  <si>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</si>
  <si>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</si>
  <si>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</si>
  <si>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</si>
  <si>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</si>
  <si>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</si>
  <si>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</si>
  <si>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</si>
  <si>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</si>
  <si>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</si>
  <si>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</si>
  <si>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</si>
  <si>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</si>
  <si>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</si>
  <si>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</si>
  <si>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</si>
  <si>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</si>
  <si>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</si>
  <si>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</si>
  <si>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</si>
  <si>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</si>
  <si>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</si>
  <si>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</si>
  <si>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</si>
  <si>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</si>
  <si>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</si>
  <si>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</si>
  <si>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</si>
  <si>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</si>
  <si>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</si>
  <si>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</si>
  <si>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</si>
  <si>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</si>
  <si>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</si>
  <si>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</si>
  <si>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</si>
  <si>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</si>
  <si>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</si>
  <si>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</si>
  <si>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</si>
  <si>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</si>
  <si>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</si>
  <si>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</si>
  <si>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</si>
  <si>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</si>
  <si>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</si>
  <si>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</si>
  <si>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</si>
  <si>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</si>
  <si>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</si>
  <si>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</si>
  <si>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</si>
  <si>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</si>
  <si>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</si>
  <si>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</si>
  <si>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</si>
  <si>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</si>
  <si>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</si>
  <si>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</si>
  <si>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</si>
  <si>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</si>
  <si>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</si>
  <si>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</si>
  <si>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</si>
  <si>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</si>
  <si>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</si>
  <si>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</si>
  <si>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</si>
  <si>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</si>
  <si>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</si>
  <si>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</si>
  <si>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</si>
  <si>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</si>
  <si>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</si>
  <si>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</si>
  <si>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</si>
  <si>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</si>
  <si>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</si>
  <si>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</si>
  <si>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</si>
  <si>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</si>
  <si>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</si>
  <si>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</si>
  <si>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</si>
  <si>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</si>
  <si>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</si>
  <si>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</si>
  <si>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</si>
  <si>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</si>
  <si>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</si>
  <si>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</si>
  <si>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</si>
  <si>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</si>
  <si>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</si>
  <si>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</si>
  <si>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</si>
  <si>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</si>
  <si>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</si>
  <si>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</si>
  <si>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</si>
  <si>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</si>
  <si>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</si>
  <si>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</si>
  <si>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</si>
  <si>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</si>
  <si>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</si>
  <si>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</si>
  <si>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</si>
  <si>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</si>
  <si>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</si>
  <si>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</si>
  <si>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</si>
  <si>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</si>
  <si>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</si>
  <si>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</si>
  <si>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</si>
  <si>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</si>
  <si>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</si>
  <si>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</si>
  <si>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</si>
  <si>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</si>
  <si>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</si>
  <si>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</si>
  <si>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</si>
  <si>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</si>
  <si>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</si>
  <si>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</si>
  <si>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</si>
  <si>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</si>
  <si>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</si>
  <si>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</si>
  <si>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</si>
  <si>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</si>
  <si>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</si>
  <si>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</si>
  <si>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</si>
  <si>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</si>
  <si>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</si>
  <si>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</si>
  <si>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</si>
  <si>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</si>
  <si>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</si>
  <si>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</si>
  <si>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</si>
  <si>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</si>
  <si>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</si>
  <si>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</si>
  <si>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</si>
  <si>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</si>
  <si>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</si>
  <si>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</si>
  <si>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</si>
  <si>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</si>
  <si>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</si>
  <si>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</si>
  <si>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</si>
  <si>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</si>
  <si>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</si>
  <si>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</si>
  <si>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</si>
  <si>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</si>
  <si>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</si>
  <si>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</si>
  <si>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</si>
  <si>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</si>
  <si>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</si>
  <si>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</si>
  <si>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</si>
  <si>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</si>
  <si>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</si>
  <si>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</si>
  <si>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</si>
  <si>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</si>
  <si>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</si>
  <si>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</si>
  <si>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</si>
  <si>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</si>
  <si>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</si>
  <si>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</si>
  <si>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</si>
  <si>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</si>
  <si>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</si>
  <si>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</si>
  <si>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</si>
  <si>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</si>
  <si>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</si>
  <si>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</si>
  <si>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</si>
  <si>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</si>
  <si>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</si>
  <si>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</si>
  <si>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</si>
  <si>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</si>
  <si>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</si>
  <si>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</si>
  <si>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</si>
  <si>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</si>
  <si>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</si>
  <si>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</si>
  <si>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</si>
  <si>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</si>
  <si>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</si>
  <si>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</si>
  <si>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</si>
  <si>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</si>
  <si>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</si>
  <si>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</si>
  <si>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</si>
  <si>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</si>
  <si>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</si>
  <si>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</si>
  <si>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</si>
  <si>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</si>
  <si>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</si>
  <si>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</si>
  <si>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</si>
  <si>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</si>
  <si>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</si>
  <si>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</si>
  <si>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</si>
  <si>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</si>
  <si>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</si>
  <si>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</si>
  <si>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</si>
  <si>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</si>
  <si>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</si>
  <si>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</si>
  <si>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</si>
  <si>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</si>
  <si>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</si>
  <si>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</si>
  <si>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</si>
  <si>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</si>
  <si>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</si>
  <si>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</si>
  <si>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</si>
  <si>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</si>
  <si>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</si>
  <si>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</si>
  <si>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</si>
  <si>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</si>
  <si>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</si>
  <si>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</si>
  <si>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</si>
  <si>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</si>
  <si>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</si>
  <si>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</si>
  <si>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</si>
  <si>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</si>
  <si>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</si>
  <si>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</si>
  <si>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</si>
  <si>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</si>
  <si>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</si>
  <si>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</si>
  <si>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</si>
  <si>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</si>
  <si>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</si>
  <si>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</si>
  <si>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</si>
  <si>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</si>
  <si>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</si>
  <si>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</si>
  <si>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</si>
  <si>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</si>
  <si>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</si>
  <si>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</si>
  <si>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</si>
  <si>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</si>
  <si>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</si>
  <si>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</si>
  <si>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</si>
  <si>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</si>
  <si>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</si>
  <si>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</si>
  <si>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</si>
  <si>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</si>
  <si>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</si>
  <si>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</si>
  <si>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</si>
  <si>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</si>
  <si>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</si>
  <si>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</si>
  <si>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</si>
  <si>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</si>
  <si>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</si>
  <si>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</si>
  <si>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</si>
  <si>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</si>
  <si>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</si>
  <si>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</si>
  <si>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</si>
  <si>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</si>
  <si>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</si>
  <si>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</si>
  <si>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</si>
  <si>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</si>
  <si>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</si>
  <si>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</si>
  <si>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</si>
  <si>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</si>
  <si>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</si>
  <si>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</si>
  <si>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</si>
  <si>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</si>
  <si>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</si>
  <si>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</si>
  <si>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Z1_OLBV_T3_MC1s1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</si>
</sst>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420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420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84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84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650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5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176.90691452215617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6.0848665956521746</v>
      </c>
      <c r="R5" s="142">
        <f>CdTrp1!M215+CdTrp2!M215+CdTrp3!M215+CdTrp4!M215</f>
        <v>3.8566979347826091</v>
      </c>
      <c r="S5" s="142">
        <f>CdTrp1!N215+CdTrp2!N215+CdTrp3!N215+CdTrp4!N215</f>
        <v>3.9852545326086961</v>
      </c>
      <c r="T5" s="142">
        <f>CdTrp1!O215+CdTrp2!O215+CdTrp3!O215+CdTrp4!O215</f>
        <v>3.9852545326086961</v>
      </c>
      <c r="U5" s="142">
        <f>CdTrp1!P215+CdTrp2!P215+CdTrp3!P215+CdTrp4!P215</f>
        <v>3.9852545326086961</v>
      </c>
      <c r="V5" s="142">
        <f>CdTrp1!Q215+CdTrp2!Q215+CdTrp3!Q215+CdTrp4!Q215</f>
        <v>3.9852545326086961</v>
      </c>
      <c r="W5" s="142">
        <f>CdTrp1!R215+CdTrp2!R215+CdTrp3!R215+CdTrp4!R215</f>
        <v>3.449080434782609</v>
      </c>
      <c r="X5" s="142">
        <f>CdTrp1!S215+CdTrp2!S215+CdTrp3!S215+CdTrp4!S215</f>
        <v>2.2878104347826089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139.54061751648698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7.591826595652174</v>
      </c>
      <c r="R8" s="142">
        <f t="shared" si="0"/>
        <v>5.3636579347826085</v>
      </c>
      <c r="S8" s="142">
        <f t="shared" si="0"/>
        <v>5.5424465326086958</v>
      </c>
      <c r="T8" s="142">
        <f t="shared" si="0"/>
        <v>5.5424465326086958</v>
      </c>
      <c r="U8" s="142">
        <f t="shared" si="0"/>
        <v>5.5424465326086958</v>
      </c>
      <c r="V8" s="142">
        <f t="shared" si="0"/>
        <v>5.5424465326086958</v>
      </c>
      <c r="W8" s="142">
        <f t="shared" si="0"/>
        <v>4.9560404347826088</v>
      </c>
      <c r="X8" s="142">
        <f t="shared" si="0"/>
        <v>3.7947704347826088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101.05979551996523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25.5</v>
      </c>
      <c r="H18" s="157">
        <f>G18/G17</f>
        <v>0.49514563106796117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R11" sqref="R11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7.591826595652174</v>
      </c>
      <c r="BD5" s="13">
        <f>'Conduite Trp'!R8</f>
        <v>5.3636579347826085</v>
      </c>
      <c r="BE5" s="13">
        <f>'Conduite Trp'!S8</f>
        <v>5.5424465326086958</v>
      </c>
      <c r="BF5" s="13">
        <f>'Conduite Trp'!T8</f>
        <v>5.5424465326086958</v>
      </c>
      <c r="BG5" s="13">
        <f>'Conduite Trp'!U8</f>
        <v>5.5424465326086958</v>
      </c>
      <c r="BH5" s="13">
        <f>'Conduite Trp'!V8</f>
        <v>5.5424465326086958</v>
      </c>
      <c r="BI5" s="13">
        <f>'Conduite Trp'!W8</f>
        <v>4.9560404347826088</v>
      </c>
      <c r="BJ5" s="13">
        <f>'Conduite Trp'!X8</f>
        <v>3.7947704347826088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7.591826595652174</v>
      </c>
      <c r="BD7" s="60">
        <f t="shared" si="7"/>
        <v>5.3636579347826085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39.540426231478264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5.5424465326086958</v>
      </c>
      <c r="BF8" s="60">
        <f t="shared" si="8"/>
        <v>5.5424465326086958</v>
      </c>
      <c r="BG8" s="60">
        <f t="shared" si="8"/>
        <v>5.5424465326086958</v>
      </c>
      <c r="BH8" s="60">
        <f t="shared" si="8"/>
        <v>5.5424465326086958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22.169786130434783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4.9560404347826088</v>
      </c>
      <c r="BJ9" s="60">
        <f t="shared" si="10"/>
        <v>3.7947704347826088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29.256152833878261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1.6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3.2</v>
      </c>
      <c r="AF10" s="60">
        <f t="shared" si="1"/>
        <v>0</v>
      </c>
      <c r="AG10" s="60">
        <f t="shared" si="2"/>
        <v>2</v>
      </c>
      <c r="AH10" s="60">
        <f t="shared" si="3"/>
        <v>2</v>
      </c>
      <c r="AI10" s="60">
        <f t="shared" si="4"/>
        <v>2</v>
      </c>
      <c r="AJ10" s="60">
        <f t="shared" si="5"/>
        <v>0</v>
      </c>
      <c r="AK10" s="140"/>
      <c r="AL10" s="60">
        <f t="shared" si="6"/>
        <v>4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6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19.799999999999997</v>
      </c>
      <c r="AF11" s="60">
        <f t="shared" si="1"/>
        <v>12</v>
      </c>
      <c r="AG11" s="60">
        <f t="shared" si="2"/>
        <v>9</v>
      </c>
      <c r="AH11" s="60">
        <f t="shared" si="3"/>
        <v>6</v>
      </c>
      <c r="AI11" s="60">
        <f t="shared" si="4"/>
        <v>4.1999999999999993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6.0848665956521746</v>
      </c>
      <c r="BD15" s="13">
        <f>'Conduite Trp'!R5</f>
        <v>3.8566979347826091</v>
      </c>
      <c r="BE15" s="13">
        <f>'Conduite Trp'!S5</f>
        <v>3.9852545326086961</v>
      </c>
      <c r="BF15" s="13">
        <f>'Conduite Trp'!T5</f>
        <v>3.9852545326086961</v>
      </c>
      <c r="BG15" s="13">
        <f>'Conduite Trp'!U5</f>
        <v>3.9852545326086961</v>
      </c>
      <c r="BH15" s="13">
        <f>'Conduite Trp'!V5</f>
        <v>3.9852545326086961</v>
      </c>
      <c r="BI15" s="13">
        <f>'Conduite Trp'!W5</f>
        <v>3.449080434782609</v>
      </c>
      <c r="BJ15" s="13">
        <f>'Conduite Trp'!X5</f>
        <v>2.2878104347826089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6.0848665956521746</v>
      </c>
      <c r="BD19" s="60">
        <f t="shared" si="15"/>
        <v>3.8566979347826091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27.773730579304349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3.9852545326086961</v>
      </c>
      <c r="BF20" s="60">
        <f t="shared" si="16"/>
        <v>3.9852545326086961</v>
      </c>
      <c r="BG20" s="60">
        <f t="shared" si="16"/>
        <v>3.9852545326086961</v>
      </c>
      <c r="BH20" s="60">
        <f t="shared" si="16"/>
        <v>3.9852545326086961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15.941018130434784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3.449080434782609</v>
      </c>
      <c r="BJ21" s="60">
        <f t="shared" si="18"/>
        <v>2.2878104347826089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17.377598399095653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41.459999999999994</v>
      </c>
      <c r="E24" s="60">
        <f t="shared" si="21"/>
        <v>24.574999999999996</v>
      </c>
      <c r="F24" s="60">
        <f t="shared" si="21"/>
        <v>30.608716000000001</v>
      </c>
      <c r="G24" s="60">
        <f t="shared" si="21"/>
        <v>16.564178999999999</v>
      </c>
      <c r="H24" s="60">
        <f t="shared" si="21"/>
        <v>19.552895000000003</v>
      </c>
      <c r="I24" s="60">
        <f t="shared" si="21"/>
        <v>0</v>
      </c>
      <c r="J24" s="62"/>
      <c r="K24" s="60">
        <f>AL27+AL49+AL71</f>
        <v>87.031549999999996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39.540426231478264</v>
      </c>
      <c r="E25" s="60">
        <f>BR8</f>
        <v>22.169786130434783</v>
      </c>
      <c r="F25" s="60">
        <f>BR9</f>
        <v>29.256152833878261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1.9195737685217296</v>
      </c>
      <c r="E27" s="92">
        <f t="shared" si="23"/>
        <v>2.4052138695652125</v>
      </c>
      <c r="F27" s="92">
        <f t="shared" si="23"/>
        <v>1.3525631661217403</v>
      </c>
      <c r="G27" s="92">
        <f t="shared" si="23"/>
        <v>12.835552913043477</v>
      </c>
      <c r="H27" s="92">
        <f t="shared" si="23"/>
        <v>13.188090762782611</v>
      </c>
      <c r="I27" s="92">
        <f t="shared" si="23"/>
        <v>0</v>
      </c>
      <c r="J27" s="62"/>
      <c r="K27" s="92">
        <f>K24-K25</f>
        <v>-89.968450000000004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29.299999999999997</v>
      </c>
      <c r="AF27" s="74">
        <f t="shared" ref="AF27:AJ27" si="24">SUM(AF7:AF26)</f>
        <v>16.2</v>
      </c>
      <c r="AG27" s="74">
        <f t="shared" si="24"/>
        <v>17.3</v>
      </c>
      <c r="AH27" s="74">
        <f t="shared" si="24"/>
        <v>9.75</v>
      </c>
      <c r="AI27" s="74">
        <f t="shared" si="24"/>
        <v>8.6499999999999986</v>
      </c>
      <c r="AJ27" s="74">
        <f t="shared" si="24"/>
        <v>0</v>
      </c>
      <c r="AK27"/>
      <c r="AL27" s="74">
        <f>SUM(AL7:AL26)</f>
        <v>17.299999999999997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29.299999999999997</v>
      </c>
      <c r="E72" s="60">
        <f t="shared" ref="E72:H72" si="69">AF27</f>
        <v>16.2</v>
      </c>
      <c r="F72" s="60">
        <f t="shared" si="69"/>
        <v>17.3</v>
      </c>
      <c r="G72" s="60">
        <f t="shared" si="69"/>
        <v>9.75</v>
      </c>
      <c r="H72" s="60">
        <f t="shared" si="69"/>
        <v>8.6499999999999986</v>
      </c>
      <c r="I72" s="60">
        <f t="shared" ref="I72" si="70">AJ75+AJ97+AJ119</f>
        <v>0</v>
      </c>
      <c r="J72" s="62"/>
      <c r="K72" s="60">
        <f>+K24</f>
        <v>87.031549999999996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27.773730579304349</v>
      </c>
      <c r="E73" s="60">
        <f>BR20</f>
        <v>15.941018130434784</v>
      </c>
      <c r="F73" s="60">
        <f>BR21</f>
        <v>17.377598399095653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1.5262694206956482</v>
      </c>
      <c r="E75" s="92">
        <f t="shared" ref="E75:I75" si="71">E72-E73</f>
        <v>0.25898186956521485</v>
      </c>
      <c r="F75" s="92">
        <f t="shared" si="71"/>
        <v>-7.7598399095652582E-2</v>
      </c>
      <c r="G75" s="92">
        <f t="shared" si="71"/>
        <v>9.75</v>
      </c>
      <c r="H75" s="92">
        <f t="shared" si="71"/>
        <v>5.8334044584347806</v>
      </c>
      <c r="I75" s="92">
        <f t="shared" si="71"/>
        <v>0</v>
      </c>
      <c r="J75" s="62"/>
      <c r="K75" s="92">
        <f>+K27</f>
        <v>-89.968450000000004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2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16.2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11.100000000000001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1.62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>
        <v>1</v>
      </c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10"/>
        <v>1.6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1.6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1.6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6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16.2</v>
      </c>
      <c r="V228" s="61">
        <f t="shared" ref="V228:W228" si="22">SUM(V164:V227)</f>
        <v>11.100000000000001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6.7</v>
      </c>
      <c r="AI228" s="61">
        <f t="shared" si="24"/>
        <v>5.0999999999999996</v>
      </c>
      <c r="AJ228" s="61">
        <f t="shared" si="24"/>
        <v>11.100000000000001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N1" sqref="N1:N1048576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1</v>
      </c>
      <c r="D15" s="172">
        <f t="shared" si="16"/>
        <v>1</v>
      </c>
      <c r="E15" s="172">
        <f t="shared" si="16"/>
        <v>1</v>
      </c>
      <c r="F15" s="172">
        <f t="shared" si="16"/>
        <v>1</v>
      </c>
      <c r="G15" s="172">
        <f t="shared" si="16"/>
        <v>1</v>
      </c>
      <c r="H15" s="172">
        <f t="shared" si="16"/>
        <v>1</v>
      </c>
      <c r="I15" s="172">
        <f t="shared" si="16"/>
        <v>1</v>
      </c>
      <c r="J15" s="172">
        <f t="shared" si="16"/>
        <v>1</v>
      </c>
      <c r="K15" s="172">
        <f t="shared" si="16"/>
        <v>1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1</v>
      </c>
      <c r="W15" s="172">
        <f t="shared" si="16"/>
        <v>1</v>
      </c>
      <c r="X15" s="172">
        <f t="shared" si="16"/>
        <v>1</v>
      </c>
      <c r="Y15" s="172">
        <f t="shared" si="16"/>
        <v>1</v>
      </c>
      <c r="Z15" s="172">
        <f t="shared" si="16"/>
        <v>1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1</v>
      </c>
      <c r="D17" s="172">
        <f t="shared" si="18"/>
        <v>1</v>
      </c>
      <c r="E17" s="172">
        <f t="shared" si="18"/>
        <v>1</v>
      </c>
      <c r="F17" s="172">
        <f t="shared" si="18"/>
        <v>2</v>
      </c>
      <c r="G17" s="172">
        <f t="shared" si="18"/>
        <v>2</v>
      </c>
      <c r="H17" s="172">
        <f t="shared" si="18"/>
        <v>3</v>
      </c>
      <c r="I17" s="172">
        <f t="shared" si="18"/>
        <v>3</v>
      </c>
      <c r="J17" s="172">
        <f t="shared" si="18"/>
        <v>3</v>
      </c>
      <c r="K17" s="172">
        <f t="shared" si="18"/>
        <v>3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3</v>
      </c>
      <c r="W17" s="172">
        <f t="shared" si="18"/>
        <v>1</v>
      </c>
      <c r="X17" s="172">
        <f t="shared" si="18"/>
        <v>1</v>
      </c>
      <c r="Y17" s="172">
        <f t="shared" si="18"/>
        <v>1</v>
      </c>
      <c r="Z17" s="172">
        <f t="shared" si="18"/>
        <v>1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2</v>
      </c>
      <c r="D18" s="61">
        <f t="shared" ref="D18:Z18" si="19">IF(AND(D15=0,(D16+D17)&gt;0),1,IF(AND(D15&gt;0,(D16+D17)&gt;0),D15+1,D15))</f>
        <v>2</v>
      </c>
      <c r="E18" s="61">
        <f t="shared" si="19"/>
        <v>2</v>
      </c>
      <c r="F18" s="61">
        <f t="shared" si="19"/>
        <v>2</v>
      </c>
      <c r="G18" s="61">
        <f t="shared" si="19"/>
        <v>2</v>
      </c>
      <c r="H18" s="61">
        <f t="shared" si="19"/>
        <v>2</v>
      </c>
      <c r="I18" s="61">
        <f t="shared" si="19"/>
        <v>2</v>
      </c>
      <c r="J18" s="61">
        <f t="shared" si="19"/>
        <v>2</v>
      </c>
      <c r="K18" s="61">
        <f t="shared" si="19"/>
        <v>2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2</v>
      </c>
      <c r="W18" s="61">
        <f t="shared" si="19"/>
        <v>2</v>
      </c>
      <c r="X18" s="61">
        <f t="shared" si="19"/>
        <v>2</v>
      </c>
      <c r="Y18" s="61">
        <f t="shared" si="19"/>
        <v>2</v>
      </c>
      <c r="Z18" s="61">
        <f t="shared" si="19"/>
        <v>2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7262</v>
      </c>
      <c r="AE20" s="63">
        <v>0</v>
      </c>
      <c r="AF20" s="63">
        <f>SUM(AD20:AE20)</f>
        <v>7262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7262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2</v>
      </c>
      <c r="D22" s="61">
        <f t="shared" ref="D22:Z22" si="22">D18+D19+D21</f>
        <v>2</v>
      </c>
      <c r="E22" s="61">
        <f t="shared" si="22"/>
        <v>2</v>
      </c>
      <c r="F22" s="61">
        <f t="shared" si="22"/>
        <v>2</v>
      </c>
      <c r="G22" s="61">
        <f t="shared" si="22"/>
        <v>2</v>
      </c>
      <c r="H22" s="61">
        <f t="shared" si="22"/>
        <v>2</v>
      </c>
      <c r="I22" s="61">
        <f t="shared" si="22"/>
        <v>2</v>
      </c>
      <c r="J22" s="61">
        <f t="shared" si="22"/>
        <v>2</v>
      </c>
      <c r="K22" s="61">
        <f t="shared" si="22"/>
        <v>2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2</v>
      </c>
      <c r="W22" s="61">
        <f t="shared" si="22"/>
        <v>2</v>
      </c>
      <c r="X22" s="61">
        <f t="shared" si="22"/>
        <v>2</v>
      </c>
      <c r="Y22" s="61">
        <f t="shared" si="22"/>
        <v>2</v>
      </c>
      <c r="Z22" s="61">
        <f t="shared" si="22"/>
        <v>2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3</v>
      </c>
      <c r="N25" s="176">
        <f t="shared" si="23"/>
        <v>3</v>
      </c>
      <c r="O25" s="176">
        <f t="shared" si="23"/>
        <v>2</v>
      </c>
      <c r="P25" s="176">
        <f t="shared" si="23"/>
        <v>2</v>
      </c>
      <c r="Q25" s="176">
        <f t="shared" si="23"/>
        <v>3</v>
      </c>
      <c r="R25" s="176">
        <f t="shared" si="23"/>
        <v>3</v>
      </c>
      <c r="S25" s="176">
        <f t="shared" si="23"/>
        <v>3</v>
      </c>
      <c r="T25" s="176">
        <f t="shared" si="23"/>
        <v>3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7262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32.299999999999997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6</v>
      </c>
      <c r="N29" s="176">
        <f>N25*[1]Protect!$B$12</f>
        <v>6</v>
      </c>
      <c r="O29" s="176">
        <f>O25*[1]Protect!$B$12</f>
        <v>4</v>
      </c>
      <c r="P29" s="176">
        <f>P25*[1]Protect!$B$12</f>
        <v>4</v>
      </c>
      <c r="Q29" s="176">
        <f>Q25*[1]Protect!$B$12</f>
        <v>6</v>
      </c>
      <c r="R29" s="176">
        <f>R25*[1]Protect!$B$12</f>
        <v>6</v>
      </c>
      <c r="S29" s="176">
        <f>S25*[1]Protect!$B$12</f>
        <v>6</v>
      </c>
      <c r="T29" s="176">
        <f>T25*[1]Protect!$B$12</f>
        <v>6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6</v>
      </c>
      <c r="N32" s="176">
        <f t="shared" si="28"/>
        <v>6</v>
      </c>
      <c r="O32" s="176">
        <f t="shared" si="28"/>
        <v>7</v>
      </c>
      <c r="P32" s="176">
        <f t="shared" si="28"/>
        <v>7</v>
      </c>
      <c r="Q32" s="176">
        <f t="shared" si="28"/>
        <v>6</v>
      </c>
      <c r="R32" s="176">
        <f t="shared" si="28"/>
        <v>6</v>
      </c>
      <c r="S32" s="176">
        <f t="shared" si="28"/>
        <v>6</v>
      </c>
      <c r="T32" s="176">
        <f t="shared" si="28"/>
        <v>6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3</v>
      </c>
      <c r="N36" s="172">
        <f t="shared" si="30"/>
        <v>3</v>
      </c>
      <c r="O36" s="172">
        <f t="shared" si="30"/>
        <v>3</v>
      </c>
      <c r="P36" s="172">
        <f t="shared" si="30"/>
        <v>3</v>
      </c>
      <c r="Q36" s="172">
        <f t="shared" si="30"/>
        <v>3</v>
      </c>
      <c r="R36" s="172">
        <f t="shared" si="30"/>
        <v>3</v>
      </c>
      <c r="S36" s="172">
        <f t="shared" si="30"/>
        <v>3</v>
      </c>
      <c r="T36" s="172">
        <f t="shared" si="30"/>
        <v>3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3</v>
      </c>
      <c r="N39" s="61">
        <f t="shared" si="33"/>
        <v>3</v>
      </c>
      <c r="O39" s="61">
        <f t="shared" si="33"/>
        <v>3</v>
      </c>
      <c r="P39" s="61">
        <f t="shared" si="33"/>
        <v>3</v>
      </c>
      <c r="Q39" s="61">
        <f t="shared" si="33"/>
        <v>3</v>
      </c>
      <c r="R39" s="61">
        <f t="shared" si="33"/>
        <v>3</v>
      </c>
      <c r="S39" s="61">
        <f t="shared" si="33"/>
        <v>3</v>
      </c>
      <c r="T39" s="61">
        <f t="shared" si="33"/>
        <v>3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0.5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</v>
      </c>
      <c r="D71" s="172">
        <f>IF($AA71=0,99,IF(D84&gt;3,CdTrp1!C79,CdTrp1!C55))</f>
        <v>0</v>
      </c>
      <c r="E71" s="172">
        <f>IF($AA71=0,99,IF(E84&gt;3,CdTrp1!D79,CdTrp1!D55))</f>
        <v>0</v>
      </c>
      <c r="F71" s="172">
        <f>IF($AA71=0,99,IF(F84&gt;3,CdTrp1!E79,CdTrp1!E55))</f>
        <v>0</v>
      </c>
      <c r="G71" s="172">
        <f>IF($AA71=0,99,IF(G84&gt;3,CdTrp1!F79,CdTrp1!F55))</f>
        <v>0</v>
      </c>
      <c r="H71" s="172">
        <f>IF($AA71=0,99,IF(H84&gt;3,CdTrp1!G79,CdTrp1!G55))</f>
        <v>0</v>
      </c>
      <c r="I71" s="172">
        <f>IF($AA71=0,99,IF(I84&gt;3,CdTrp1!H79,CdTrp1!H55))</f>
        <v>0</v>
      </c>
      <c r="J71" s="172">
        <f>IF($AA71=0,99,IF(J84&gt;3,CdTrp1!I79,CdTrp1!I55))</f>
        <v>0</v>
      </c>
      <c r="K71" s="172">
        <f>IF($AA71=0,99,IF(K84&gt;3,CdTrp1!J79,CdTrp1!J55))</f>
        <v>0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</v>
      </c>
      <c r="W71" s="172">
        <f>IF($AA71=0,99,IF(W84&gt;3,CdTrp1!V79,CdTrp1!V55))</f>
        <v>0</v>
      </c>
      <c r="X71" s="172">
        <f>IF($AA71=0,99,IF(X84&gt;3,CdTrp1!W79,CdTrp1!W55))</f>
        <v>0</v>
      </c>
      <c r="Y71" s="172">
        <f>IF($AA71=0,99,IF(Y84&gt;3,CdTrp1!X79,CdTrp1!X55))</f>
        <v>0</v>
      </c>
      <c r="Z71" s="172">
        <f>IF($AA71=0,99,IF(Z84&gt;3,CdTrp1!Y79,CdTrp1!Y55))</f>
        <v>0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</v>
      </c>
      <c r="N110" s="172">
        <f>IF($AA110=0,99,IF(N123&gt;3,CdTrp2!M76,CdTrp2!M52))</f>
        <v>0</v>
      </c>
      <c r="O110" s="172">
        <f>IF($AA110=0,99,IF(O123&gt;3,CdTrp2!N76,CdTrp2!N52))</f>
        <v>0</v>
      </c>
      <c r="P110" s="172">
        <f>IF($AA110=0,99,IF(P123&gt;3,CdTrp2!O76,CdTrp2!O52))</f>
        <v>0</v>
      </c>
      <c r="Q110" s="172">
        <f>IF($AA110=0,99,IF(Q123&gt;3,CdTrp2!P76,CdTrp2!P52))</f>
        <v>0</v>
      </c>
      <c r="R110" s="172">
        <f>IF($AA110=0,99,IF(R123&gt;3,CdTrp2!Q76,CdTrp2!Q52))</f>
        <v>0</v>
      </c>
      <c r="S110" s="172">
        <f>IF($AA110=0,99,IF(S123&gt;3,CdTrp2!R76,CdTrp2!R52))</f>
        <v>0</v>
      </c>
      <c r="T110" s="172">
        <f>IF($AA110=0,99,IF(T123&gt;3,CdTrp2!S76,CdTrp2!S52))</f>
        <v>0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2</v>
      </c>
      <c r="D180" s="172">
        <f>IF(Troupeau!$B$3="OL",Protection!D18,0)</f>
        <v>2</v>
      </c>
      <c r="E180" s="172">
        <f>IF(Troupeau!$B$3="OL",Protection!E18,0)</f>
        <v>2</v>
      </c>
      <c r="F180" s="172">
        <f>IF(Troupeau!$B$3="OL",Protection!F18,0)</f>
        <v>2</v>
      </c>
      <c r="G180" s="172">
        <f>IF(Troupeau!$B$3="OL",Protection!G18,0)</f>
        <v>2</v>
      </c>
      <c r="H180" s="172">
        <f>IF(Troupeau!$B$3="OL",Protection!H18,0)</f>
        <v>2</v>
      </c>
      <c r="I180" s="172">
        <f>IF(Troupeau!$B$3="OL",Protection!I18,0)</f>
        <v>2</v>
      </c>
      <c r="J180" s="172">
        <f>IF(Troupeau!$B$3="OL",Protection!J18,0)</f>
        <v>2</v>
      </c>
      <c r="K180" s="172">
        <f>IF(Troupeau!$B$3="OL",Protection!K18,0)</f>
        <v>2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2</v>
      </c>
      <c r="W180" s="172">
        <f>IF(Troupeau!$B$3="OL",Protection!W18,0)</f>
        <v>2</v>
      </c>
      <c r="X180" s="172">
        <f>IF(Troupeau!$B$3="OL",Protection!X18,0)</f>
        <v>2</v>
      </c>
      <c r="Y180" s="172">
        <f>IF(Troupeau!$B$3="OL",Protection!Y18,0)</f>
        <v>2</v>
      </c>
      <c r="Z180" s="172">
        <f>IF(Troupeau!$B$3="OL",Protection!Z18,0)</f>
        <v>2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2</v>
      </c>
      <c r="D195" s="172">
        <f t="shared" ref="D195:Z196" si="50">D180+D183+D185+D187</f>
        <v>2</v>
      </c>
      <c r="E195" s="172">
        <f t="shared" si="50"/>
        <v>2</v>
      </c>
      <c r="F195" s="172">
        <f t="shared" si="50"/>
        <v>2</v>
      </c>
      <c r="G195" s="172">
        <f t="shared" si="50"/>
        <v>2</v>
      </c>
      <c r="H195" s="172">
        <f t="shared" si="50"/>
        <v>2</v>
      </c>
      <c r="I195" s="172">
        <f t="shared" si="50"/>
        <v>2</v>
      </c>
      <c r="J195" s="172">
        <f t="shared" si="50"/>
        <v>2</v>
      </c>
      <c r="K195" s="172">
        <f t="shared" si="50"/>
        <v>2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2</v>
      </c>
      <c r="W195" s="172">
        <f t="shared" si="50"/>
        <v>2</v>
      </c>
      <c r="X195" s="172">
        <f t="shared" si="50"/>
        <v>2</v>
      </c>
      <c r="Y195" s="172">
        <f t="shared" si="50"/>
        <v>2</v>
      </c>
      <c r="Z195" s="172">
        <f t="shared" si="50"/>
        <v>2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994</v>
      </c>
      <c r="G5" s="172">
        <f>AV117</f>
        <v>49</v>
      </c>
      <c r="H5" s="172">
        <f t="shared" ref="H5:AD5" si="0">AW117</f>
        <v>49</v>
      </c>
      <c r="I5" s="172">
        <f t="shared" si="0"/>
        <v>49</v>
      </c>
      <c r="J5" s="172">
        <f t="shared" si="0"/>
        <v>49</v>
      </c>
      <c r="K5" s="172">
        <f t="shared" si="0"/>
        <v>49</v>
      </c>
      <c r="L5" s="172">
        <f t="shared" si="0"/>
        <v>77</v>
      </c>
      <c r="M5" s="172">
        <f t="shared" si="0"/>
        <v>77</v>
      </c>
      <c r="N5" s="172">
        <f t="shared" si="0"/>
        <v>77</v>
      </c>
      <c r="O5" s="172">
        <f t="shared" si="0"/>
        <v>77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63</v>
      </c>
      <c r="AA5" s="172">
        <f t="shared" si="0"/>
        <v>49</v>
      </c>
      <c r="AB5" s="172">
        <f t="shared" si="0"/>
        <v>49</v>
      </c>
      <c r="AC5" s="172">
        <f t="shared" si="0"/>
        <v>49</v>
      </c>
      <c r="AD5" s="172">
        <f t="shared" si="0"/>
        <v>49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151.19999999999999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12.25</v>
      </c>
      <c r="R6" s="172">
        <f t="shared" si="2"/>
        <v>12.25</v>
      </c>
      <c r="S6" s="172">
        <f t="shared" si="2"/>
        <v>12.25</v>
      </c>
      <c r="T6" s="172">
        <f t="shared" si="2"/>
        <v>12.25</v>
      </c>
      <c r="U6" s="172">
        <f t="shared" si="2"/>
        <v>12.25</v>
      </c>
      <c r="V6" s="172">
        <f t="shared" si="2"/>
        <v>12.25</v>
      </c>
      <c r="W6" s="172">
        <f t="shared" si="2"/>
        <v>12.25</v>
      </c>
      <c r="X6" s="172">
        <f t="shared" si="2"/>
        <v>12.25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871.15547826086947</v>
      </c>
      <c r="G9" s="30">
        <f>AV102</f>
        <v>52.786695652173911</v>
      </c>
      <c r="H9" s="30">
        <f t="shared" ref="H9:AD9" si="4">AW102</f>
        <v>52.694173913043478</v>
      </c>
      <c r="I9" s="30">
        <f t="shared" si="4"/>
        <v>52.601652173913045</v>
      </c>
      <c r="J9" s="30">
        <f t="shared" si="4"/>
        <v>52.555391304347829</v>
      </c>
      <c r="K9" s="30">
        <f t="shared" si="4"/>
        <v>52.509130434782605</v>
      </c>
      <c r="L9" s="30">
        <f t="shared" si="4"/>
        <v>31.462869565217389</v>
      </c>
      <c r="M9" s="30">
        <f t="shared" si="4"/>
        <v>31.416608695652172</v>
      </c>
      <c r="N9" s="30">
        <f t="shared" si="4"/>
        <v>31.370347826086956</v>
      </c>
      <c r="O9" s="30">
        <f t="shared" si="4"/>
        <v>31.277826086956523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29.89</v>
      </c>
      <c r="AA9" s="30">
        <f t="shared" si="4"/>
        <v>50.89</v>
      </c>
      <c r="AB9" s="30">
        <f t="shared" si="4"/>
        <v>52.786695652173911</v>
      </c>
      <c r="AC9" s="30">
        <f t="shared" si="4"/>
        <v>52.786695652173911</v>
      </c>
      <c r="AD9" s="30">
        <f t="shared" si="4"/>
        <v>52.786695652173911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2621.1554782608696</v>
      </c>
      <c r="G13" s="30">
        <f>SUM(G5:G11)</f>
        <v>143.7866956521739</v>
      </c>
      <c r="H13" s="30">
        <f t="shared" ref="H13:AD13" si="8">SUM(H5:H11)</f>
        <v>143.69417391304347</v>
      </c>
      <c r="I13" s="30">
        <f t="shared" si="8"/>
        <v>143.60165217391304</v>
      </c>
      <c r="J13" s="30">
        <f t="shared" si="8"/>
        <v>143.55539130434784</v>
      </c>
      <c r="K13" s="30">
        <f t="shared" si="8"/>
        <v>143.50913043478261</v>
      </c>
      <c r="L13" s="30">
        <f t="shared" si="8"/>
        <v>150.46286956521737</v>
      </c>
      <c r="M13" s="30">
        <f t="shared" si="8"/>
        <v>134.66660869565217</v>
      </c>
      <c r="N13" s="30">
        <f t="shared" si="8"/>
        <v>134.62034782608697</v>
      </c>
      <c r="O13" s="30">
        <f t="shared" si="8"/>
        <v>155.52782608695651</v>
      </c>
      <c r="P13" s="30">
        <f t="shared" si="8"/>
        <v>105.83391304347826</v>
      </c>
      <c r="Q13" s="30">
        <f t="shared" si="8"/>
        <v>70.833913043478262</v>
      </c>
      <c r="R13" s="30">
        <f t="shared" si="8"/>
        <v>47.905565217391306</v>
      </c>
      <c r="S13" s="30">
        <f t="shared" si="8"/>
        <v>47.905565217391306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47.905565217391306</v>
      </c>
      <c r="X13" s="30">
        <f t="shared" si="8"/>
        <v>47.905565217391306</v>
      </c>
      <c r="Y13" s="30">
        <f t="shared" si="8"/>
        <v>98.833913043478262</v>
      </c>
      <c r="Z13" s="30">
        <f t="shared" si="8"/>
        <v>133.13999999999999</v>
      </c>
      <c r="AA13" s="30">
        <f t="shared" si="8"/>
        <v>147.13999999999999</v>
      </c>
      <c r="AB13" s="30">
        <f t="shared" si="8"/>
        <v>149.0366956521739</v>
      </c>
      <c r="AC13" s="30">
        <f t="shared" si="8"/>
        <v>143.7866956521739</v>
      </c>
      <c r="AD13" s="30">
        <f t="shared" si="8"/>
        <v>143.7866956521739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134.4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2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14.58</v>
      </c>
      <c r="C55" s="189">
        <f>IF(B55&gt;[1]Trav!E121,[1]Trav!C121,[1]Trav!B121)</f>
        <v>7.2</v>
      </c>
      <c r="D55"/>
      <c r="E55" s="171"/>
      <c r="F55" s="172">
        <f t="shared" si="32"/>
        <v>105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11.100000000000001</v>
      </c>
      <c r="C56" s="189">
        <f>IF(B56&gt;[1]Trav!E121,[1]Trav!C121,[1]Trav!B121)</f>
        <v>7.2</v>
      </c>
      <c r="D56"/>
      <c r="E56" s="171"/>
      <c r="F56" s="172">
        <f t="shared" si="32"/>
        <v>80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1.6199999999999992</v>
      </c>
      <c r="C58" s="189">
        <f>IF(B58&gt;[1]Trav!E122,[1]Trav!C122,[1]Trav!B122)</f>
        <v>4.4000000000000004</v>
      </c>
      <c r="E58" s="171"/>
      <c r="F58" s="172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211</v>
      </c>
      <c r="CM60" s="172">
        <f>IF(CM15=0,0,IF(CM37=3,0,VALUE(CONCATENATE(Travail!CM26,Travail!CM37,Travail!CM48))))</f>
        <v>211</v>
      </c>
      <c r="CN60" s="172">
        <f>IF(CN15=0,0,IF(CN37=3,0,VALUE(CONCATENATE(Travail!CN26,Travail!CN37,Travail!CN48))))</f>
        <v>211</v>
      </c>
      <c r="CO60" s="172">
        <f>IF(CO15=0,0,IF(CO37=3,0,VALUE(CONCATENATE(Travail!CO26,Travail!CO37,Travail!CO48))))</f>
        <v>211</v>
      </c>
      <c r="CP60" s="172">
        <f>IF(CP15=0,0,IF(CP37=3,0,VALUE(CONCATENATE(Travail!CP26,Travail!CP37,Travail!CP48))))</f>
        <v>211</v>
      </c>
      <c r="CQ60" s="172">
        <f>IF(CQ15=0,0,IF(CQ37=3,0,VALUE(CONCATENATE(Travail!CQ26,Travail!CQ37,Travail!CQ48))))</f>
        <v>211</v>
      </c>
      <c r="CR60" s="172">
        <f>IF(CR15=0,0,IF(CR37=3,0,VALUE(CONCATENATE(Travail!CR26,Travail!CR37,Travail!CR48))))</f>
        <v>211</v>
      </c>
      <c r="CS60" s="172">
        <f>IF(CS15=0,0,IF(CS37=3,0,VALUE(CONCATENATE(Travail!CS26,Travail!CS37,Travail!CS48))))</f>
        <v>211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222</v>
      </c>
      <c r="AX61" s="172">
        <f>IF(AX16=0,0,IF(AX38=3,0,VALUE(CONCATENATE(Travail!AX27,Travail!AX38,Travail!AX49))))</f>
        <v>222</v>
      </c>
      <c r="AY61" s="172">
        <f>IF(AY16=0,0,IF(AY38=3,0,VALUE(CONCATENATE(Travail!AY27,Travail!AY38,Travail!AY49))))</f>
        <v>222</v>
      </c>
      <c r="AZ61" s="172">
        <f>IF(AZ16=0,0,IF(AZ38=3,0,VALUE(CONCATENATE(Travail!AZ27,Travail!AZ38,Travail!AZ49))))</f>
        <v>222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222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212</v>
      </c>
      <c r="AW63" s="172">
        <f>IF(AW18=0,0,IF(AW40=3,0,VALUE(CONCATENATE(Travail!AW29,Travail!AW40,Travail!AW51))))</f>
        <v>212</v>
      </c>
      <c r="AX63" s="172">
        <f>IF(AX18=0,0,IF(AX40=3,0,VALUE(CONCATENATE(Travail!AX29,Travail!AX40,Travail!AX51))))</f>
        <v>212</v>
      </c>
      <c r="AY63" s="172">
        <f>IF(AY18=0,0,IF(AY40=3,0,VALUE(CONCATENATE(Travail!AY29,Travail!AY40,Travail!AY51))))</f>
        <v>212</v>
      </c>
      <c r="AZ63" s="172">
        <f>IF(AZ18=0,0,IF(AZ40=3,0,VALUE(CONCATENATE(Travail!AZ29,Travail!AZ40,Travail!AZ51))))</f>
        <v>212</v>
      </c>
      <c r="BA63" s="172">
        <f>IF(BA18=0,0,IF(BA40=3,0,VALUE(CONCATENATE(Travail!BA29,Travail!BA40,Travail!BA51))))</f>
        <v>212</v>
      </c>
      <c r="BB63" s="172">
        <f>IF(BB18=0,0,IF(BB40=3,0,VALUE(CONCATENATE(Travail!BB29,Travail!BB40,Travail!BB51))))</f>
        <v>212</v>
      </c>
      <c r="BC63" s="172">
        <f>IF(BC18=0,0,IF(BC40=3,0,VALUE(CONCATENATE(Travail!BC29,Travail!BC40,Travail!BC51))))</f>
        <v>212</v>
      </c>
      <c r="BD63" s="172">
        <f>IF(BD18=0,0,IF(BD40=3,0,VALUE(CONCATENATE(Travail!BD29,Travail!BD40,Travail!BD51))))</f>
        <v>212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212</v>
      </c>
      <c r="BP63" s="172">
        <f>IF(BP18=0,0,IF(BP40=3,0,VALUE(CONCATENATE(Travail!BP29,Travail!BP40,Travail!BP51))))</f>
        <v>212</v>
      </c>
      <c r="BQ63" s="172">
        <f>IF(BQ18=0,0,IF(BQ40=3,0,VALUE(CONCATENATE(Travail!BQ29,Travail!BQ40,Travail!BQ51))))</f>
        <v>212</v>
      </c>
      <c r="BR63" s="172">
        <f>IF(BR18=0,0,IF(BR40=3,0,VALUE(CONCATENATE(Travail!BR29,Travail!BR40,Travail!BR51))))</f>
        <v>212</v>
      </c>
      <c r="BS63" s="172">
        <f>IF(BS18=0,0,IF(BS40=3,0,VALUE(CONCATENATE(Travail!BS29,Travail!BS40,Travail!BS51))))</f>
        <v>212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260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22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21</v>
      </c>
      <c r="AW74" s="172">
        <f t="shared" si="36"/>
        <v>21</v>
      </c>
      <c r="AX74" s="172">
        <f t="shared" si="36"/>
        <v>21</v>
      </c>
      <c r="AY74" s="172">
        <f t="shared" si="36"/>
        <v>21</v>
      </c>
      <c r="AZ74" s="172">
        <f t="shared" si="36"/>
        <v>21</v>
      </c>
      <c r="BA74" s="172">
        <f t="shared" si="36"/>
        <v>21</v>
      </c>
      <c r="BB74" s="172">
        <f t="shared" si="36"/>
        <v>21</v>
      </c>
      <c r="BC74" s="172">
        <f t="shared" si="36"/>
        <v>21</v>
      </c>
      <c r="BD74" s="172">
        <f t="shared" si="36"/>
        <v>21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21</v>
      </c>
      <c r="BP74" s="172">
        <f t="shared" si="36"/>
        <v>21</v>
      </c>
      <c r="BQ74" s="172">
        <f t="shared" si="36"/>
        <v>21</v>
      </c>
      <c r="BR74" s="172">
        <f t="shared" si="36"/>
        <v>21</v>
      </c>
      <c r="BS74" s="172">
        <f t="shared" si="36"/>
        <v>21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133</v>
      </c>
      <c r="G75" s="197">
        <f>IF(Protection!C195=0,0,[1]Protect!$B$9*Protection!C195*14)</f>
        <v>7</v>
      </c>
      <c r="H75" s="197">
        <f>IF(Protection!D195=0,0,[1]Protect!$B$9*Protection!D195*14)</f>
        <v>7</v>
      </c>
      <c r="I75" s="197">
        <f>IF(Protection!E195=0,0,[1]Protect!$B$9*Protection!E195*14)</f>
        <v>7</v>
      </c>
      <c r="J75" s="197">
        <f>IF(Protection!F195=0,0,[1]Protect!$B$9*Protection!F195*14)</f>
        <v>7</v>
      </c>
      <c r="K75" s="197">
        <f>IF(Protection!G195=0,0,[1]Protect!$B$9*Protection!G195*14)</f>
        <v>7</v>
      </c>
      <c r="L75" s="197">
        <f>IF(Protection!H195=0,0,[1]Protect!$B$9*Protection!H195*14)</f>
        <v>7</v>
      </c>
      <c r="M75" s="197">
        <f>IF(Protection!I195=0,0,[1]Protect!$B$9*Protection!I195*14)</f>
        <v>7</v>
      </c>
      <c r="N75" s="197">
        <f>IF(Protection!J195=0,0,[1]Protect!$B$9*Protection!J195*14)</f>
        <v>7</v>
      </c>
      <c r="O75" s="197">
        <f>IF(Protection!K195=0,0,[1]Protect!$B$9*Protection!K195*14)</f>
        <v>7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7</v>
      </c>
      <c r="AA75" s="197">
        <f>IF(Protection!W195=0,0,[1]Protect!$B$9*Protection!W195*14)</f>
        <v>7</v>
      </c>
      <c r="AB75" s="197">
        <f>IF(Protection!X195=0,0,[1]Protect!$B$9*Protection!X195*14)</f>
        <v>7</v>
      </c>
      <c r="AC75" s="197">
        <f>IF(Protection!Y195=0,0,[1]Protect!$B$9*Protection!Y195*14)</f>
        <v>7</v>
      </c>
      <c r="AD75" s="197">
        <f>IF(Protection!Z195=0,0,[1]Protect!$B$9*Protection!Z195*14)</f>
        <v>7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417.5</v>
      </c>
      <c r="G77" s="45">
        <f t="shared" ref="G77:AD77" si="43">+SUM(G69:G76)</f>
        <v>17</v>
      </c>
      <c r="H77" s="45">
        <f t="shared" si="43"/>
        <v>17</v>
      </c>
      <c r="I77" s="45">
        <f t="shared" si="43"/>
        <v>17</v>
      </c>
      <c r="J77" s="45">
        <f t="shared" si="43"/>
        <v>17</v>
      </c>
      <c r="K77" s="45">
        <f t="shared" si="43"/>
        <v>17</v>
      </c>
      <c r="L77" s="45">
        <f t="shared" si="43"/>
        <v>27</v>
      </c>
      <c r="M77" s="45">
        <f t="shared" si="43"/>
        <v>27</v>
      </c>
      <c r="N77" s="45">
        <f t="shared" si="43"/>
        <v>27</v>
      </c>
      <c r="O77" s="45">
        <f t="shared" si="43"/>
        <v>27</v>
      </c>
      <c r="P77" s="45">
        <f t="shared" si="43"/>
        <v>18.5</v>
      </c>
      <c r="Q77" s="45">
        <f t="shared" si="43"/>
        <v>13.5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13.5</v>
      </c>
      <c r="Z77" s="45">
        <f t="shared" si="43"/>
        <v>27</v>
      </c>
      <c r="AA77" s="45">
        <f t="shared" si="43"/>
        <v>17</v>
      </c>
      <c r="AB77" s="45">
        <f t="shared" si="43"/>
        <v>17</v>
      </c>
      <c r="AC77" s="45">
        <f t="shared" si="43"/>
        <v>17</v>
      </c>
      <c r="AD77" s="45">
        <f t="shared" si="43"/>
        <v>17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1.29</v>
      </c>
      <c r="C81" s="189">
        <f>[1]Protect!$B$10</f>
        <v>4</v>
      </c>
      <c r="D81" s="171"/>
      <c r="E81" s="171"/>
      <c r="F81" s="172">
        <f>ROUND(C81*B81*8,0)</f>
        <v>41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7.2619999999999996</v>
      </c>
      <c r="C83" s="189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1</v>
      </c>
      <c r="AW83" s="172">
        <f t="shared" ref="AW83:BS83" si="50">COUNTIF(AW$71:AW$80,22)</f>
        <v>1</v>
      </c>
      <c r="AX83" s="172">
        <f t="shared" si="50"/>
        <v>1</v>
      </c>
      <c r="AY83" s="172">
        <f t="shared" si="50"/>
        <v>2</v>
      </c>
      <c r="AZ83" s="172">
        <f t="shared" si="50"/>
        <v>2</v>
      </c>
      <c r="BA83" s="172">
        <f t="shared" si="50"/>
        <v>3</v>
      </c>
      <c r="BB83" s="172">
        <f t="shared" si="50"/>
        <v>3</v>
      </c>
      <c r="BC83" s="172">
        <f t="shared" si="50"/>
        <v>3</v>
      </c>
      <c r="BD83" s="172">
        <f t="shared" si="50"/>
        <v>3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2</v>
      </c>
      <c r="BP83" s="172">
        <f t="shared" si="50"/>
        <v>1</v>
      </c>
      <c r="BQ83" s="172">
        <f t="shared" si="50"/>
        <v>1</v>
      </c>
      <c r="BR83" s="172">
        <f t="shared" si="50"/>
        <v>1</v>
      </c>
      <c r="BS83" s="172">
        <f t="shared" si="50"/>
        <v>1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0.60000000000000009</v>
      </c>
      <c r="C86" s="175"/>
      <c r="D86" s="175"/>
      <c r="E86" s="175"/>
      <c r="F86" s="172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1865.1554782608696</v>
      </c>
      <c r="C91" s="5"/>
      <c r="D91" s="201">
        <f>B91/Troupeau!$B$17</f>
        <v>6.1353798627002289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655.20000000000005</v>
      </c>
      <c r="C92" s="5"/>
      <c r="D92" s="201">
        <f>IF(B92=0,0,B92/Troupeau!$C$17)</f>
        <v>28.486956521739131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2520.3554782608699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134.4</v>
      </c>
      <c r="C95" s="5"/>
      <c r="D95" s="201">
        <f>B95/Troupeau!$B$17</f>
        <v>0.44210526315789478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134.4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358.19130434782608</v>
      </c>
      <c r="AW99" s="61">
        <f t="shared" ref="AW99:BS99" si="68">SUM(AW90:AW98)</f>
        <v>355.54782608695655</v>
      </c>
      <c r="AX99" s="61">
        <f t="shared" si="68"/>
        <v>352.90434782608696</v>
      </c>
      <c r="AY99" s="61">
        <f t="shared" si="68"/>
        <v>351.5826086956522</v>
      </c>
      <c r="AZ99" s="61">
        <f t="shared" si="68"/>
        <v>350.26086956521738</v>
      </c>
      <c r="BA99" s="61">
        <f t="shared" si="68"/>
        <v>348.93913043478261</v>
      </c>
      <c r="BB99" s="61">
        <f t="shared" si="68"/>
        <v>347.61739130434785</v>
      </c>
      <c r="BC99" s="61">
        <f t="shared" si="68"/>
        <v>346.29565217391308</v>
      </c>
      <c r="BD99" s="61">
        <f t="shared" si="68"/>
        <v>343.6521739130435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304</v>
      </c>
      <c r="BP99" s="61">
        <f t="shared" si="68"/>
        <v>304</v>
      </c>
      <c r="BQ99" s="61">
        <f t="shared" si="68"/>
        <v>358.19130434782608</v>
      </c>
      <c r="BR99" s="61">
        <f t="shared" si="68"/>
        <v>358.19130434782608</v>
      </c>
      <c r="BS99" s="61">
        <f t="shared" si="68"/>
        <v>358.19130434782608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7.1638260869565213</v>
      </c>
      <c r="AW100" s="172">
        <f t="shared" ref="AW100:BS100" si="71">IF($AT$2="OL",AW99/50,AW99/10)</f>
        <v>7.1109565217391308</v>
      </c>
      <c r="AX100" s="172">
        <f t="shared" si="71"/>
        <v>7.0580869565217395</v>
      </c>
      <c r="AY100" s="172">
        <f t="shared" si="71"/>
        <v>7.0316521739130442</v>
      </c>
      <c r="AZ100" s="172">
        <f t="shared" si="71"/>
        <v>7.0052173913043472</v>
      </c>
      <c r="BA100" s="172">
        <f t="shared" si="71"/>
        <v>6.9787826086956519</v>
      </c>
      <c r="BB100" s="172">
        <f t="shared" si="71"/>
        <v>6.9523478260869567</v>
      </c>
      <c r="BC100" s="172">
        <f t="shared" si="71"/>
        <v>6.9259130434782614</v>
      </c>
      <c r="BD100" s="172">
        <f t="shared" si="71"/>
        <v>6.87304347826087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6.08</v>
      </c>
      <c r="BP100" s="172">
        <f t="shared" si="71"/>
        <v>6.08</v>
      </c>
      <c r="BQ100" s="172">
        <f t="shared" si="71"/>
        <v>7.1638260869565213</v>
      </c>
      <c r="BR100" s="172">
        <f t="shared" si="71"/>
        <v>7.1638260869565213</v>
      </c>
      <c r="BS100" s="172">
        <f t="shared" si="71"/>
        <v>7.1638260869565213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6.1638260869565213</v>
      </c>
      <c r="AW101" s="172">
        <f t="shared" ref="AW101:BS101" si="74">IF(AW100&gt;1,AW100-1,0)</f>
        <v>6.1109565217391308</v>
      </c>
      <c r="AX101" s="172">
        <f t="shared" si="74"/>
        <v>6.0580869565217395</v>
      </c>
      <c r="AY101" s="172">
        <f t="shared" si="74"/>
        <v>6.0316521739130442</v>
      </c>
      <c r="AZ101" s="172">
        <f t="shared" si="74"/>
        <v>6.0052173913043472</v>
      </c>
      <c r="BA101" s="172">
        <f t="shared" si="74"/>
        <v>5.9787826086956519</v>
      </c>
      <c r="BB101" s="172">
        <f t="shared" si="74"/>
        <v>5.9523478260869567</v>
      </c>
      <c r="BC101" s="172">
        <f t="shared" si="74"/>
        <v>5.9259130434782614</v>
      </c>
      <c r="BD101" s="172">
        <f t="shared" si="74"/>
        <v>5.87304347826087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5.08</v>
      </c>
      <c r="BP101" s="172">
        <f t="shared" si="74"/>
        <v>5.08</v>
      </c>
      <c r="BQ101" s="172">
        <f t="shared" si="74"/>
        <v>6.1638260869565213</v>
      </c>
      <c r="BR101" s="172">
        <f t="shared" si="74"/>
        <v>6.1638260869565213</v>
      </c>
      <c r="BS101" s="172">
        <f t="shared" si="74"/>
        <v>6.1638260869565213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52.786695652173911</v>
      </c>
      <c r="AW102" s="61">
        <f t="shared" ref="AW102:BS102" si="77">AW86+AW87*AW101</f>
        <v>52.694173913043478</v>
      </c>
      <c r="AX102" s="61">
        <f t="shared" si="77"/>
        <v>52.601652173913045</v>
      </c>
      <c r="AY102" s="61">
        <f t="shared" si="77"/>
        <v>52.555391304347829</v>
      </c>
      <c r="AZ102" s="61">
        <f t="shared" si="77"/>
        <v>52.509130434782605</v>
      </c>
      <c r="BA102" s="61">
        <f t="shared" si="77"/>
        <v>31.462869565217389</v>
      </c>
      <c r="BB102" s="61">
        <f t="shared" si="77"/>
        <v>31.416608695652172</v>
      </c>
      <c r="BC102" s="61">
        <f t="shared" si="77"/>
        <v>31.370347826086956</v>
      </c>
      <c r="BD102" s="61">
        <f t="shared" si="77"/>
        <v>31.277826086956523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29.89</v>
      </c>
      <c r="BP102" s="61">
        <f t="shared" si="77"/>
        <v>50.89</v>
      </c>
      <c r="BQ102" s="61">
        <f t="shared" si="77"/>
        <v>52.786695652173911</v>
      </c>
      <c r="BR102" s="61">
        <f t="shared" si="77"/>
        <v>52.786695652173911</v>
      </c>
      <c r="BS102" s="61">
        <f t="shared" si="77"/>
        <v>52.786695652173911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3.5</v>
      </c>
      <c r="CM106" s="189">
        <f>IF(CM60&gt;0,HLOOKUP(CM60,[1]Trav!$C$11:$O$31,$CA$105),0)</f>
        <v>3.5</v>
      </c>
      <c r="CN106" s="189">
        <f>IF(CN60&gt;0,HLOOKUP(CN60,[1]Trav!$C$11:$O$31,$CA$105),0)</f>
        <v>3.5</v>
      </c>
      <c r="CO106" s="189">
        <f>IF(CO60&gt;0,HLOOKUP(CO60,[1]Trav!$C$11:$O$31,$CA$105),0)</f>
        <v>3.5</v>
      </c>
      <c r="CP106" s="189">
        <f>IF(CP60&gt;0,HLOOKUP(CP60,[1]Trav!$C$11:$O$31,$CA$105),0)</f>
        <v>3.5</v>
      </c>
      <c r="CQ106" s="189">
        <f>IF(CQ60&gt;0,HLOOKUP(CQ60,[1]Trav!$C$11:$O$31,$CA$105),0)</f>
        <v>3.5</v>
      </c>
      <c r="CR106" s="189">
        <f>IF(CR60&gt;0,HLOOKUP(CR60,[1]Trav!$C$11:$O$31,$CA$105),0)</f>
        <v>3.5</v>
      </c>
      <c r="CS106" s="189">
        <f>IF(CS60&gt;0,HLOOKUP(CS60,[1]Trav!$C$11:$O$31,$CA$105),0)</f>
        <v>3.5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21</v>
      </c>
      <c r="AW107" s="189">
        <f>IF(AW61&gt;0,HLOOKUP(AW61,[1]Trav!$C$11:$O$31,$AU$105),0)</f>
        <v>21</v>
      </c>
      <c r="AX107" s="189">
        <f>IF(AX61&gt;0,HLOOKUP(AX61,[1]Trav!$C$11:$O$31,$AU$105),0)</f>
        <v>21</v>
      </c>
      <c r="AY107" s="189">
        <f>IF(AY61&gt;0,HLOOKUP(AY61,[1]Trav!$C$11:$O$31,$AU$105),0)</f>
        <v>21</v>
      </c>
      <c r="AZ107" s="189">
        <f>IF(AZ61&gt;0,HLOOKUP(AZ61,[1]Trav!$C$11:$O$31,$AU$105),0)</f>
        <v>21</v>
      </c>
      <c r="BA107" s="189">
        <f>IF(BA61&gt;0,HLOOKUP(BA61,[1]Trav!$C$11:$O$31,$AU$105),0)</f>
        <v>21</v>
      </c>
      <c r="BB107" s="189">
        <f>IF(BB61&gt;0,HLOOKUP(BB61,[1]Trav!$C$11:$O$31,$AU$105),0)</f>
        <v>21</v>
      </c>
      <c r="BC107" s="189">
        <f>IF(BC61&gt;0,HLOOKUP(BC61,[1]Trav!$C$11:$O$31,$AU$105),0)</f>
        <v>21</v>
      </c>
      <c r="BD107" s="189">
        <f>IF(BD61&gt;0,HLOOKUP(BD61,[1]Trav!$C$11:$O$31,$AU$105),0)</f>
        <v>21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21</v>
      </c>
      <c r="BP107" s="189">
        <f>IF(BP61&gt;0,HLOOKUP(BP61,[1]Trav!$C$11:$O$31,$AU$105),0)</f>
        <v>21</v>
      </c>
      <c r="BQ107" s="189">
        <f>IF(BQ61&gt;0,HLOOKUP(BQ61,[1]Trav!$C$11:$O$31,$AU$105),0)</f>
        <v>21</v>
      </c>
      <c r="BR107" s="189">
        <f>IF(BR61&gt;0,HLOOKUP(BR61,[1]Trav!$C$11:$O$31,$AU$105),0)</f>
        <v>21</v>
      </c>
      <c r="BS107" s="189">
        <f>IF(BS61&gt;0,HLOOKUP(BS61,[1]Trav!$C$11:$O$31,$AU$105),0)</f>
        <v>21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259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260</v>
      </c>
      <c r="D109" s="196"/>
      <c r="AT109" s="188" t="str">
        <f t="shared" si="80"/>
        <v>beliers</v>
      </c>
      <c r="AV109" s="189">
        <f>IF(AV63&gt;0,HLOOKUP(AV63,[1]Trav!$C$11:$O$31,$AU$105),0)</f>
        <v>28</v>
      </c>
      <c r="AW109" s="189">
        <f>IF(AW63&gt;0,HLOOKUP(AW63,[1]Trav!$C$11:$O$31,$AU$105),0)</f>
        <v>28</v>
      </c>
      <c r="AX109" s="189">
        <f>IF(AX63&gt;0,HLOOKUP(AX63,[1]Trav!$C$11:$O$31,$AU$105),0)</f>
        <v>28</v>
      </c>
      <c r="AY109" s="189">
        <f>IF(AY63&gt;0,HLOOKUP(AY63,[1]Trav!$C$11:$O$31,$AU$105),0)</f>
        <v>28</v>
      </c>
      <c r="AZ109" s="189">
        <f>IF(AZ63&gt;0,HLOOKUP(AZ63,[1]Trav!$C$11:$O$31,$AU$105),0)</f>
        <v>28</v>
      </c>
      <c r="BA109" s="189">
        <f>IF(BA63&gt;0,HLOOKUP(BA63,[1]Trav!$C$11:$O$31,$AU$105),0)</f>
        <v>28</v>
      </c>
      <c r="BB109" s="189">
        <f>IF(BB63&gt;0,HLOOKUP(BB63,[1]Trav!$C$11:$O$31,$AU$105),0)</f>
        <v>28</v>
      </c>
      <c r="BC109" s="189">
        <f>IF(BC63&gt;0,HLOOKUP(BC63,[1]Trav!$C$11:$O$31,$AU$105),0)</f>
        <v>28</v>
      </c>
      <c r="BD109" s="189">
        <f>IF(BD63&gt;0,HLOOKUP(BD63,[1]Trav!$C$11:$O$31,$AU$105),0)</f>
        <v>28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28</v>
      </c>
      <c r="BP109" s="189">
        <f>IF(BP63&gt;0,HLOOKUP(BP63,[1]Trav!$C$11:$O$31,$AU$105),0)</f>
        <v>28</v>
      </c>
      <c r="BQ109" s="189">
        <f>IF(BQ63&gt;0,HLOOKUP(BQ63,[1]Trav!$C$11:$O$31,$AU$105),0)</f>
        <v>28</v>
      </c>
      <c r="BR109" s="189">
        <f>IF(BR63&gt;0,HLOOKUP(BR63,[1]Trav!$C$11:$O$31,$AU$105),0)</f>
        <v>28</v>
      </c>
      <c r="BS109" s="189">
        <f>IF(BS63&gt;0,HLOOKUP(BS63,[1]Trav!$C$11:$O$31,$AU$105),0)</f>
        <v>28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260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8.1999999999999993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144.00000000000003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49</v>
      </c>
      <c r="AW117" s="172">
        <f t="shared" ref="AW117:BS117" si="83">SUM(AW106:AW115)</f>
        <v>49</v>
      </c>
      <c r="AX117" s="172">
        <f t="shared" si="83"/>
        <v>49</v>
      </c>
      <c r="AY117" s="172">
        <f t="shared" si="83"/>
        <v>49</v>
      </c>
      <c r="AZ117" s="172">
        <f t="shared" si="83"/>
        <v>49</v>
      </c>
      <c r="BA117" s="172">
        <f t="shared" si="83"/>
        <v>77</v>
      </c>
      <c r="BB117" s="172">
        <f t="shared" si="83"/>
        <v>77</v>
      </c>
      <c r="BC117" s="172">
        <f t="shared" si="83"/>
        <v>77</v>
      </c>
      <c r="BD117" s="172">
        <f t="shared" si="83"/>
        <v>77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63</v>
      </c>
      <c r="BP117" s="172">
        <f t="shared" si="83"/>
        <v>49</v>
      </c>
      <c r="BQ117" s="172">
        <f t="shared" si="83"/>
        <v>49</v>
      </c>
      <c r="BR117" s="172">
        <f t="shared" si="83"/>
        <v>49</v>
      </c>
      <c r="BS117" s="172">
        <f t="shared" si="83"/>
        <v>49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12.25</v>
      </c>
      <c r="CM117" s="172">
        <f t="shared" si="84"/>
        <v>12.25</v>
      </c>
      <c r="CN117" s="172">
        <f t="shared" si="84"/>
        <v>12.25</v>
      </c>
      <c r="CO117" s="172">
        <f t="shared" si="84"/>
        <v>12.25</v>
      </c>
      <c r="CP117" s="172">
        <f t="shared" si="84"/>
        <v>12.25</v>
      </c>
      <c r="CQ117" s="172">
        <f t="shared" si="84"/>
        <v>12.25</v>
      </c>
      <c r="CR117" s="172">
        <f t="shared" si="84"/>
        <v>12.25</v>
      </c>
      <c r="CS117" s="172">
        <f t="shared" si="84"/>
        <v>12.25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3179.7188115942031</v>
      </c>
      <c r="D118" s="201">
        <f>B118/Troupeau!$B$17</f>
        <v>10.459601353928299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757.2</v>
      </c>
      <c r="D119" s="201">
        <f>IF(B119=0,0,B119/Troupeau!$C$17)</f>
        <v>32.921739130434787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3936.9188115942034</v>
      </c>
    </row>
    <row r="123" spans="1:132" x14ac:dyDescent="0.25">
      <c r="A123" s="2" t="s">
        <v>856</v>
      </c>
      <c r="B123" s="30">
        <f>B108</f>
        <v>259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284.5</v>
      </c>
    </row>
    <row r="126" spans="1:132" x14ac:dyDescent="0.25">
      <c r="A126" s="2" t="s">
        <v>872</v>
      </c>
      <c r="B126" s="30">
        <f>B114+B115+B116</f>
        <v>193.20000000000005</v>
      </c>
    </row>
    <row r="128" spans="1:132" x14ac:dyDescent="0.25">
      <c r="A128" s="2" t="s">
        <v>873</v>
      </c>
      <c r="B128" s="200">
        <f>SUM(B122:B126)</f>
        <v>5273.6188115942032</v>
      </c>
    </row>
    <row r="129" spans="1:2" x14ac:dyDescent="0.25">
      <c r="A129" s="2" t="s">
        <v>874</v>
      </c>
      <c r="B129" s="30">
        <f>IF(Scénario!K129=1,Travail!F77+Travail!F86,F86)</f>
        <v>561.5</v>
      </c>
    </row>
    <row r="130" spans="1:2" x14ac:dyDescent="0.25">
      <c r="A130" s="2" t="s">
        <v>875</v>
      </c>
      <c r="B130" s="200">
        <f>ROUND((B128-B129)/(Scénario!K4+Scénario!K6),0)</f>
        <v>3141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0.93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79.509999999999991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79.509999999999991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79.509999999999991</v>
      </c>
      <c r="C42" s="214">
        <f>[1]Eco!$B$24</f>
        <v>97</v>
      </c>
      <c r="J42" s="172">
        <f>B42*C42</f>
        <v>7712.4699999999993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79.509999999999991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5327.1699999999992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49.349999999999994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8116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79.509999999999991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112751.84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105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49.349999999999994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89.968450000000004</v>
      </c>
      <c r="C118" s="189">
        <f>IF(Scénario!$K$12="BV",[1]Eco!$B$78,IF(Scénario!$K$12="BL",[1]Eco!$B$77,[1]Eco!$B$76))</f>
        <v>223</v>
      </c>
      <c r="J118" s="172">
        <f>B118*C118</f>
        <v>20062.964350000002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6.7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301.5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5.0999999999999996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308.60099999999994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11.100000000000001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752.02500000000009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8139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693.58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62430.570350000009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16.2</v>
      </c>
      <c r="X153" t="s">
        <v>52</v>
      </c>
      <c r="Y153" s="172">
        <f>W153-Scénario!K28</f>
        <v>-6</v>
      </c>
      <c r="Z153" s="172">
        <f>Y153-Y156</f>
        <v>-5.4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11.100000000000001</v>
      </c>
      <c r="X154" t="s">
        <v>52</v>
      </c>
      <c r="Y154" s="172">
        <f>W154-Scénario!K29</f>
        <v>-1</v>
      </c>
      <c r="Z154" s="172">
        <f>Y154</f>
        <v>-1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-0.6</v>
      </c>
      <c r="Z156" s="172">
        <f t="shared" si="68"/>
        <v>-0.6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-5.4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-195.48000000000002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-1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-30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-0.6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-93.24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144.00000000000003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1530.7200000000005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442.2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4700.5860000000002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1.6</v>
      </c>
      <c r="T167" s="172">
        <f>VLOOKUP(R167,[1]MEP!$A$4:$M$300,13)</f>
        <v>1</v>
      </c>
      <c r="U167" s="172">
        <f t="shared" si="72"/>
        <v>1.6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1.6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1.6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6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6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30765.477999999999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19555.791649999988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13037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3510.3397669676469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5045.4518830323414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3364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16.2</v>
      </c>
      <c r="V228" s="61">
        <f t="shared" ref="V228:W228" si="84">SUM(V164:V227)</f>
        <v>11.100000000000001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6.7</v>
      </c>
      <c r="AI228" s="61">
        <f t="shared" si="86"/>
        <v>5.0999999999999996</v>
      </c>
      <c r="AJ228" s="61">
        <f t="shared" si="86"/>
        <v>11.100000000000001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7262</v>
      </c>
      <c r="U234" t="s">
        <v>1101</v>
      </c>
      <c r="V234" s="172"/>
      <c r="W234" s="172">
        <f>[1]Protect!$B$4</f>
        <v>6</v>
      </c>
      <c r="X234" s="172">
        <f>T234*W234</f>
        <v>43572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2">
        <f>[1]Protect!$B$83</f>
        <v>2000</v>
      </c>
      <c r="X235" s="172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43972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28472</v>
      </c>
      <c r="AB237" s="30">
        <f>(Scénario!K127/100)*AA237</f>
        <v>0</v>
      </c>
      <c r="AC237" s="30">
        <f>AA237-AB237</f>
        <v>28472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3510.3397669676469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2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0.60000000000000009</v>
      </c>
      <c r="W246" s="172">
        <f>[1]Eco!$B$106*[1]Eco!$B$108*[1]Eco!$B$109</f>
        <v>2551.2000000000003</v>
      </c>
      <c r="X246" s="172">
        <f>T246*W246</f>
        <v>1530.7200000000005</v>
      </c>
    </row>
    <row r="247" spans="17:31" x14ac:dyDescent="0.25">
      <c r="S247" s="14" t="s">
        <v>1116</v>
      </c>
      <c r="T247" s="30">
        <f>Travail!F16/8</f>
        <v>16.8</v>
      </c>
      <c r="W247" s="172">
        <f>[1]Eco!$B$111</f>
        <v>28.3</v>
      </c>
      <c r="X247" s="172">
        <f>T247*W247</f>
        <v>475.44000000000005</v>
      </c>
    </row>
    <row r="248" spans="17:31" x14ac:dyDescent="0.25">
      <c r="W248" s="14" t="s">
        <v>1117</v>
      </c>
      <c r="X248" s="172">
        <f>SUM(X245:X247)</f>
        <v>10145.160000000002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10145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8116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8116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10000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108.93</v>
      </c>
      <c r="U272" s="172"/>
      <c r="V272" s="172"/>
      <c r="W272" s="172">
        <f>W234</f>
        <v>6</v>
      </c>
      <c r="X272" s="172">
        <f>T272*W272</f>
        <v>653.58000000000004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0.4</v>
      </c>
      <c r="U274" s="172"/>
      <c r="V274" s="172"/>
      <c r="W274" s="172">
        <f>W271</f>
        <v>100</v>
      </c>
      <c r="X274" s="172">
        <f>T274*W274</f>
        <v>40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Z1_OLBV_T3_MC1s1</v>
      </c>
      <c r="D1" s="274" t="str">
        <f>CONCATENATE(C1,"_corr")</f>
        <v>Z1_OLBV_T3_MC1s1_corr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16.2</v>
      </c>
      <c r="D85" s="260">
        <f>ROUND(C85*$D$82/$C$82,3)</f>
        <v>17.82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11.100000000000001</v>
      </c>
      <c r="D86" s="260">
        <f t="shared" ref="D86:D97" si="14">ROUND(C86*$D$82/$C$82,3)</f>
        <v>12.21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1.62</v>
      </c>
      <c r="D88" s="260">
        <f t="shared" si="14"/>
        <v>1.782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2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14</v>
      </c>
      <c r="D111" s="172">
        <f t="shared" si="25"/>
        <v>14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211</v>
      </c>
      <c r="CM121" s="172">
        <f>IF(CM75=0,0,VALUE(CONCATENATE(Travail!CM26,Travail!CM37,Travail!CM48)))</f>
        <v>211</v>
      </c>
      <c r="CN121" s="172">
        <f>IF(CN75=0,0,VALUE(CONCATENATE(Travail!CN26,Travail!CN37,Travail!CN48)))</f>
        <v>211</v>
      </c>
      <c r="CO121" s="172">
        <f>IF(CO75=0,0,VALUE(CONCATENATE(Travail!CO26,Travail!CO37,Travail!CO48)))</f>
        <v>211</v>
      </c>
      <c r="CP121" s="172">
        <f>IF(CP75=0,0,VALUE(CONCATENATE(Travail!CP26,Travail!CP37,Travail!CP48)))</f>
        <v>211</v>
      </c>
      <c r="CQ121" s="172">
        <f>IF(CQ75=0,0,VALUE(CONCATENATE(Travail!CQ26,Travail!CQ37,Travail!CQ48)))</f>
        <v>211</v>
      </c>
      <c r="CR121" s="172">
        <f>IF(CR75=0,0,VALUE(CONCATENATE(Travail!CR26,Travail!CR37,Travail!CR48)))</f>
        <v>211</v>
      </c>
      <c r="CS121" s="172">
        <f>IF(CS75=0,0,VALUE(CONCATENATE(Travail!CS26,Travail!CS37,Travail!CS48)))</f>
        <v>211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222</v>
      </c>
      <c r="AW122" s="172">
        <f>IF(AW76=0,0,IF(AW99=3,0,VALUE(CONCATENATE(Travail!AW27,Travail!AW38,Travail!AW49))))</f>
        <v>222</v>
      </c>
      <c r="AX122" s="172">
        <f>IF(AX76=0,0,IF(AX99=3,0,VALUE(CONCATENATE(Travail!AX27,Travail!AX38,Travail!AX49))))</f>
        <v>222</v>
      </c>
      <c r="AY122" s="172">
        <f>IF(AY76=0,0,IF(AY99=3,0,VALUE(CONCATENATE(Travail!AY27,Travail!AY38,Travail!AY49))))</f>
        <v>222</v>
      </c>
      <c r="AZ122" s="172">
        <f>IF(AZ76=0,0,IF(AZ99=3,0,VALUE(CONCATENATE(Travail!AZ27,Travail!AZ38,Travail!AZ49))))</f>
        <v>222</v>
      </c>
      <c r="BA122" s="172">
        <f>IF(BA76=0,0,IF(BA99=3,0,VALUE(CONCATENATE(Travail!BA27,Travail!BA38,Travail!BA49))))</f>
        <v>222</v>
      </c>
      <c r="BB122" s="172">
        <f>IF(BB76=0,0,IF(BB99=3,0,VALUE(CONCATENATE(Travail!BB27,Travail!BB38,Travail!BB49))))</f>
        <v>222</v>
      </c>
      <c r="BC122" s="172">
        <f>IF(BC76=0,0,IF(BC99=3,0,VALUE(CONCATENATE(Travail!BC27,Travail!BC38,Travail!BC49))))</f>
        <v>222</v>
      </c>
      <c r="BD122" s="172">
        <f>IF(BD76=0,0,IF(BD99=3,0,VALUE(CONCATENATE(Travail!BD27,Travail!BD38,Travail!BD49))))</f>
        <v>222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222</v>
      </c>
      <c r="BP122" s="172">
        <f>IF(BP76=0,0,IF(BP99=3,0,VALUE(CONCATENATE(Travail!BP27,Travail!BP38,Travail!BP49))))</f>
        <v>222</v>
      </c>
      <c r="BQ122" s="172">
        <f>IF(BQ76=0,0,IF(BQ99=3,0,VALUE(CONCATENATE(Travail!BQ27,Travail!BQ38,Travail!BQ49))))</f>
        <v>222</v>
      </c>
      <c r="BR122" s="172">
        <f>IF(BR76=0,0,IF(BR99=3,0,VALUE(CONCATENATE(Travail!BR27,Travail!BR38,Travail!BR49))))</f>
        <v>222</v>
      </c>
      <c r="BS122" s="172">
        <f>IF(BS76=0,0,IF(BS99=3,0,VALUE(CONCATENATE(Travail!BS27,Travail!BS38,Travail!BS49))))</f>
        <v>222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212</v>
      </c>
      <c r="AW124" s="172">
        <f>IF(AW78=0,0,IF(AW101=3,0,VALUE(CONCATENATE(Travail!AW29,Travail!AW40,Travail!AW51))))</f>
        <v>212</v>
      </c>
      <c r="AX124" s="172">
        <f>IF(AX78=0,0,IF(AX101=3,0,VALUE(CONCATENATE(Travail!AX29,Travail!AX40,Travail!AX51))))</f>
        <v>212</v>
      </c>
      <c r="AY124" s="172">
        <f>IF(AY78=0,0,IF(AY101=3,0,VALUE(CONCATENATE(Travail!AY29,Travail!AY40,Travail!AY51))))</f>
        <v>212</v>
      </c>
      <c r="AZ124" s="172">
        <f>IF(AZ78=0,0,IF(AZ101=3,0,VALUE(CONCATENATE(Travail!AZ29,Travail!AZ40,Travail!AZ51))))</f>
        <v>212</v>
      </c>
      <c r="BA124" s="172">
        <f>IF(BA78=0,0,IF(BA101=3,0,VALUE(CONCATENATE(Travail!BA29,Travail!BA40,Travail!BA51))))</f>
        <v>212</v>
      </c>
      <c r="BB124" s="172">
        <f>IF(BB78=0,0,IF(BB101=3,0,VALUE(CONCATENATE(Travail!BB29,Travail!BB40,Travail!BB51))))</f>
        <v>212</v>
      </c>
      <c r="BC124" s="172">
        <f>IF(BC78=0,0,IF(BC101=3,0,VALUE(CONCATENATE(Travail!BC29,Travail!BC40,Travail!BC51))))</f>
        <v>212</v>
      </c>
      <c r="BD124" s="172">
        <f>IF(BD78=0,0,IF(BD101=3,0,VALUE(CONCATENATE(Travail!BD29,Travail!BD40,Travail!BD51))))</f>
        <v>212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212</v>
      </c>
      <c r="BP124" s="172">
        <f>IF(BP78=0,0,IF(BP101=3,0,VALUE(CONCATENATE(Travail!BP29,Travail!BP40,Travail!BP51))))</f>
        <v>212</v>
      </c>
      <c r="BQ124" s="172">
        <f>IF(BQ78=0,0,IF(BQ101=3,0,VALUE(CONCATENATE(Travail!BQ29,Travail!BQ40,Travail!BQ51))))</f>
        <v>212</v>
      </c>
      <c r="BR124" s="172">
        <f>IF(BR78=0,0,IF(BR101=3,0,VALUE(CONCATENATE(Travail!BR29,Travail!BR40,Travail!BR51))))</f>
        <v>212</v>
      </c>
      <c r="BS124" s="172">
        <f>IF(BS78=0,0,IF(BS101=3,0,VALUE(CONCATENATE(Travail!BS29,Travail!BS40,Travail!BS51))))</f>
        <v>212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3.5</v>
      </c>
      <c r="D128" s="172">
        <f t="shared" si="25"/>
        <v>3.5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22</v>
      </c>
      <c r="AW133" s="172">
        <f t="shared" si="39"/>
        <v>22</v>
      </c>
      <c r="AX133" s="172">
        <f t="shared" si="39"/>
        <v>22</v>
      </c>
      <c r="AY133" s="172">
        <f t="shared" si="39"/>
        <v>22</v>
      </c>
      <c r="AZ133" s="172">
        <f t="shared" si="39"/>
        <v>22</v>
      </c>
      <c r="BA133" s="172">
        <f t="shared" si="39"/>
        <v>22</v>
      </c>
      <c r="BB133" s="172">
        <f t="shared" si="39"/>
        <v>22</v>
      </c>
      <c r="BC133" s="172">
        <f t="shared" si="39"/>
        <v>22</v>
      </c>
      <c r="BD133" s="172">
        <f t="shared" si="39"/>
        <v>22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22</v>
      </c>
      <c r="BP133" s="172">
        <f t="shared" si="39"/>
        <v>22</v>
      </c>
      <c r="BQ133" s="172">
        <f t="shared" si="39"/>
        <v>22</v>
      </c>
      <c r="BR133" s="172">
        <f t="shared" si="39"/>
        <v>22</v>
      </c>
      <c r="BS133" s="172">
        <f t="shared" si="39"/>
        <v>22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0.63636363636363635</v>
      </c>
      <c r="D134" s="261">
        <f t="shared" si="25"/>
        <v>0.63636363636363635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21</v>
      </c>
      <c r="AW135" s="172">
        <f t="shared" si="39"/>
        <v>21</v>
      </c>
      <c r="AX135" s="172">
        <f t="shared" si="39"/>
        <v>21</v>
      </c>
      <c r="AY135" s="172">
        <f t="shared" si="39"/>
        <v>21</v>
      </c>
      <c r="AZ135" s="172">
        <f t="shared" si="39"/>
        <v>21</v>
      </c>
      <c r="BA135" s="172">
        <f t="shared" si="39"/>
        <v>21</v>
      </c>
      <c r="BB135" s="172">
        <f t="shared" si="39"/>
        <v>21</v>
      </c>
      <c r="BC135" s="172">
        <f t="shared" si="39"/>
        <v>21</v>
      </c>
      <c r="BD135" s="172">
        <f t="shared" si="39"/>
        <v>21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21</v>
      </c>
      <c r="BP135" s="172">
        <f t="shared" si="39"/>
        <v>21</v>
      </c>
      <c r="BQ135" s="172">
        <f t="shared" si="39"/>
        <v>21</v>
      </c>
      <c r="BR135" s="172">
        <f t="shared" si="39"/>
        <v>21</v>
      </c>
      <c r="BS135" s="172">
        <f t="shared" si="39"/>
        <v>21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0.53125</v>
      </c>
      <c r="D136" s="261">
        <f t="shared" si="25"/>
        <v>0.53125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1</v>
      </c>
      <c r="AW144" s="172">
        <f t="shared" ref="AW144:BS144" si="64">COUNTIF(AW$132:AW$141,22)</f>
        <v>1</v>
      </c>
      <c r="AX144" s="172">
        <f t="shared" si="64"/>
        <v>1</v>
      </c>
      <c r="AY144" s="172">
        <f t="shared" si="64"/>
        <v>2</v>
      </c>
      <c r="AZ144" s="172">
        <f t="shared" si="64"/>
        <v>2</v>
      </c>
      <c r="BA144" s="172">
        <f t="shared" si="64"/>
        <v>3</v>
      </c>
      <c r="BB144" s="172">
        <f t="shared" si="64"/>
        <v>3</v>
      </c>
      <c r="BC144" s="172">
        <f t="shared" si="64"/>
        <v>3</v>
      </c>
      <c r="BD144" s="172">
        <f t="shared" si="64"/>
        <v>3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2</v>
      </c>
      <c r="BP144" s="172">
        <f t="shared" si="64"/>
        <v>1</v>
      </c>
      <c r="BQ144" s="172">
        <f t="shared" si="64"/>
        <v>1</v>
      </c>
      <c r="BR144" s="172">
        <f t="shared" si="64"/>
        <v>1</v>
      </c>
      <c r="BS144" s="172">
        <f t="shared" si="64"/>
        <v>1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394.01043478260874</v>
      </c>
      <c r="AW160" s="61">
        <f t="shared" ref="AW160:BS160" si="83">SUM(AW151:AW159)</f>
        <v>391.10260869565218</v>
      </c>
      <c r="AX160" s="61">
        <f t="shared" si="83"/>
        <v>388.19478260869573</v>
      </c>
      <c r="AY160" s="61">
        <f t="shared" si="83"/>
        <v>386.74086956521739</v>
      </c>
      <c r="AZ160" s="61">
        <f t="shared" si="83"/>
        <v>385.28695652173917</v>
      </c>
      <c r="BA160" s="61">
        <f t="shared" si="83"/>
        <v>383.83304347826083</v>
      </c>
      <c r="BB160" s="61">
        <f t="shared" si="83"/>
        <v>382.37913043478261</v>
      </c>
      <c r="BC160" s="61">
        <f t="shared" si="83"/>
        <v>380.92521739130439</v>
      </c>
      <c r="BD160" s="61">
        <f t="shared" si="83"/>
        <v>378.01739130434783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334.40000000000009</v>
      </c>
      <c r="BP160" s="61">
        <f t="shared" si="83"/>
        <v>334.40000000000009</v>
      </c>
      <c r="BQ160" s="61">
        <f t="shared" si="83"/>
        <v>394.01043478260874</v>
      </c>
      <c r="BR160" s="61">
        <f t="shared" si="83"/>
        <v>394.01043478260874</v>
      </c>
      <c r="BS160" s="61">
        <f t="shared" si="83"/>
        <v>394.01043478260874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7.8802086956521746</v>
      </c>
      <c r="AW161" s="172">
        <f t="shared" ref="AW161:BS161" si="86">IF($AT$62="OL",AW160/50,AW160/10)</f>
        <v>7.8220521739130433</v>
      </c>
      <c r="AX161" s="172">
        <f t="shared" si="86"/>
        <v>7.7638956521739146</v>
      </c>
      <c r="AY161" s="172">
        <f t="shared" si="86"/>
        <v>7.7348173913043476</v>
      </c>
      <c r="AZ161" s="172">
        <f t="shared" si="86"/>
        <v>7.7057391304347833</v>
      </c>
      <c r="BA161" s="172">
        <f t="shared" si="86"/>
        <v>7.6766608695652163</v>
      </c>
      <c r="BB161" s="172">
        <f t="shared" si="86"/>
        <v>7.647582608695652</v>
      </c>
      <c r="BC161" s="172">
        <f t="shared" si="86"/>
        <v>7.6185043478260877</v>
      </c>
      <c r="BD161" s="172">
        <f t="shared" si="86"/>
        <v>7.5603478260869563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6.6880000000000015</v>
      </c>
      <c r="BP161" s="172">
        <f t="shared" si="86"/>
        <v>6.6880000000000015</v>
      </c>
      <c r="BQ161" s="172">
        <f t="shared" si="86"/>
        <v>7.8802086956521746</v>
      </c>
      <c r="BR161" s="172">
        <f t="shared" si="86"/>
        <v>7.8802086956521746</v>
      </c>
      <c r="BS161" s="172">
        <f t="shared" si="86"/>
        <v>7.8802086956521746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6.8802086956521746</v>
      </c>
      <c r="AW162" s="172">
        <f t="shared" ref="AW162:BS162" si="89">IF(AW161&gt;1,AW161-1,0)</f>
        <v>6.8220521739130433</v>
      </c>
      <c r="AX162" s="172">
        <f t="shared" si="89"/>
        <v>6.7638956521739146</v>
      </c>
      <c r="AY162" s="172">
        <f t="shared" si="89"/>
        <v>6.7348173913043476</v>
      </c>
      <c r="AZ162" s="172">
        <f t="shared" si="89"/>
        <v>6.7057391304347833</v>
      </c>
      <c r="BA162" s="172">
        <f t="shared" si="89"/>
        <v>6.6766608695652163</v>
      </c>
      <c r="BB162" s="172">
        <f t="shared" si="89"/>
        <v>6.647582608695652</v>
      </c>
      <c r="BC162" s="172">
        <f t="shared" si="89"/>
        <v>6.6185043478260877</v>
      </c>
      <c r="BD162" s="172">
        <f t="shared" si="89"/>
        <v>6.5603478260869563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5.6880000000000015</v>
      </c>
      <c r="BP162" s="172">
        <f t="shared" si="89"/>
        <v>5.6880000000000015</v>
      </c>
      <c r="BQ162" s="172">
        <f t="shared" si="89"/>
        <v>6.8802086956521746</v>
      </c>
      <c r="BR162" s="172">
        <f t="shared" si="89"/>
        <v>6.8802086956521746</v>
      </c>
      <c r="BS162" s="172">
        <f t="shared" si="89"/>
        <v>6.8802086956521746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54.040365217391304</v>
      </c>
      <c r="AW163" s="61">
        <f t="shared" ref="AW163:BS163" si="92">AW147+AW148*AW162</f>
        <v>53.938591304347824</v>
      </c>
      <c r="AX163" s="61">
        <f t="shared" si="92"/>
        <v>53.836817391304351</v>
      </c>
      <c r="AY163" s="61">
        <f t="shared" si="92"/>
        <v>53.785930434782607</v>
      </c>
      <c r="AZ163" s="61">
        <f t="shared" si="92"/>
        <v>53.73504347826087</v>
      </c>
      <c r="BA163" s="61">
        <f t="shared" si="92"/>
        <v>32.684156521739126</v>
      </c>
      <c r="BB163" s="61">
        <f t="shared" si="92"/>
        <v>32.63326956521739</v>
      </c>
      <c r="BC163" s="61">
        <f t="shared" si="92"/>
        <v>32.582382608695653</v>
      </c>
      <c r="BD163" s="61">
        <f t="shared" si="92"/>
        <v>32.480608695652172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30.954000000000001</v>
      </c>
      <c r="BP163" s="61">
        <f t="shared" si="92"/>
        <v>51.954000000000001</v>
      </c>
      <c r="BQ163" s="61">
        <f t="shared" si="92"/>
        <v>54.040365217391304</v>
      </c>
      <c r="BR163" s="61">
        <f t="shared" si="92"/>
        <v>54.040365217391304</v>
      </c>
      <c r="BS163" s="61">
        <f t="shared" si="92"/>
        <v>54.040365217391304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68.45264232000001</v>
      </c>
      <c r="D165" s="262">
        <f t="shared" si="50"/>
        <v>75.297906552000015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45.64579904422223</v>
      </c>
      <c r="D166" s="262">
        <f t="shared" si="50"/>
        <v>50.210378948644454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21</v>
      </c>
      <c r="AW168" s="189">
        <f>IF(AW122&gt;0,HLOOKUP(AW122,[1]Trav!$C$11:$O$31,$AU$166),0)</f>
        <v>21</v>
      </c>
      <c r="AX168" s="189">
        <f>IF(AX122&gt;0,HLOOKUP(AX122,[1]Trav!$C$11:$O$31,$AU$166),0)</f>
        <v>21</v>
      </c>
      <c r="AY168" s="189">
        <f>IF(AY122&gt;0,HLOOKUP(AY122,[1]Trav!$C$11:$O$31,$AU$166),0)</f>
        <v>21</v>
      </c>
      <c r="AZ168" s="189">
        <f>IF(AZ122&gt;0,HLOOKUP(AZ122,[1]Trav!$C$11:$O$31,$AU$166),0)</f>
        <v>21</v>
      </c>
      <c r="BA168" s="189">
        <f>IF(BA122&gt;0,HLOOKUP(BA122,[1]Trav!$C$11:$O$31,$AU$166),0)</f>
        <v>21</v>
      </c>
      <c r="BB168" s="189">
        <f>IF(BB122&gt;0,HLOOKUP(BB122,[1]Trav!$C$11:$O$31,$AU$166),0)</f>
        <v>21</v>
      </c>
      <c r="BC168" s="189">
        <f>IF(BC122&gt;0,HLOOKUP(BC122,[1]Trav!$C$11:$O$31,$AU$166),0)</f>
        <v>21</v>
      </c>
      <c r="BD168" s="189">
        <f>IF(BD122&gt;0,HLOOKUP(BD122,[1]Trav!$C$11:$O$31,$AU$166),0)</f>
        <v>21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21</v>
      </c>
      <c r="BP168" s="189">
        <f>IF(BP122&gt;0,HLOOKUP(BP122,[1]Trav!$C$11:$O$31,$AU$166),0)</f>
        <v>21</v>
      </c>
      <c r="BQ168" s="189">
        <f>IF(BQ122&gt;0,HLOOKUP(BQ122,[1]Trav!$C$11:$O$31,$AU$166),0)</f>
        <v>21</v>
      </c>
      <c r="BR168" s="189">
        <f>IF(BR122&gt;0,HLOOKUP(BR122,[1]Trav!$C$11:$O$31,$AU$166),0)</f>
        <v>21</v>
      </c>
      <c r="BS168" s="189">
        <f>IF(BS122&gt;0,HLOOKUP(BS122,[1]Trav!$C$11:$O$31,$AU$166),0)</f>
        <v>21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132.76078999999999</v>
      </c>
      <c r="D169" s="262">
        <f t="shared" si="50"/>
        <v>146.036869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101.05979551996523</v>
      </c>
      <c r="D170" s="262">
        <f t="shared" si="50"/>
        <v>111.16577507196176</v>
      </c>
      <c r="AT170" s="188" t="str">
        <f t="shared" si="95"/>
        <v>beliers</v>
      </c>
      <c r="AV170" s="189">
        <f>IF(AV124&gt;0,HLOOKUP(AV124,[1]Trav!$C$11:$O$31,$AU$166),0)</f>
        <v>28</v>
      </c>
      <c r="AW170" s="189">
        <f>IF(AW124&gt;0,HLOOKUP(AW124,[1]Trav!$C$11:$O$31,$AU$166),0)</f>
        <v>28</v>
      </c>
      <c r="AX170" s="189">
        <f>IF(AX124&gt;0,HLOOKUP(AX124,[1]Trav!$C$11:$O$31,$AU$166),0)</f>
        <v>28</v>
      </c>
      <c r="AY170" s="189">
        <f>IF(AY124&gt;0,HLOOKUP(AY124,[1]Trav!$C$11:$O$31,$AU$166),0)</f>
        <v>28</v>
      </c>
      <c r="AZ170" s="189">
        <f>IF(AZ124&gt;0,HLOOKUP(AZ124,[1]Trav!$C$11:$O$31,$AU$166),0)</f>
        <v>28</v>
      </c>
      <c r="BA170" s="189">
        <f>IF(BA124&gt;0,HLOOKUP(BA124,[1]Trav!$C$11:$O$31,$AU$166),0)</f>
        <v>28</v>
      </c>
      <c r="BB170" s="189">
        <f>IF(BB124&gt;0,HLOOKUP(BB124,[1]Trav!$C$11:$O$31,$AU$166),0)</f>
        <v>28</v>
      </c>
      <c r="BC170" s="189">
        <f>IF(BC124&gt;0,HLOOKUP(BC124,[1]Trav!$C$11:$O$31,$AU$166),0)</f>
        <v>28</v>
      </c>
      <c r="BD170" s="189">
        <f>IF(BD124&gt;0,HLOOKUP(BD124,[1]Trav!$C$11:$O$31,$AU$166),0)</f>
        <v>28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28</v>
      </c>
      <c r="BP170" s="189">
        <f>IF(BP124&gt;0,HLOOKUP(BP124,[1]Trav!$C$11:$O$31,$AU$166),0)</f>
        <v>28</v>
      </c>
      <c r="BQ170" s="189">
        <f>IF(BQ124&gt;0,HLOOKUP(BQ124,[1]Trav!$C$11:$O$31,$AU$166),0)</f>
        <v>28</v>
      </c>
      <c r="BR170" s="189">
        <f>IF(BR124&gt;0,HLOOKUP(BR124,[1]Trav!$C$11:$O$31,$AU$166),0)</f>
        <v>28</v>
      </c>
      <c r="BS170" s="189">
        <f>IF(BS124&gt;0,HLOOKUP(BS124,[1]Trav!$C$11:$O$31,$AU$166),0)</f>
        <v>28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87.031549999999996</v>
      </c>
      <c r="D171" s="262">
        <f t="shared" si="50"/>
        <v>95.734704999999991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177</v>
      </c>
      <c r="D172" s="262">
        <f t="shared" si="50"/>
        <v>194.7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31.700994480034751</v>
      </c>
      <c r="D173" s="262">
        <f t="shared" si="50"/>
        <v>34.871093928038228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76.099999999999994</v>
      </c>
      <c r="D174" s="262">
        <f t="shared" si="50"/>
        <v>83.71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-89.968450000000004</v>
      </c>
      <c r="D175" s="262">
        <f>C175*$D$82/$C$82</f>
        <v>-98.965295000000012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89.968450000000004</v>
      </c>
      <c r="D176" s="262">
        <f>C176*$D$82/$C$82</f>
        <v>98.965295000000012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68</v>
      </c>
      <c r="D178" s="172">
        <f>ROUND((D170+D171)/(D170+D172),2)*100</f>
        <v>68</v>
      </c>
      <c r="AT178" s="40" t="s">
        <v>865</v>
      </c>
      <c r="AV178" s="172">
        <f>SUM(AV167:AV176)</f>
        <v>49</v>
      </c>
      <c r="AW178" s="172">
        <f t="shared" ref="AW178:BS178" si="98">SUM(AW167:AW176)</f>
        <v>49</v>
      </c>
      <c r="AX178" s="172">
        <f t="shared" si="98"/>
        <v>49</v>
      </c>
      <c r="AY178" s="172">
        <f t="shared" si="98"/>
        <v>49</v>
      </c>
      <c r="AZ178" s="172">
        <f t="shared" si="98"/>
        <v>49</v>
      </c>
      <c r="BA178" s="172">
        <f t="shared" si="98"/>
        <v>77</v>
      </c>
      <c r="BB178" s="172">
        <f t="shared" si="98"/>
        <v>77</v>
      </c>
      <c r="BC178" s="172">
        <f t="shared" si="98"/>
        <v>77</v>
      </c>
      <c r="BD178" s="172">
        <f t="shared" si="98"/>
        <v>77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63</v>
      </c>
      <c r="BP178" s="172">
        <f t="shared" si="98"/>
        <v>49</v>
      </c>
      <c r="BQ178" s="172">
        <f t="shared" si="98"/>
        <v>49</v>
      </c>
      <c r="BR178" s="172">
        <f t="shared" si="98"/>
        <v>49</v>
      </c>
      <c r="BS178" s="172">
        <f t="shared" si="98"/>
        <v>49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49</v>
      </c>
      <c r="CM178" s="172">
        <f t="shared" si="99"/>
        <v>49</v>
      </c>
      <c r="CN178" s="172">
        <f t="shared" si="99"/>
        <v>49</v>
      </c>
      <c r="CO178" s="172">
        <f t="shared" si="99"/>
        <v>49</v>
      </c>
      <c r="CP178" s="172">
        <f t="shared" si="99"/>
        <v>49</v>
      </c>
      <c r="CQ178" s="172">
        <f t="shared" si="99"/>
        <v>49</v>
      </c>
      <c r="CR178" s="172">
        <f t="shared" si="99"/>
        <v>49</v>
      </c>
      <c r="CS178" s="172">
        <f t="shared" si="99"/>
        <v>49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7262</v>
      </c>
      <c r="D183" s="263">
        <f>ROUND(D184*D185,0)</f>
        <v>7994</v>
      </c>
      <c r="E183" s="17" t="s">
        <v>1295</v>
      </c>
    </row>
    <row r="184" spans="1:132" x14ac:dyDescent="0.25">
      <c r="B184" s="14" t="s">
        <v>1296</v>
      </c>
      <c r="C184" s="172">
        <f>Protection!AK26</f>
        <v>32.299999999999997</v>
      </c>
      <c r="D184" s="264">
        <f>C184*D82/C82</f>
        <v>35.53</v>
      </c>
    </row>
    <row r="185" spans="1:132" x14ac:dyDescent="0.25">
      <c r="B185" s="14" t="s">
        <v>1297</v>
      </c>
      <c r="C185" s="172">
        <f>IF(C183=0,0,ROUND(C183/C184,0))</f>
        <v>225</v>
      </c>
      <c r="D185" s="172">
        <f>C185</f>
        <v>225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0.2</v>
      </c>
      <c r="D187" s="172">
        <f>C187</f>
        <v>0.2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9</v>
      </c>
      <c r="D189" s="172">
        <f t="shared" si="101"/>
        <v>9</v>
      </c>
      <c r="AH189" s="15"/>
      <c r="AJ189" s="14" t="s">
        <v>1114</v>
      </c>
      <c r="AK189" s="30">
        <f>D189</f>
        <v>9</v>
      </c>
      <c r="AO189" s="172">
        <f>ROUND((([1]Protect!$B$5/[1]Protect!$B$11)+[1]Protect!$B$8)*AK189,0)</f>
        <v>8139</v>
      </c>
    </row>
    <row r="190" spans="1:132" x14ac:dyDescent="0.25">
      <c r="B190" s="14" t="s">
        <v>1302</v>
      </c>
      <c r="C190" s="172">
        <f>'Calcul éco'!T246*(30)</f>
        <v>18.000000000000004</v>
      </c>
      <c r="D190" s="172">
        <f>C190</f>
        <v>18.000000000000004</v>
      </c>
      <c r="AH190" s="15"/>
      <c r="AJ190" s="14" t="s">
        <v>1115</v>
      </c>
      <c r="AK190" s="30">
        <f>D190/30</f>
        <v>0.60000000000000009</v>
      </c>
      <c r="AN190" s="172">
        <f>[1]Eco!$B$106*[1]Eco!$B$108*[1]Eco!$B$109</f>
        <v>2551.2000000000003</v>
      </c>
      <c r="AO190" s="172">
        <f>AK190*AN190</f>
        <v>1530.7200000000005</v>
      </c>
    </row>
    <row r="191" spans="1:132" x14ac:dyDescent="0.25">
      <c r="B191" s="14" t="s">
        <v>1303</v>
      </c>
      <c r="C191" s="197">
        <f>ROUND(SUM(Travail!F69:F74)/8,1)</f>
        <v>32.5</v>
      </c>
      <c r="D191" s="172">
        <f>C191</f>
        <v>32.5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16.8</v>
      </c>
      <c r="AN191" s="172">
        <f>[1]Eco!$B$111</f>
        <v>28.3</v>
      </c>
      <c r="AO191" s="172">
        <f>AK191*AN191</f>
        <v>475.44000000000005</v>
      </c>
    </row>
    <row r="192" spans="1:132" x14ac:dyDescent="0.25">
      <c r="B192" s="14" t="s">
        <v>1307</v>
      </c>
      <c r="C192" s="172">
        <f>(Travail!F83+Travail!F84)/8</f>
        <v>1.0249999999999999</v>
      </c>
      <c r="D192" s="265">
        <f>ROUND((D183/1000)*([1]Protect!$B$25*8/10+[1]Protect!$B$26),2)/8</f>
        <v>1.1287499999999999</v>
      </c>
      <c r="E192" s="17" t="s">
        <v>1308</v>
      </c>
      <c r="I192" s="5"/>
      <c r="AN192" s="14" t="s">
        <v>1117</v>
      </c>
      <c r="AO192" s="172">
        <f>SUM(AO189:AO191)</f>
        <v>10145.160000000002</v>
      </c>
    </row>
    <row r="193" spans="1:43" x14ac:dyDescent="0.25">
      <c r="B193" s="14" t="s">
        <v>1309</v>
      </c>
      <c r="C193" s="172">
        <f>(Travail!F75+Travail!F76+Travail!F81)/8</f>
        <v>24.8125</v>
      </c>
      <c r="D193" s="172">
        <f>C193</f>
        <v>24.8125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7712</v>
      </c>
      <c r="D206" s="260">
        <f>ROUND(C206*D$82/C$82,0)</f>
        <v>8483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10000</v>
      </c>
      <c r="AQ207" s="5"/>
    </row>
    <row r="208" spans="1:43" x14ac:dyDescent="0.25">
      <c r="B208" s="210" t="s">
        <v>987</v>
      </c>
      <c r="C208" s="172">
        <f>ROUND('Calcul éco'!J44,0)</f>
        <v>5327</v>
      </c>
      <c r="D208" s="260">
        <f>ROUND(C208*D$82/C$82,0)</f>
        <v>5860</v>
      </c>
      <c r="S208" s="14" t="s">
        <v>978</v>
      </c>
      <c r="T208" s="30">
        <f>L212</f>
        <v>87.460999999999999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10145.160000000002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10000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8116</v>
      </c>
      <c r="D210" s="263">
        <f>ROUND(AL207,0)</f>
        <v>10000</v>
      </c>
      <c r="E210" s="17" t="s">
        <v>1329</v>
      </c>
      <c r="K210" s="14" t="s">
        <v>990</v>
      </c>
      <c r="L210" s="172">
        <f>J221</f>
        <v>54.284999999999997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50865.2</v>
      </c>
      <c r="D211" s="263">
        <f>ROUND(SUM(D201:D210),0)</f>
        <v>55174</v>
      </c>
      <c r="E211" s="17" t="s">
        <v>1331</v>
      </c>
      <c r="K211" s="40" t="s">
        <v>995</v>
      </c>
      <c r="L211" s="61">
        <f>L209+L210</f>
        <v>87.460999999999999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87.460999999999999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119.91</v>
      </c>
      <c r="AK216" s="172"/>
      <c r="AL216" s="172"/>
      <c r="AM216" s="172">
        <f>'Calcul éco'!W272</f>
        <v>6</v>
      </c>
      <c r="AN216" s="172">
        <f>AJ216*AM216</f>
        <v>719.46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1362.126</v>
      </c>
      <c r="D217" s="260">
        <f t="shared" si="106"/>
        <v>1498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21596.164350000003</v>
      </c>
      <c r="D218" s="260">
        <f t="shared" si="106"/>
        <v>23756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0.4</v>
      </c>
      <c r="AK218" s="172"/>
      <c r="AL218" s="172"/>
      <c r="AM218" s="172">
        <f>'Calcul éco'!W274</f>
        <v>100</v>
      </c>
      <c r="AN218" s="172">
        <f>AJ218*AM218</f>
        <v>40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8139</v>
      </c>
      <c r="D219" s="260">
        <f t="shared" si="106"/>
        <v>8953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693.58</v>
      </c>
      <c r="D220" s="263">
        <f>SUM(AN215:AN219)</f>
        <v>759.46</v>
      </c>
      <c r="E220" s="17" t="s">
        <v>1345</v>
      </c>
      <c r="H220" s="14" t="s">
        <v>1000</v>
      </c>
      <c r="I220" s="30">
        <f>SUM(I216:I219)</f>
        <v>105</v>
      </c>
      <c r="J220" s="30">
        <f>SUM(J216:J219)</f>
        <v>115.5</v>
      </c>
    </row>
    <row r="221" spans="1:43" x14ac:dyDescent="0.25">
      <c r="B221" s="14" t="s">
        <v>1346</v>
      </c>
      <c r="C221" s="172">
        <f>ROUND(SUM(C216:C220),0)</f>
        <v>62431</v>
      </c>
      <c r="D221" s="263">
        <f>ROUND(SUM(D216:D220),0)</f>
        <v>68670</v>
      </c>
      <c r="E221" s="17" t="s">
        <v>1345</v>
      </c>
      <c r="H221" s="14" t="s">
        <v>1001</v>
      </c>
      <c r="I221" s="30">
        <f>I220*[1]Eco!$B$25</f>
        <v>49.349999999999994</v>
      </c>
      <c r="J221" s="30">
        <f>J220*[1]Eco!$B$25</f>
        <v>54.284999999999997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7994</v>
      </c>
      <c r="AL225" t="s">
        <v>1101</v>
      </c>
      <c r="AM225" s="172"/>
      <c r="AN225" s="172">
        <f>[1]Protect!$B$4</f>
        <v>6</v>
      </c>
      <c r="AO225" s="172">
        <f>AK225*AN225</f>
        <v>47964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0.2</v>
      </c>
      <c r="AN226" s="172">
        <f>[1]Protect!$B$83</f>
        <v>2000</v>
      </c>
      <c r="AO226" s="172">
        <f t="shared" ref="AO226:AO227" si="108">AK226*AN226</f>
        <v>400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48364</v>
      </c>
      <c r="AQ228" s="30">
        <f>IF(Scénario!K84=1,MIN(0.8*AO228,[1]Protect!$B$68),IF(Scénario!K84=2,MIN(0.8*AO228,[1]Protect!$B$67),0))</f>
        <v>15500</v>
      </c>
      <c r="AR228" s="30">
        <f>AO228-AQ228</f>
        <v>32864</v>
      </c>
      <c r="AS228" s="30">
        <f>(1-Scénario!K127/100)*AR228</f>
        <v>32864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-195.48000000000002</v>
      </c>
      <c r="D230" s="260">
        <f t="shared" si="109"/>
        <v>-215</v>
      </c>
    </row>
    <row r="231" spans="1:49" x14ac:dyDescent="0.25">
      <c r="B231" s="14" t="s">
        <v>1083</v>
      </c>
      <c r="C231" s="172">
        <f>'Calcul éco'!J159</f>
        <v>-30</v>
      </c>
      <c r="D231" s="260">
        <f t="shared" si="109"/>
        <v>-33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-93.24</v>
      </c>
      <c r="D233" s="260">
        <f t="shared" si="109"/>
        <v>-103</v>
      </c>
    </row>
    <row r="234" spans="1:49" x14ac:dyDescent="0.25">
      <c r="B234" s="14" t="s">
        <v>1352</v>
      </c>
      <c r="C234" s="172">
        <f>'Calcul éco'!J166</f>
        <v>1530.7200000000005</v>
      </c>
      <c r="D234" s="172">
        <f>C234</f>
        <v>1530.7200000000005</v>
      </c>
    </row>
    <row r="235" spans="1:49" x14ac:dyDescent="0.25">
      <c r="B235" s="14" t="s">
        <v>1353</v>
      </c>
      <c r="C235" s="172">
        <f>'Calcul éco'!J167</f>
        <v>4700.5860000000002</v>
      </c>
      <c r="D235" s="263">
        <f>(D191+D192)*8*[1]Eco!$B$106</f>
        <v>2859.7889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30765</v>
      </c>
      <c r="D236" s="263">
        <f>ROUND(SUM(D222:D235),0)</f>
        <v>30760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19555.199999999997</v>
      </c>
      <c r="D237" s="263">
        <f>D194+D211-D221-D236</f>
        <v>23819</v>
      </c>
    </row>
    <row r="238" spans="1:49" x14ac:dyDescent="0.25">
      <c r="B238" s="210" t="s">
        <v>1090</v>
      </c>
      <c r="C238" s="172">
        <f>ROUND(C237/Scénario!$K$4,0)</f>
        <v>13037</v>
      </c>
      <c r="D238" s="263">
        <f>ROUND(D237/D83,0)</f>
        <v>11910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3510.3397669676469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5045</v>
      </c>
      <c r="D241" s="267">
        <f>ROUND(D237-D239-D240,0)</f>
        <v>12819</v>
      </c>
    </row>
    <row r="242" spans="1:15" x14ac:dyDescent="0.25">
      <c r="B242" s="210" t="s">
        <v>1094</v>
      </c>
      <c r="C242" s="172">
        <f>ROUND(C241/Scénario!K4,0)</f>
        <v>3363</v>
      </c>
      <c r="D242" s="263">
        <f>ROUND(D241/D83,0)</f>
        <v>6410</v>
      </c>
    </row>
    <row r="243" spans="1:15" x14ac:dyDescent="0.25">
      <c r="B243" s="210" t="s">
        <v>1357</v>
      </c>
      <c r="C243" s="172">
        <f>'Calcul éco'!X237+'Calcul éco'!X240</f>
        <v>43972</v>
      </c>
      <c r="D243" s="172">
        <f>C243</f>
        <v>43972</v>
      </c>
    </row>
    <row r="244" spans="1:15" x14ac:dyDescent="0.25">
      <c r="B244" s="210" t="s">
        <v>1358</v>
      </c>
      <c r="C244" s="172">
        <f>'Calcul éco'!AA237+'Calcul éco'!AA240</f>
        <v>28472</v>
      </c>
      <c r="D244" s="172">
        <f>C244</f>
        <v>28472</v>
      </c>
    </row>
    <row r="245" spans="1:15" x14ac:dyDescent="0.25">
      <c r="A245" s="2" t="s">
        <v>1359</v>
      </c>
      <c r="B245" s="14" t="s">
        <v>568</v>
      </c>
      <c r="C245" s="269">
        <f>Travail!F5</f>
        <v>994</v>
      </c>
      <c r="D245" s="172">
        <f>C245</f>
        <v>994</v>
      </c>
    </row>
    <row r="246" spans="1:15" x14ac:dyDescent="0.25">
      <c r="B246" s="14" t="s">
        <v>601</v>
      </c>
      <c r="C246" s="269">
        <f>Travail!F6</f>
        <v>151.19999999999999</v>
      </c>
      <c r="D246" s="172">
        <f t="shared" ref="D246:D247" si="112">C246</f>
        <v>151.19999999999999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871.15547826086947</v>
      </c>
      <c r="D248" s="263">
        <f>ROUND(SUM(AV163:BS163),1)</f>
        <v>893.2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134.4</v>
      </c>
      <c r="D251" s="172">
        <f>C251</f>
        <v>134.4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16.038</v>
      </c>
      <c r="L258" s="189">
        <f>IF(K258&gt;[1]Trav!E121,[1]Trav!C121,[1]Trav!B121)</f>
        <v>7.2</v>
      </c>
      <c r="N258" s="273"/>
      <c r="O258">
        <f t="shared" si="114"/>
        <v>115.4736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12.21</v>
      </c>
      <c r="L259" s="189">
        <f>IF(K259&gt;[1]Trav!E121,[1]Trav!C121,[1]Trav!B121)</f>
        <v>7.2</v>
      </c>
      <c r="N259" s="273"/>
      <c r="O259">
        <f t="shared" si="114"/>
        <v>87.912000000000006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1.782</v>
      </c>
      <c r="L261" s="189">
        <f>IF(K261&gt;[1]Trav!E122,[1]Trav!C122,[1]Trav!B122)</f>
        <v>4.4000000000000004</v>
      </c>
      <c r="M261" s="5"/>
      <c r="N261" s="273"/>
      <c r="O261">
        <f t="shared" si="114"/>
        <v>7.8408000000000007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105</v>
      </c>
      <c r="D267" s="263">
        <f t="shared" si="116"/>
        <v>115</v>
      </c>
    </row>
    <row r="268" spans="1:15" x14ac:dyDescent="0.25">
      <c r="B268" s="32" t="s">
        <v>791</v>
      </c>
      <c r="C268" s="269">
        <f>Travail!F56</f>
        <v>80</v>
      </c>
      <c r="D268" s="263">
        <f t="shared" si="116"/>
        <v>88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7</v>
      </c>
      <c r="D270" s="263">
        <f t="shared" si="116"/>
        <v>8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260</v>
      </c>
      <c r="D275" s="172">
        <f>C275</f>
        <v>260</v>
      </c>
    </row>
    <row r="276" spans="1:4" x14ac:dyDescent="0.25">
      <c r="A276" s="23"/>
      <c r="B276" s="32" t="s">
        <v>1369</v>
      </c>
      <c r="C276" s="269">
        <f>C192*8</f>
        <v>8.1999999999999993</v>
      </c>
      <c r="D276" s="263">
        <f>D192*8</f>
        <v>9.0299999999999994</v>
      </c>
    </row>
    <row r="277" spans="1:4" x14ac:dyDescent="0.25">
      <c r="B277" s="32" t="s">
        <v>1420</v>
      </c>
      <c r="C277" s="269">
        <f>Travail!F75+Travail!F81</f>
        <v>174</v>
      </c>
      <c r="D277" s="172">
        <f>C277</f>
        <v>174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144.00000000000003</v>
      </c>
      <c r="D279" s="269">
        <f>C279</f>
        <v>144.00000000000003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3179</v>
      </c>
      <c r="D281" s="263">
        <f>ROUND(D245+D248+D251+D254+D257+D260+D261,0)</f>
        <v>3298</v>
      </c>
    </row>
    <row r="282" spans="1:4" x14ac:dyDescent="0.25">
      <c r="B282" s="14" t="s">
        <v>1372</v>
      </c>
      <c r="C282" s="172">
        <f>ROUND(C246+C249+C252+C255+C258,0)</f>
        <v>757</v>
      </c>
      <c r="D282" s="263">
        <f>ROUND(D246+D249+D252+D255+D258,0)</f>
        <v>767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10.46</v>
      </c>
      <c r="D284" s="172">
        <f>ROUND(D281/(Troupeau!$B$17*G63),2)</f>
        <v>9.86</v>
      </c>
    </row>
    <row r="285" spans="1:4" x14ac:dyDescent="0.25">
      <c r="B285" s="14" t="s">
        <v>1375</v>
      </c>
      <c r="C285" s="172">
        <f>IF(Troupeau!$C$17=0,0,ROUND(C282/Troupeau!$C$17,2))</f>
        <v>32.909999999999997</v>
      </c>
      <c r="D285" s="172">
        <f>IF(Troupeau!$C$17=0,0,ROUND(D282/Troupeau!$C$17*G63,2))</f>
        <v>36.68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3936</v>
      </c>
      <c r="D287" s="263">
        <f>SUM(D281:D283)</f>
        <v>4065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259</v>
      </c>
      <c r="D289" s="263">
        <f>SUM(D262:D271)</f>
        <v>285</v>
      </c>
    </row>
    <row r="290" spans="2:4" x14ac:dyDescent="0.25">
      <c r="B290" s="14" t="s">
        <v>1422</v>
      </c>
      <c r="C290" s="269">
        <f>C275+C276+C277</f>
        <v>442.2</v>
      </c>
      <c r="D290" s="276">
        <f>D275+D276+D277</f>
        <v>443.03</v>
      </c>
    </row>
    <row r="291" spans="2:4" x14ac:dyDescent="0.25">
      <c r="B291" s="14" t="s">
        <v>1423</v>
      </c>
      <c r="C291" s="269">
        <f>C278+C279+C280</f>
        <v>168.50000000000003</v>
      </c>
      <c r="D291" s="269">
        <f>D278+D279+D280</f>
        <v>168.50000000000003</v>
      </c>
    </row>
    <row r="292" spans="2:4" x14ac:dyDescent="0.25">
      <c r="B292" s="14" t="s">
        <v>873</v>
      </c>
      <c r="C292" s="172">
        <f>ROUND(SUM(C287:C291),0)</f>
        <v>5406</v>
      </c>
      <c r="D292" s="263">
        <f>ROUND(SUM(D287:D291),0)</f>
        <v>5562</v>
      </c>
    </row>
    <row r="293" spans="2:4" x14ac:dyDescent="0.25">
      <c r="B293" s="14" t="s">
        <v>874</v>
      </c>
      <c r="C293" s="172">
        <f>ROUND(IF(Scénario!$K$129=1,SUM(C275:C280),SUM(C278:C280)),0)</f>
        <v>611</v>
      </c>
      <c r="D293" s="172">
        <f>ROUND(IF(Scénario!$K$129=1,SUM(D275:D280),SUM(D278:D280)),0)</f>
        <v>612</v>
      </c>
    </row>
    <row r="294" spans="2:4" x14ac:dyDescent="0.25">
      <c r="B294" s="14" t="s">
        <v>875</v>
      </c>
      <c r="C294" s="172">
        <f>ROUND((C292-C293)/C83,0)</f>
        <v>3197</v>
      </c>
      <c r="D294" s="172">
        <f>ROUND((D292-D293)/D83,0)</f>
        <v>2475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59.325665020000002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43572</v>
      </c>
    </row>
    <row r="308" spans="2:3" x14ac:dyDescent="0.25">
      <c r="B308" s="14" t="s">
        <v>1460</v>
      </c>
      <c r="C308" s="172">
        <f>'Calcul éco'!X235</f>
        <v>400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2" activePane="bottomLeft" state="frozen"/>
      <selection pane="bottomLeft" activeCell="B55" sqref="B55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0.5</v>
      </c>
      <c r="C53" s="59">
        <v>0.5</v>
      </c>
      <c r="D53" s="59">
        <v>0.5</v>
      </c>
      <c r="E53" s="59">
        <v>0.5</v>
      </c>
      <c r="F53" s="59">
        <v>0.5</v>
      </c>
      <c r="G53" s="59">
        <v>0.5</v>
      </c>
      <c r="H53" s="59">
        <v>0.5</v>
      </c>
      <c r="I53" s="59">
        <v>0.5</v>
      </c>
      <c r="J53" s="59">
        <v>0.5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0.5</v>
      </c>
      <c r="V53" s="59">
        <v>0.5</v>
      </c>
      <c r="W53" s="59">
        <v>0.5</v>
      </c>
      <c r="X53" s="59">
        <v>0.5</v>
      </c>
      <c r="Y53" s="59">
        <v>0.5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27.247652173913046</v>
      </c>
      <c r="C64" s="60">
        <f t="shared" si="19"/>
        <v>27.247652173913046</v>
      </c>
      <c r="D64" s="60">
        <f t="shared" si="19"/>
        <v>24.610782608695654</v>
      </c>
      <c r="E64" s="60">
        <f t="shared" si="19"/>
        <v>24.610782608695654</v>
      </c>
      <c r="F64" s="60">
        <f t="shared" si="19"/>
        <v>27.247652173913046</v>
      </c>
      <c r="G64" s="60">
        <f t="shared" si="19"/>
        <v>27.247652173913046</v>
      </c>
      <c r="H64" s="60">
        <f t="shared" si="19"/>
        <v>26.368695652173916</v>
      </c>
      <c r="I64" s="60">
        <f t="shared" si="19"/>
        <v>26.368695652173916</v>
      </c>
      <c r="J64" s="60">
        <f t="shared" si="19"/>
        <v>27.247652173913046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27.247652173913046</v>
      </c>
      <c r="V64" s="60">
        <f t="shared" si="19"/>
        <v>26.368695652173916</v>
      </c>
      <c r="W64" s="60">
        <f t="shared" si="19"/>
        <v>26.368695652173916</v>
      </c>
      <c r="X64" s="60">
        <f t="shared" si="19"/>
        <v>27.247652173913046</v>
      </c>
      <c r="Y64" s="60">
        <f t="shared" si="19"/>
        <v>27.247652173913046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0</v>
      </c>
      <c r="C66" s="60">
        <f t="shared" si="21"/>
        <v>0</v>
      </c>
      <c r="D66" s="60">
        <f t="shared" si="21"/>
        <v>0</v>
      </c>
      <c r="E66" s="60">
        <f t="shared" si="21"/>
        <v>0</v>
      </c>
      <c r="F66" s="60">
        <f t="shared" si="21"/>
        <v>0</v>
      </c>
      <c r="G66" s="60">
        <f t="shared" si="21"/>
        <v>0</v>
      </c>
      <c r="H66" s="60">
        <f t="shared" si="21"/>
        <v>0</v>
      </c>
      <c r="I66" s="60">
        <f t="shared" si="21"/>
        <v>0</v>
      </c>
      <c r="J66" s="60">
        <f t="shared" si="21"/>
        <v>0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0</v>
      </c>
      <c r="V66" s="60">
        <f t="shared" si="21"/>
        <v>0</v>
      </c>
      <c r="W66" s="60">
        <f t="shared" si="21"/>
        <v>0</v>
      </c>
      <c r="X66" s="60">
        <f t="shared" si="21"/>
        <v>0</v>
      </c>
      <c r="Y66" s="60">
        <f t="shared" si="21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631</v>
      </c>
      <c r="C73" s="63">
        <f t="shared" ref="C73:Y73" si="28">ROUND(SUM(C63:C72),0)</f>
        <v>625</v>
      </c>
      <c r="D73" s="63">
        <f t="shared" si="28"/>
        <v>559</v>
      </c>
      <c r="E73" s="63">
        <f t="shared" si="28"/>
        <v>304</v>
      </c>
      <c r="F73" s="63">
        <f t="shared" si="28"/>
        <v>335</v>
      </c>
      <c r="G73" s="63">
        <f t="shared" si="28"/>
        <v>319</v>
      </c>
      <c r="H73" s="63">
        <f t="shared" si="28"/>
        <v>307</v>
      </c>
      <c r="I73" s="63">
        <f t="shared" si="28"/>
        <v>306</v>
      </c>
      <c r="J73" s="63">
        <f t="shared" si="28"/>
        <v>336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330</v>
      </c>
      <c r="V73" s="63">
        <f t="shared" si="28"/>
        <v>612</v>
      </c>
      <c r="W73" s="63">
        <f t="shared" si="28"/>
        <v>610</v>
      </c>
      <c r="X73" s="63">
        <f t="shared" si="28"/>
        <v>631</v>
      </c>
      <c r="Y73" s="63">
        <f t="shared" si="28"/>
        <v>631</v>
      </c>
      <c r="Z73" s="51"/>
      <c r="AA73" s="55">
        <f>ROUND(SUM(B73:Y73),0)</f>
        <v>7724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186" activePane="bottomLeft" state="frozen"/>
      <selection pane="bottomLeft" activeCell="B201" sqref="B201:Y210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1</v>
      </c>
      <c r="M76" s="59">
        <v>1</v>
      </c>
      <c r="N76" s="59">
        <v>1</v>
      </c>
      <c r="O76" s="59">
        <v>1</v>
      </c>
      <c r="P76" s="59">
        <v>1</v>
      </c>
      <c r="Q76" s="59">
        <v>1</v>
      </c>
      <c r="R76" s="59">
        <v>1</v>
      </c>
      <c r="S76" s="59">
        <v>1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14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0.5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1.16127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32.30410256592593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43.47218956592593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45.64579904422223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1.16127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68.45264232000001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2.7301575000000002</v>
      </c>
      <c r="M162" s="60">
        <f t="shared" si="47"/>
        <v>2.7301575000000002</v>
      </c>
      <c r="N162" s="60">
        <f t="shared" si="47"/>
        <v>2.8211627500000001</v>
      </c>
      <c r="O162" s="60">
        <f t="shared" si="47"/>
        <v>2.8211627500000001</v>
      </c>
      <c r="P162" s="60">
        <f t="shared" si="47"/>
        <v>2.8211627500000001</v>
      </c>
      <c r="Q162" s="60">
        <f t="shared" si="47"/>
        <v>2.8211627500000001</v>
      </c>
      <c r="R162" s="60">
        <f t="shared" si="47"/>
        <v>2.32254</v>
      </c>
      <c r="S162" s="60">
        <f t="shared" si="47"/>
        <v>1.16127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2.9185275000000002</v>
      </c>
      <c r="M172" s="60">
        <f t="shared" si="57"/>
        <v>2.9185275000000002</v>
      </c>
      <c r="N172" s="60">
        <f t="shared" si="57"/>
        <v>3.0158117500000001</v>
      </c>
      <c r="O172" s="60">
        <f t="shared" si="57"/>
        <v>3.0158117500000001</v>
      </c>
      <c r="P172" s="60">
        <f t="shared" si="57"/>
        <v>3.0158117500000001</v>
      </c>
      <c r="Q172" s="60">
        <f t="shared" si="57"/>
        <v>3.0158117500000001</v>
      </c>
      <c r="R172" s="60">
        <f t="shared" si="57"/>
        <v>2.51091</v>
      </c>
      <c r="S172" s="60">
        <f t="shared" si="57"/>
        <v>1.34964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34.812449020000003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>IF(B76&gt;=4,B149,0)</f>
        <v>0</v>
      </c>
      <c r="C201" s="60">
        <f t="shared" ref="C201:Y201" si="79">IF(C76&gt;=4,C149,0)</f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IF(B77&gt;=4,B150,0)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IF(B78&gt;=4,B151,0)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IF(B79&gt;=4,B152,0)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IF(B80&gt;=4,B153,0)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IF(B81&gt;=4,B154,0)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IF(B82&gt;=4,B155,0)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IF(B83&gt;=4,B156,0)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IF(B84&gt;=4,B157,0)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IF(B85&gt;=4,B158,0)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2.9185275000000002</v>
      </c>
      <c r="M215" s="60">
        <f t="shared" si="90"/>
        <v>2.9185275000000002</v>
      </c>
      <c r="N215" s="60">
        <f t="shared" si="90"/>
        <v>3.0158117500000001</v>
      </c>
      <c r="O215" s="60">
        <f t="shared" si="90"/>
        <v>3.0158117500000001</v>
      </c>
      <c r="P215" s="60">
        <f t="shared" si="90"/>
        <v>3.0158117500000001</v>
      </c>
      <c r="Q215" s="60">
        <f t="shared" si="90"/>
        <v>3.0158117500000001</v>
      </c>
      <c r="R215" s="60">
        <f t="shared" si="90"/>
        <v>2.51091</v>
      </c>
      <c r="S215" s="60">
        <f t="shared" si="90"/>
        <v>1.34964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59.325665020000002</v>
      </c>
      <c r="AB219" t="s">
        <v>222</v>
      </c>
    </row>
    <row r="220" spans="1:28" x14ac:dyDescent="0.25">
      <c r="AA220" s="30">
        <f>SUM(B215:Y217)</f>
        <v>59.325665020000002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2023-01-12T16:25:48Z</dcterms:modified>
</cp:coreProperties>
</file>