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87" r:id="rId18"/>
  </pivotCaches>
</workbook>
</file>

<file path=xl/calcChain.xml><?xml version="1.0" encoding="utf-8"?>
<calcChain xmlns="http://schemas.openxmlformats.org/spreadsheetml/2006/main">
  <c r="B17" i="30" l="1"/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BP108" i="30"/>
  <c r="BO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K12" i="29"/>
  <c r="J12" i="29"/>
  <c r="I12" i="29"/>
  <c r="H12" i="29"/>
  <c r="E12" i="29"/>
  <c r="D12" i="29"/>
  <c r="C12" i="29"/>
  <c r="K10" i="29"/>
  <c r="J10" i="29"/>
  <c r="I10" i="29"/>
  <c r="H10" i="29"/>
  <c r="E10" i="29"/>
  <c r="D10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BD87" i="30"/>
  <c r="AV86" i="30"/>
  <c r="BD86" i="30"/>
  <c r="AX86" i="30"/>
  <c r="AX87" i="30"/>
  <c r="AY86" i="30"/>
  <c r="BO86" i="30"/>
  <c r="AY87" i="30"/>
  <c r="BO87" i="30"/>
  <c r="AZ86" i="30"/>
  <c r="BP86" i="30"/>
  <c r="AZ87" i="30"/>
  <c r="BP87" i="30"/>
  <c r="AW87" i="30"/>
  <c r="BA86" i="30"/>
  <c r="BQ86" i="30"/>
  <c r="BA87" i="30"/>
  <c r="BQ87" i="30"/>
  <c r="AW86" i="30"/>
  <c r="BB86" i="30"/>
  <c r="BR86" i="30"/>
  <c r="BB87" i="30"/>
  <c r="BR87" i="30"/>
  <c r="BC86" i="30"/>
  <c r="BS86" i="30"/>
  <c r="BC87" i="30"/>
  <c r="BS87" i="30"/>
  <c r="BA106" i="30"/>
  <c r="BH108" i="30"/>
  <c r="AX109" i="30"/>
  <c r="BB106" i="30"/>
  <c r="BI108" i="30"/>
  <c r="AZ109" i="30"/>
  <c r="BF106" i="30"/>
  <c r="AX107" i="30"/>
  <c r="BN108" i="30"/>
  <c r="BA109" i="30"/>
  <c r="BH106" i="30"/>
  <c r="AZ107" i="30"/>
  <c r="BI106" i="30"/>
  <c r="BA107" i="30"/>
  <c r="BN106" i="30"/>
  <c r="BP109" i="30"/>
  <c r="BA108" i="30"/>
  <c r="BQ109" i="30"/>
  <c r="BF108" i="30"/>
  <c r="BJ106" i="30"/>
  <c r="BB107" i="30"/>
  <c r="BB108" i="30"/>
  <c r="BJ108" i="30"/>
  <c r="BB109" i="30"/>
  <c r="BR109" i="30"/>
  <c r="BC106" i="30"/>
  <c r="BK106" i="30"/>
  <c r="BC107" i="30"/>
  <c r="BC108" i="30"/>
  <c r="BK108" i="30"/>
  <c r="BC109" i="30"/>
  <c r="BS109" i="30"/>
  <c r="BD106" i="30"/>
  <c r="BL106" i="30"/>
  <c r="AV107" i="30"/>
  <c r="BD107" i="30"/>
  <c r="BD108" i="30"/>
  <c r="BL108" i="30"/>
  <c r="AV109" i="30"/>
  <c r="BD109" i="30"/>
  <c r="BE106" i="30"/>
  <c r="BM106" i="30"/>
  <c r="AW107" i="30"/>
  <c r="BE108" i="30"/>
  <c r="BM108" i="30"/>
  <c r="AW109" i="30"/>
  <c r="BG106" i="30"/>
  <c r="BO106" i="30"/>
  <c r="AY107" i="30"/>
  <c r="BG108" i="30"/>
  <c r="AY109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D17" i="30" s="1"/>
  <c r="F17" i="30" s="1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C252" i="33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S8" i="29" s="1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P8" i="29" s="1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T8" i="29" l="1"/>
  <c r="T201" i="29" s="1"/>
  <c r="Q8" i="29"/>
  <c r="R8" i="29"/>
  <c r="R201" i="29" s="1"/>
  <c r="Z24" i="28"/>
  <c r="AB24" i="28"/>
  <c r="X24" i="28"/>
  <c r="X34" i="28" s="1"/>
  <c r="K35" i="28" s="1"/>
  <c r="C91" i="33" s="1"/>
  <c r="AA24" i="28"/>
  <c r="Y24" i="28"/>
  <c r="Y34" i="28" s="1"/>
  <c r="K36" i="28" s="1"/>
  <c r="C92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CY80" i="30"/>
  <c r="BD80" i="30"/>
  <c r="BD81" i="30" s="1"/>
  <c r="CY71" i="30"/>
  <c r="BS69" i="30"/>
  <c r="AZ61" i="30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65" i="28" l="1"/>
  <c r="AI165" i="31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304" i="33" l="1"/>
  <c r="AA240" i="31"/>
  <c r="AB240" i="31" s="1"/>
  <c r="C310" i="33"/>
  <c r="K48" i="28"/>
  <c r="B154" i="31" s="1"/>
  <c r="J154" i="31" s="1"/>
  <c r="C227" i="33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155" i="31" l="1"/>
  <c r="I155" i="31" s="1"/>
  <c r="B149" i="31"/>
  <c r="J149" i="31" s="1"/>
  <c r="C222" i="33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O77" i="30" l="1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3" i="7"/>
  <c r="J63" i="7"/>
  <c r="O63" i="7"/>
  <c r="P63" i="7"/>
  <c r="Q63" i="7"/>
  <c r="G63" i="7"/>
  <c r="B91" i="30" l="1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K217" i="24" l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AK21" i="29" s="1"/>
  <c r="AK25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C183" i="33" l="1"/>
  <c r="C185" i="33" s="1"/>
  <c r="B83" i="30"/>
  <c r="F83" i="30" s="1"/>
  <c r="T234" i="31"/>
  <c r="D185" i="33"/>
  <c r="F84" i="30"/>
  <c r="C192" i="33" s="1"/>
  <c r="U63" i="7"/>
  <c r="AP5" i="29"/>
  <c r="AP4" i="29"/>
  <c r="AD20" i="29" s="1"/>
  <c r="AF20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T272" i="31" l="1"/>
  <c r="X272" i="31" s="1"/>
  <c r="J142" i="31" s="1"/>
  <c r="C220" i="33" s="1"/>
  <c r="X234" i="31"/>
  <c r="C276" i="33"/>
  <c r="B115" i="30"/>
  <c r="B126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307" i="33" l="1"/>
  <c r="X237" i="31"/>
  <c r="D184" i="33"/>
  <c r="D183" i="33" s="1"/>
  <c r="D192" i="33" s="1"/>
  <c r="D235" i="33" s="1"/>
  <c r="D236" i="33" s="1"/>
  <c r="C290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43" i="33" l="1"/>
  <c r="D243" i="33" s="1"/>
  <c r="AA237" i="31"/>
  <c r="AK225" i="33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76" i="33"/>
  <c r="D290" i="33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92" i="33" l="1"/>
  <c r="D294" i="33" s="1"/>
  <c r="AB237" i="31"/>
  <c r="AC237" i="31" s="1"/>
  <c r="AF237" i="31" s="1"/>
  <c r="B178" i="31" s="1"/>
  <c r="C240" i="33" s="1"/>
  <c r="C244" i="33"/>
  <c r="D244" i="33" s="1"/>
  <c r="D143" i="33"/>
  <c r="D144" i="33"/>
  <c r="C292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94" i="33" l="1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C237" i="33" s="1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D157" i="33" l="1"/>
  <c r="C241" i="33"/>
  <c r="C238" i="33"/>
  <c r="C174" i="33"/>
  <c r="D174" i="33" s="1"/>
  <c r="D173" i="33"/>
  <c r="D241" i="33"/>
  <c r="D242" i="33" s="1"/>
  <c r="D238" i="33"/>
  <c r="B180" i="31"/>
  <c r="B181" i="31" s="1"/>
  <c r="B175" i="3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<sst xmlns="http://schemas.openxmlformats.org/spreadsheetml/2006/main" count="3090" uniqueCount="1464">
  <si>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</si>
  <si>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</si>
  <si>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</si>
  <si>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</si>
  <si>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</si>
  <si>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</si>
  <si>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</si>
  <si>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</si>
  <si>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</si>
  <si>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</si>
  <si>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</si>
  <si>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</si>
  <si>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</si>
  <si>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</si>
  <si>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</si>
  <si>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</si>
  <si>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</si>
  <si>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</si>
  <si>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</si>
  <si>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</si>
  <si>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</si>
  <si>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</si>
  <si>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</si>
  <si>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</si>
  <si>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</si>
  <si>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</si>
  <si>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</si>
  <si>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</si>
  <si>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</si>
  <si>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</si>
  <si>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</si>
  <si>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</si>
  <si>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</si>
  <si>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</si>
  <si>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</si>
  <si>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</si>
  <si>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</si>
  <si>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</si>
  <si>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</si>
  <si>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</si>
  <si>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</si>
  <si>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</si>
  <si>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</si>
  <si>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</si>
  <si>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</si>
  <si>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</si>
  <si>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</si>
  <si>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</si>
  <si>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</si>
  <si>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</si>
  <si>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</si>
  <si>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</si>
  <si>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</si>
  <si>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</si>
  <si>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</si>
  <si>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</si>
  <si>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</si>
  <si>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</si>
  <si>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</si>
  <si>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</si>
  <si>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</si>
  <si>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</si>
  <si>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</si>
  <si>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</si>
  <si>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</si>
  <si>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</si>
  <si>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</si>
  <si>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</si>
  <si>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</si>
  <si>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</si>
  <si>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</si>
  <si>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</si>
  <si>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</si>
  <si>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</si>
  <si>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</si>
  <si>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</si>
  <si>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</si>
  <si>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</si>
  <si>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</si>
  <si>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</si>
  <si>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</si>
  <si>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</si>
  <si>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</si>
  <si>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</si>
  <si>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</si>
  <si>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</si>
  <si>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</si>
  <si>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</si>
  <si>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</si>
  <si>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</si>
  <si>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</si>
  <si>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</si>
  <si>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</si>
  <si>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</si>
  <si>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</si>
  <si>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</si>
  <si>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</si>
  <si>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</si>
  <si>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</si>
  <si>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</si>
  <si>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</si>
  <si>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</si>
  <si>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</si>
  <si>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</si>
  <si>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</si>
  <si>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</si>
  <si>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</si>
  <si>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</si>
  <si>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</si>
  <si>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</si>
  <si>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</si>
  <si>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</si>
  <si>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</si>
  <si>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</si>
  <si>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</si>
  <si>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</si>
  <si>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</si>
  <si>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</si>
  <si>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</si>
  <si>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</si>
  <si>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</si>
  <si>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</si>
  <si>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</si>
  <si>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</si>
  <si>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</si>
  <si>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</si>
  <si>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</si>
  <si>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</si>
  <si>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</si>
  <si>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</si>
  <si>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</si>
  <si>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</si>
  <si>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</si>
  <si>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</si>
  <si>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</si>
  <si>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</si>
  <si>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</si>
  <si>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</si>
  <si>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</si>
  <si>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</si>
  <si>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</si>
  <si>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</si>
  <si>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</si>
  <si>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</si>
  <si>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</si>
  <si>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</si>
  <si>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</si>
  <si>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</si>
  <si>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</si>
  <si>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</si>
  <si>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</si>
  <si>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</si>
  <si>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</si>
  <si>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</si>
  <si>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</si>
  <si>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</si>
  <si>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</si>
  <si>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</si>
  <si>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</si>
  <si>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</si>
  <si>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</si>
  <si>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</si>
  <si>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</si>
  <si>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</si>
  <si>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</si>
  <si>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</si>
  <si>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</si>
  <si>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</si>
  <si>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</si>
  <si>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</si>
  <si>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</si>
  <si>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</si>
  <si>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</si>
  <si>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</si>
  <si>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</si>
  <si>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</si>
  <si>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</si>
  <si>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</si>
  <si>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</si>
  <si>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</si>
  <si>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</si>
  <si>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</si>
  <si>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</si>
  <si>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</si>
  <si>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</si>
  <si>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</si>
  <si>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</si>
  <si>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</si>
  <si>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</si>
  <si>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</si>
  <si>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</si>
  <si>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</si>
  <si>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</si>
  <si>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</si>
  <si>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</si>
  <si>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</si>
  <si>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</si>
  <si>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</si>
  <si>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</si>
  <si>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</si>
  <si>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</si>
  <si>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</si>
  <si>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</si>
  <si>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</si>
  <si>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</si>
  <si>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</si>
  <si>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</si>
  <si>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</si>
  <si>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</si>
  <si>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</si>
  <si>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</si>
  <si>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</si>
  <si>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</si>
  <si>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</si>
  <si>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</si>
  <si>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</si>
  <si>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</si>
  <si>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</si>
  <si>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</si>
  <si>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</si>
  <si>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</si>
  <si>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</si>
  <si>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</si>
  <si>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</si>
  <si>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</si>
  <si>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</si>
  <si>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</si>
  <si>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</si>
  <si>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</si>
  <si>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</si>
  <si>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</si>
  <si>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</si>
  <si>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</si>
  <si>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</si>
  <si>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</si>
  <si>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</si>
  <si>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</si>
  <si>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</si>
  <si>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</si>
  <si>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</si>
  <si>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</si>
  <si>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</si>
  <si>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</si>
  <si>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</si>
  <si>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</si>
  <si>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</si>
  <si>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</si>
  <si>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</si>
  <si>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</si>
  <si>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</si>
  <si>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</si>
  <si>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</si>
  <si>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</si>
  <si>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</si>
  <si>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</si>
  <si>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</si>
  <si>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</si>
  <si>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</si>
  <si>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</si>
  <si>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</si>
  <si>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</si>
  <si>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</si>
  <si>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</si>
  <si>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</si>
  <si>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</si>
  <si>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</si>
  <si>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</si>
  <si>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</si>
  <si>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</si>
  <si>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</si>
  <si>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</si>
  <si>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</si>
  <si>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</si>
  <si>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</si>
  <si>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</si>
  <si>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</si>
  <si>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</si>
  <si>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</si>
  <si>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</si>
  <si>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</si>
  <si>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</si>
  <si>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</si>
  <si>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</si>
  <si>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</si>
  <si>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</si>
  <si>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</si>
  <si>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</si>
  <si>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</si>
  <si>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</si>
  <si>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</si>
  <si>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</si>
  <si>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</si>
  <si>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</si>
  <si>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</si>
  <si>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</si>
  <si>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</si>
  <si>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</si>
  <si>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</si>
  <si>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</si>
  <si>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</si>
  <si>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</si>
  <si>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</si>
  <si>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</si>
  <si>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</si>
  <si>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</si>
  <si>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</si>
  <si>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</si>
  <si>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</si>
  <si>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</si>
  <si>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</si>
  <si>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</si>
  <si>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</si>
  <si>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</si>
  <si>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</si>
  <si>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</si>
  <si>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</si>
  <si>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</si>
  <si>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</si>
  <si>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</si>
  <si>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</si>
  <si>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</si>
  <si>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</si>
  <si>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</si>
  <si>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</si>
  <si>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</si>
  <si>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</si>
  <si>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</si>
  <si>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</si>
  <si>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</si>
  <si>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</si>
  <si>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</si>
  <si>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</si>
  <si>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</si>
  <si>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</si>
  <si>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</si>
  <si>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</si>
  <si>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</si>
  <si>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</si>
  <si>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</si>
  <si>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</si>
  <si>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</si>
  <si>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</si>
  <si>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</si>
  <si>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</si>
  <si>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</si>
  <si>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</si>
  <si>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</si>
  <si>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</si>
  <si>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</si>
  <si>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</si>
  <si>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</si>
  <si>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</si>
  <si>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</si>
  <si>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</si>
  <si>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</si>
  <si>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</si>
  <si>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</si>
  <si>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</si>
  <si>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</si>
  <si>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</si>
  <si>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</si>
  <si>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</si>
  <si>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</si>
  <si>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</si>
  <si>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</si>
  <si>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</si>
  <si>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</si>
  <si>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</si>
  <si>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</si>
  <si>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</si>
  <si>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</si>
  <si>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</si>
  <si>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</si>
  <si>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</si>
  <si>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</si>
  <si>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</si>
  <si>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</si>
  <si>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</si>
  <si>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</si>
  <si>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</si>
  <si>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</si>
  <si>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</si>
  <si>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</si>
  <si>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</si>
  <si>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</si>
  <si>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</si>
  <si>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</si>
  <si>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</si>
  <si>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</si>
  <si>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</si>
  <si>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</si>
  <si>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</si>
  <si>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</si>
  <si>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</si>
  <si>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</si>
  <si>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</si>
  <si>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</si>
  <si>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</si>
  <si>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</si>
  <si>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</si>
  <si>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</si>
  <si>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</si>
  <si>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</si>
  <si>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</si>
  <si>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</si>
  <si>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</si>
  <si>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</si>
  <si>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</si>
  <si>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</si>
  <si>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</si>
  <si>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</si>
  <si>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</si>
  <si>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</si>
  <si>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</si>
  <si>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</si>
  <si>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</si>
  <si>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</si>
  <si>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</si>
  <si>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</si>
  <si>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</si>
  <si>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</si>
  <si>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</si>
  <si>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</si>
  <si>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</si>
  <si>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</si>
  <si>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</si>
  <si>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</si>
  <si>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</si>
  <si>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</si>
  <si>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</si>
  <si>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</si>
  <si>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</si>
  <si>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</si>
  <si>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</si>
  <si>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</si>
  <si>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</si>
  <si>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</si>
  <si>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</si>
  <si>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</si>
  <si>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</si>
  <si>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</si>
  <si>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</si>
  <si>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</si>
  <si>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</si>
  <si>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</si>
  <si>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</si>
  <si>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</si>
  <si>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</si>
  <si>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</si>
  <si>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</si>
  <si>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</si>
  <si>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</si>
  <si>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</si>
  <si>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</si>
  <si>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</si>
  <si>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</si>
  <si>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</si>
  <si>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</si>
  <si>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</si>
  <si>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</si>
  <si>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</si>
  <si>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</si>
  <si>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</si>
  <si>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</si>
  <si>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</si>
  <si>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</si>
  <si>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</si>
  <si>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</si>
  <si>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</si>
  <si>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</si>
  <si>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</si>
  <si>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</si>
  <si>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</si>
  <si>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</si>
  <si>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</si>
  <si>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</si>
  <si>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</si>
  <si>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</si>
  <si>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</si>
  <si>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</si>
  <si>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</si>
  <si>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</si>
  <si>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</si>
  <si>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</si>
  <si>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</si>
  <si>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</si>
  <si>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</si>
  <si>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</si>
  <si>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</si>
  <si>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</si>
  <si>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</si>
  <si>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</si>
  <si>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</si>
  <si>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</si>
  <si>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</si>
  <si>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</si>
  <si>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</si>
  <si>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</si>
  <si>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</si>
  <si>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</si>
  <si>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</si>
  <si>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</si>
  <si>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</si>
  <si>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</si>
  <si>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</si>
  <si>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</si>
  <si>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</si>
  <si>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</si>
  <si>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</si>
  <si>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</si>
  <si>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</si>
  <si>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</si>
  <si>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</si>
  <si>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</si>
  <si>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</si>
  <si>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</si>
  <si>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</si>
  <si>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</si>
  <si>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</si>
  <si>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</si>
  <si>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</si>
  <si>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</si>
  <si>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</si>
  <si>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</si>
  <si>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</si>
  <si>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</si>
  <si>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</si>
  <si>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</si>
  <si>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</si>
  <si>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</si>
  <si>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</si>
  <si>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</si>
  <si>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</si>
  <si>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</si>
  <si>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</si>
  <si>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</si>
  <si>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</si>
  <si>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</si>
  <si>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</si>
  <si>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</si>
  <si>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</si>
  <si>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</si>
  <si>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</si>
  <si>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</si>
  <si>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</si>
  <si>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</si>
  <si>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</si>
  <si>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</si>
  <si>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</si>
  <si>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</si>
  <si>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</si>
  <si>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</si>
  <si>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</si>
  <si>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</si>
  <si>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</si>
  <si>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</si>
  <si>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</si>
  <si>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</si>
  <si>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</si>
  <si>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</si>
  <si>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</si>
  <si>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</si>
  <si>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</si>
  <si>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</si>
  <si>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</si>
  <si>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</si>
  <si>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</si>
  <si>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</si>
  <si>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</si>
  <si>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</si>
  <si>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</si>
  <si>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</si>
  <si>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</si>
  <si>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</si>
  <si>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</si>
  <si>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</si>
  <si>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</si>
  <si>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</si>
  <si>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</si>
  <si>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</si>
  <si>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</si>
  <si>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</si>
  <si>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</si>
  <si>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</si>
  <si>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</si>
  <si>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</si>
  <si>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</si>
  <si>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</si>
  <si>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</si>
  <si>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</si>
  <si>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</si>
  <si>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</si>
  <si>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</si>
  <si>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</si>
  <si>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</si>
  <si>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</si>
  <si>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</si>
  <si>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</si>
  <si>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</si>
  <si>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</si>
  <si>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</si>
  <si>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</si>
  <si>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</si>
  <si>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</si>
  <si>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</si>
  <si>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</si>
  <si>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</si>
  <si>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</si>
  <si>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</si>
  <si>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</si>
  <si>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</si>
  <si>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</si>
  <si>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</si>
  <si>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</si>
  <si>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</si>
  <si>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</si>
  <si>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</si>
  <si>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</si>
  <si>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</si>
  <si>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</si>
  <si>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</si>
  <si>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</si>
  <si>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</si>
  <si>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</si>
  <si>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</si>
  <si>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</si>
  <si>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</si>
  <si>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</si>
  <si>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</si>
  <si>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</si>
  <si>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</si>
  <si>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</si>
  <si>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</si>
  <si>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</si>
  <si>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</si>
  <si>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</si>
  <si>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</si>
  <si>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</si>
  <si>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</si>
  <si>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</si>
  <si>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</si>
  <si>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</si>
  <si>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</si>
  <si>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</si>
  <si>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</si>
  <si>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</si>
  <si>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</si>
  <si>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</si>
  <si>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</si>
  <si>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</si>
  <si>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</si>
  <si>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</si>
  <si>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</si>
  <si>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</si>
  <si>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</si>
  <si>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</si>
  <si>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</si>
  <si>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</si>
  <si>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</si>
  <si>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</si>
  <si>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</si>
  <si>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</si>
  <si>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</si>
  <si>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</si>
  <si>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</si>
  <si>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</si>
  <si>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</si>
  <si>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</si>
  <si>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</si>
  <si>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</si>
  <si>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</si>
  <si>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</si>
  <si>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</si>
  <si>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</si>
  <si>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</si>
  <si>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</si>
  <si>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</si>
  <si>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</si>
  <si>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</si>
  <si>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</si>
  <si>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</si>
  <si>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</si>
  <si>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</si>
  <si>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</si>
  <si>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</si>
  <si>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</si>
  <si>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</si>
  <si>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</si>
  <si>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</si>
  <si>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</si>
  <si>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</si>
  <si>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</si>
  <si>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</si>
  <si>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</si>
  <si>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</si>
  <si>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</si>
  <si>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</si>
  <si>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</si>
  <si>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</si>
  <si>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</si>
  <si>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</si>
  <si>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</si>
  <si>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</si>
  <si>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</si>
  <si>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</si>
  <si>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</si>
  <si>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</si>
  <si>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</si>
  <si>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</si>
  <si>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</si>
  <si>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</si>
  <si>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</si>
  <si>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</si>
  <si>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</si>
  <si>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</si>
  <si>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</si>
  <si>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</si>
  <si>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</si>
  <si>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</si>
  <si>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</si>
  <si>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</si>
  <si>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</si>
  <si>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</si>
  <si>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</si>
  <si>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</si>
  <si>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</si>
  <si>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</si>
  <si>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</si>
  <si>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</si>
  <si>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</si>
  <si>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</si>
  <si>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</si>
  <si>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</si>
  <si>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</si>
  <si>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</si>
  <si>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</si>
  <si>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</si>
  <si>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</si>
  <si>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</si>
  <si>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</si>
  <si>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</si>
  <si>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</si>
  <si>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</si>
  <si>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</si>
  <si>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</si>
  <si>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</si>
  <si>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</si>
  <si>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</si>
  <si>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</si>
  <si>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</si>
  <si>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</si>
  <si>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</si>
  <si>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</si>
  <si>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</si>
  <si>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</si>
  <si>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</si>
  <si>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</si>
  <si>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</si>
  <si>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</si>
  <si>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</si>
  <si>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</si>
  <si>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</si>
  <si>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</si>
  <si>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</si>
  <si>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</si>
  <si>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</si>
  <si>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</si>
  <si>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</si>
  <si>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</si>
  <si>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</si>
  <si>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</si>
  <si>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</si>
  <si>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</si>
  <si>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</si>
  <si>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</si>
  <si>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</si>
  <si>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</si>
  <si>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</si>
  <si>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</si>
  <si>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</si>
  <si>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</si>
  <si>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</si>
  <si>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</si>
  <si>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</si>
  <si>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</si>
  <si>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</si>
  <si>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</si>
  <si>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</si>
  <si>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</si>
  <si>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</si>
  <si>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</si>
  <si>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</si>
  <si>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</si>
  <si>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</si>
  <si>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</si>
  <si>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</si>
  <si>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</si>
  <si>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</si>
  <si>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</si>
  <si>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</si>
  <si>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</si>
  <si>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</si>
  <si>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</si>
  <si>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</si>
  <si>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</si>
  <si>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</si>
  <si>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</si>
  <si>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</si>
  <si>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</si>
  <si>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</si>
  <si>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</si>
  <si>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</si>
  <si>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</si>
  <si>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</si>
  <si>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</si>
  <si>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</si>
  <si>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</si>
  <si>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</si>
  <si>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</si>
  <si>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</si>
  <si>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</si>
  <si>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</si>
  <si>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</si>
  <si>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</si>
  <si>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</si>
  <si>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</si>
  <si>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</si>
  <si>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</si>
  <si>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</si>
  <si>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</si>
  <si>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</si>
  <si>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</si>
  <si>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</si>
  <si>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</si>
  <si>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</si>
  <si>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</si>
  <si>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</si>
  <si>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</si>
  <si>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</si>
  <si>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</si>
  <si>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</si>
  <si>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</si>
  <si>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</si>
  <si>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</si>
  <si>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</si>
  <si>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</si>
  <si>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</si>
  <si>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</si>
  <si>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</si>
  <si>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</si>
  <si>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</si>
  <si>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</si>
  <si>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</si>
  <si>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</si>
  <si>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</si>
  <si>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</si>
  <si>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</si>
  <si>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</si>
  <si>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</si>
  <si>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</si>
  <si>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</si>
  <si>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</si>
  <si>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</si>
  <si>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</si>
  <si>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</si>
  <si>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</si>
  <si>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</si>
  <si>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</si>
  <si>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</si>
  <si>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</si>
  <si>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</si>
  <si>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</si>
  <si>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</si>
  <si>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</si>
  <si>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</si>
  <si>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</si>
  <si>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</si>
  <si>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</si>
  <si>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</si>
  <si>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</si>
  <si>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</si>
  <si>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</si>
  <si>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</si>
  <si>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</si>
  <si>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</si>
  <si>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</si>
  <si>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</si>
  <si>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</si>
  <si>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</si>
  <si>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</si>
  <si>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</si>
  <si>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</si>
  <si>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</si>
  <si>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</si>
  <si>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</si>
  <si>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</si>
  <si>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</si>
  <si>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</si>
  <si>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</si>
  <si>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</si>
  <si>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</si>
  <si>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</si>
  <si>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</si>
  <si>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</si>
  <si>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</si>
  <si>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</si>
  <si>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</si>
  <si>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</si>
  <si>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</si>
  <si>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</si>
  <si>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</si>
  <si>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</si>
  <si>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</si>
  <si>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</si>
  <si>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</si>
  <si>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</si>
  <si>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</si>
  <si>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</si>
  <si>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</si>
  <si>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</si>
  <si>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</si>
  <si>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</si>
  <si>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</si>
  <si>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</si>
  <si>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</si>
  <si>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</si>
  <si>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</si>
  <si>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</si>
  <si>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</si>
  <si>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</si>
  <si>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</si>
  <si>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</si>
  <si>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</si>
  <si>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</si>
  <si>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</si>
  <si>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</si>
  <si>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</si>
  <si>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</si>
  <si>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</si>
  <si>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</si>
  <si>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</si>
  <si>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</si>
  <si>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</si>
  <si>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</si>
  <si>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</si>
  <si>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</si>
  <si>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</si>
  <si>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</si>
  <si>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</si>
  <si>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</si>
  <si>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</si>
  <si>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</si>
  <si>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</si>
  <si>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</si>
  <si>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</si>
  <si>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</si>
  <si>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</si>
  <si>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</si>
  <si>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</si>
  <si>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</si>
  <si>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</si>
  <si>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</si>
  <si>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</si>
  <si>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</si>
  <si>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</si>
  <si>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</si>
  <si>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</si>
  <si>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</si>
  <si>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</si>
  <si>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</si>
  <si>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</si>
  <si>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</si>
  <si>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</si>
  <si>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</si>
  <si>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</si>
  <si>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</si>
  <si>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</si>
  <si>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</si>
  <si>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</si>
  <si>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</si>
  <si>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</si>
  <si>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</si>
  <si>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</si>
  <si>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</si>
  <si>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</si>
  <si>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</si>
  <si>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</si>
  <si>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</si>
  <si>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</si>
  <si>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</si>
  <si>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</si>
  <si>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</si>
  <si>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</si>
  <si>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</si>
  <si>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</si>
  <si>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</si>
  <si>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</si>
  <si>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</si>
  <si>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</si>
  <si>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</si>
  <si>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</si>
  <si>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</si>
  <si>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</si>
  <si>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</si>
  <si>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</si>
  <si>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</si>
  <si>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</si>
  <si>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</si>
  <si>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</si>
  <si>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</si>
  <si>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</si>
  <si>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</si>
  <si>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</si>
  <si>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</si>
  <si>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</si>
  <si>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</si>
  <si>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</si>
  <si>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</si>
  <si>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</si>
  <si>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</si>
  <si>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</si>
  <si>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</si>
  <si>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</si>
  <si>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</si>
  <si>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</si>
  <si>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</si>
  <si>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</si>
  <si>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</si>
  <si>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</si>
  <si>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</si>
  <si>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</si>
  <si>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</si>
  <si>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</si>
  <si>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</si>
  <si>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</si>
  <si>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</si>
  <si>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</si>
  <si>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</si>
  <si>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</si>
  <si>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</si>
  <si>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</si>
  <si>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</si>
  <si>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</si>
  <si>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</si>
  <si>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</si>
  <si>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</si>
  <si>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</si>
  <si>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</si>
  <si>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</si>
  <si>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</si>
  <si>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</si>
  <si>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</si>
  <si>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</si>
  <si>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</si>
  <si>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</si>
  <si>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</si>
  <si>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</si>
  <si>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</si>
  <si>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</si>
  <si>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</si>
  <si>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</si>
  <si>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</si>
  <si>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</si>
  <si>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</si>
  <si>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</si>
  <si>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</si>
  <si>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</si>
  <si>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</si>
  <si>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</si>
  <si>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</si>
  <si>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</si>
  <si>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</si>
  <si>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</si>
  <si>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</si>
  <si>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</si>
  <si>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</si>
  <si>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</si>
  <si>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</si>
  <si>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</si>
  <si>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</si>
  <si>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</si>
  <si>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</si>
  <si>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</si>
  <si>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</si>
  <si>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</si>
  <si>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</si>
  <si>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</si>
  <si>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</si>
  <si>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</si>
  <si>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</si>
  <si>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</si>
  <si>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</si>
  <si>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</si>
  <si>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</si>
  <si>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</si>
  <si>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</si>
  <si>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</si>
  <si>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</si>
  <si>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</si>
  <si>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</si>
  <si>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</si>
  <si>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</si>
  <si>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</si>
  <si>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</si>
  <si>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</si>
  <si>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</si>
  <si>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</si>
  <si>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</si>
  <si>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</si>
  <si>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</si>
  <si>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</si>
  <si>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</si>
  <si>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</si>
  <si>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</si>
  <si>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</si>
  <si>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</si>
  <si>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</si>
  <si>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</si>
  <si>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</si>
  <si>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</si>
  <si>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</si>
  <si>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</si>
  <si>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</si>
  <si>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</si>
  <si>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</si>
  <si>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</si>
  <si>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</si>
  <si>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</si>
  <si>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</si>
  <si>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</si>
  <si>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</si>
  <si>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</si>
  <si>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</si>
  <si>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</si>
  <si>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</si>
  <si>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</si>
  <si>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</si>
  <si>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</si>
  <si>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</si>
  <si>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</si>
  <si>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</si>
  <si>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</si>
  <si>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</si>
  <si>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</si>
  <si>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</si>
  <si>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</si>
  <si>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</si>
  <si>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</si>
  <si>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</si>
  <si>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</si>
  <si>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</si>
  <si>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</si>
  <si>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</si>
  <si>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</si>
  <si>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</si>
  <si>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</si>
  <si>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</si>
  <si>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</si>
  <si>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</si>
  <si>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</si>
  <si>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</si>
  <si>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</si>
  <si>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</si>
  <si>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</si>
  <si>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</si>
  <si>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</si>
  <si>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</si>
  <si>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</si>
  <si>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</si>
  <si>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</si>
  <si>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</si>
  <si>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</si>
  <si>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</si>
  <si>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</si>
  <si>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</si>
  <si>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</si>
  <si>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</si>
  <si>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</si>
  <si>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</si>
  <si>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</si>
  <si>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</si>
  <si>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</si>
  <si>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</si>
  <si>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</si>
  <si>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</si>
  <si>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</si>
  <si>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</si>
  <si>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</si>
  <si>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</si>
  <si>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</si>
  <si>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</si>
  <si>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</si>
  <si>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</si>
  <si>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</si>
  <si>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</si>
  <si>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</si>
  <si>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</si>
  <si>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</si>
  <si>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</si>
  <si>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</si>
  <si>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</si>
  <si>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</si>
  <si>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</si>
  <si>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</si>
  <si>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</si>
  <si>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</si>
  <si>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</si>
  <si>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</si>
  <si>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</si>
  <si>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</si>
  <si>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</si>
  <si>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</si>
  <si>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</si>
  <si>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</si>
  <si>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</si>
  <si>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</si>
  <si>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</si>
  <si>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</si>
  <si>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</si>
  <si>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</si>
  <si>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</si>
  <si>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</si>
  <si>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</si>
  <si>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</si>
  <si>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</si>
  <si>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</si>
  <si>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</si>
  <si>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</si>
  <si>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</si>
  <si>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</si>
  <si>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</si>
  <si>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</si>
  <si>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</si>
  <si>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</si>
  <si>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</si>
  <si>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</si>
  <si>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</si>
  <si>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</si>
  <si>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</si>
  <si>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</si>
  <si>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</si>
  <si>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</si>
  <si>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</si>
  <si>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</si>
  <si>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</si>
  <si>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</si>
  <si>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</si>
  <si>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</si>
  <si>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</si>
  <si>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</si>
  <si>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</si>
  <si>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</si>
  <si>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</si>
  <si>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</si>
  <si>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</si>
  <si>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</si>
  <si>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</si>
  <si>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</si>
  <si>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</si>
  <si>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</si>
  <si>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</si>
  <si>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</si>
  <si>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</si>
  <si>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</si>
  <si>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</si>
  <si>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</si>
  <si>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</si>
  <si>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</si>
  <si>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</si>
  <si>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</si>
  <si>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</si>
  <si>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</si>
  <si>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</si>
  <si>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</si>
  <si>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</si>
  <si>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</si>
  <si>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</si>
  <si>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</si>
  <si>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</si>
  <si>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</si>
  <si>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</si>
  <si>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</si>
  <si>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</si>
  <si>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</si>
  <si>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</si>
  <si>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</si>
  <si>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</si>
  <si>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</si>
  <si>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</si>
  <si>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</si>
  <si>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</si>
  <si>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</si>
  <si>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</si>
  <si>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</si>
  <si>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</si>
  <si>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</si>
  <si>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</si>
  <si>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</si>
  <si>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</si>
  <si>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</si>
  <si>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</si>
  <si>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</si>
  <si>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</si>
  <si>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</si>
  <si>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</si>
  <si>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</si>
  <si>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</si>
  <si>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</si>
  <si>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</si>
  <si>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</si>
  <si>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</si>
  <si>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</si>
  <si>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</si>
  <si>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</si>
  <si>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</si>
  <si>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</si>
  <si>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</si>
  <si>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</si>
  <si>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</si>
  <si>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</si>
  <si>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</si>
  <si>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</si>
  <si>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</si>
  <si>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</si>
  <si>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</si>
  <si>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</si>
  <si>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</si>
  <si>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</si>
  <si>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</si>
  <si>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</si>
  <si>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</si>
  <si>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</si>
  <si>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</si>
  <si>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</si>
  <si>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</si>
  <si>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</si>
  <si>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</si>
  <si>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</si>
  <si>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</si>
  <si>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</si>
  <si>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</si>
  <si>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</si>
  <si>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</si>
  <si>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</si>
  <si>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</si>
  <si>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</si>
  <si>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</si>
  <si>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</si>
  <si>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</si>
  <si>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</si>
  <si>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</si>
  <si>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</si>
  <si>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</si>
  <si>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</si>
  <si>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</si>
  <si>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</si>
  <si>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</si>
  <si>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</si>
  <si>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</si>
  <si>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</si>
  <si>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</si>
  <si>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</si>
  <si>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</si>
  <si>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</si>
  <si>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</si>
  <si>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</si>
  <si>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</si>
  <si>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</si>
  <si>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</si>
  <si>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</si>
  <si>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</si>
  <si>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</si>
  <si>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</si>
  <si>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</si>
  <si>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</si>
  <si>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</si>
  <si>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</si>
  <si>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</si>
  <si>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</si>
  <si>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</si>
  <si>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</si>
  <si>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</si>
  <si>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</si>
  <si>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</si>
  <si>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</si>
  <si>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</si>
  <si>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</si>
  <si>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</si>
  <si>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</si>
  <si>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</si>
  <si>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</si>
  <si>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</si>
  <si>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</si>
  <si>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</si>
  <si>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</si>
  <si>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</si>
  <si>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</si>
  <si>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</si>
  <si>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</si>
  <si>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</si>
  <si>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</si>
  <si>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</si>
  <si>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</si>
  <si>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</si>
  <si>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</si>
  <si>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</si>
  <si>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</si>
  <si>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</si>
  <si>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</si>
  <si>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</si>
  <si>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</si>
  <si>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</si>
  <si>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</si>
  <si>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</si>
  <si>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</si>
  <si>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</si>
  <si>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</si>
  <si>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</si>
  <si>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</si>
  <si>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</si>
  <si>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</si>
  <si>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</si>
  <si>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</si>
  <si>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</si>
  <si>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</si>
  <si>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</si>
  <si>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</si>
  <si>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</si>
  <si>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</si>
  <si>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</si>
  <si>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</si>
  <si>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</si>
  <si>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</si>
  <si>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</si>
  <si>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</si>
  <si>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</si>
  <si>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</si>
  <si>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</si>
  <si>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</si>
  <si>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</si>
  <si>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</si>
  <si>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</si>
  <si>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</si>
  <si>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</si>
  <si>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</si>
  <si>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</si>
  <si>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</si>
  <si>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</si>
  <si>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</si>
  <si>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</si>
  <si>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</si>
  <si>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</si>
  <si>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</si>
  <si>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</si>
  <si>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</si>
  <si>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</si>
  <si>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</si>
  <si>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</si>
  <si>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</si>
  <si>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</si>
  <si>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</si>
  <si>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</si>
  <si>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</si>
  <si>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Z1_OLBV_T3_MC1si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</si>
</sst>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21.5</v>
      </c>
      <c r="H18" s="157">
        <f>G18/G17</f>
        <v>0.41747572815533979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Q7" sqref="Q7:R10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4" t="s">
        <v>250</v>
      </c>
      <c r="AT2" s="294"/>
      <c r="AU2" s="293" t="s">
        <v>251</v>
      </c>
      <c r="AV2" s="293"/>
      <c r="AW2" s="293" t="s">
        <v>252</v>
      </c>
      <c r="AX2" s="293"/>
      <c r="AY2" s="293" t="s">
        <v>253</v>
      </c>
      <c r="AZ2" s="293"/>
      <c r="BA2" s="293" t="s">
        <v>254</v>
      </c>
      <c r="BB2" s="293"/>
      <c r="BC2" s="293" t="s">
        <v>255</v>
      </c>
      <c r="BD2" s="293"/>
      <c r="BE2" s="293" t="s">
        <v>256</v>
      </c>
      <c r="BF2" s="293"/>
      <c r="BG2" s="293" t="s">
        <v>257</v>
      </c>
      <c r="BH2" s="293"/>
      <c r="BI2" s="293" t="s">
        <v>258</v>
      </c>
      <c r="BJ2" s="293"/>
      <c r="BK2" s="293" t="s">
        <v>259</v>
      </c>
      <c r="BL2" s="293"/>
      <c r="BM2" s="293" t="s">
        <v>260</v>
      </c>
      <c r="BN2" s="293"/>
      <c r="BO2" s="293" t="s">
        <v>261</v>
      </c>
      <c r="BP2" s="293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0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3" t="s">
        <v>276</v>
      </c>
      <c r="G32" s="293"/>
      <c r="H32" s="81"/>
      <c r="I32" s="67" t="s">
        <v>280</v>
      </c>
      <c r="J32" s="81" t="s">
        <v>280</v>
      </c>
      <c r="K32" s="293" t="s">
        <v>278</v>
      </c>
      <c r="L32" s="293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topLeftCell="D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3" t="s">
        <v>2</v>
      </c>
      <c r="C64" s="293"/>
      <c r="D64" s="293" t="s">
        <v>0</v>
      </c>
      <c r="E64" s="293"/>
      <c r="F64" s="293" t="s">
        <v>1</v>
      </c>
      <c r="G64" s="293"/>
      <c r="H64" s="293" t="s">
        <v>3</v>
      </c>
      <c r="I64" s="293"/>
      <c r="J64" s="293" t="s">
        <v>4</v>
      </c>
      <c r="K64" s="293"/>
      <c r="L64" s="293" t="s">
        <v>5</v>
      </c>
      <c r="M64" s="293"/>
      <c r="N64" s="293" t="s">
        <v>6</v>
      </c>
      <c r="O64" s="293"/>
      <c r="P64" s="293" t="s">
        <v>7</v>
      </c>
      <c r="Q64" s="293"/>
      <c r="R64" s="293" t="s">
        <v>8</v>
      </c>
      <c r="S64" s="293"/>
      <c r="T64" s="293" t="s">
        <v>9</v>
      </c>
      <c r="U64" s="293"/>
      <c r="V64" s="293" t="s">
        <v>10</v>
      </c>
      <c r="W64" s="293"/>
      <c r="X64" s="293" t="s">
        <v>11</v>
      </c>
      <c r="Y64" s="293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3" t="s">
        <v>2</v>
      </c>
      <c r="C90" s="293"/>
      <c r="D90" s="293" t="s">
        <v>0</v>
      </c>
      <c r="E90" s="293"/>
      <c r="F90" s="293" t="s">
        <v>1</v>
      </c>
      <c r="G90" s="293"/>
      <c r="H90" s="293" t="s">
        <v>3</v>
      </c>
      <c r="I90" s="293"/>
      <c r="J90" s="293" t="s">
        <v>4</v>
      </c>
      <c r="K90" s="293"/>
      <c r="L90" s="293" t="s">
        <v>5</v>
      </c>
      <c r="M90" s="293"/>
      <c r="N90" s="293" t="s">
        <v>6</v>
      </c>
      <c r="O90" s="293"/>
      <c r="P90" s="293" t="s">
        <v>7</v>
      </c>
      <c r="Q90" s="293"/>
      <c r="R90" s="293" t="s">
        <v>8</v>
      </c>
      <c r="S90" s="293"/>
      <c r="T90" s="293" t="s">
        <v>9</v>
      </c>
      <c r="U90" s="293"/>
      <c r="V90" s="293" t="s">
        <v>10</v>
      </c>
      <c r="W90" s="293"/>
      <c r="X90" s="293" t="s">
        <v>11</v>
      </c>
      <c r="Y90" s="293"/>
      <c r="AC90" t="s">
        <v>429</v>
      </c>
      <c r="AD90" s="293" t="s">
        <v>2</v>
      </c>
      <c r="AE90" s="293"/>
      <c r="AF90" s="293" t="s">
        <v>0</v>
      </c>
      <c r="AG90" s="293"/>
      <c r="AH90" s="293" t="s">
        <v>1</v>
      </c>
      <c r="AI90" s="293"/>
      <c r="AJ90" s="293" t="s">
        <v>3</v>
      </c>
      <c r="AK90" s="293"/>
      <c r="AL90" s="293" t="s">
        <v>4</v>
      </c>
      <c r="AM90" s="293"/>
      <c r="AN90" s="293" t="s">
        <v>5</v>
      </c>
      <c r="AO90" s="293"/>
      <c r="AP90" s="293" t="s">
        <v>6</v>
      </c>
      <c r="AQ90" s="293"/>
      <c r="AR90" s="293" t="s">
        <v>7</v>
      </c>
      <c r="AS90" s="293"/>
      <c r="AT90" s="293" t="s">
        <v>8</v>
      </c>
      <c r="AU90" s="293"/>
      <c r="AV90" s="293" t="s">
        <v>9</v>
      </c>
      <c r="AW90" s="293"/>
      <c r="AX90" s="293" t="s">
        <v>10</v>
      </c>
      <c r="AY90" s="293"/>
      <c r="AZ90" s="293" t="s">
        <v>11</v>
      </c>
      <c r="BA90" s="293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3" t="s">
        <v>2</v>
      </c>
      <c r="C117" s="293"/>
      <c r="D117" s="293" t="s">
        <v>0</v>
      </c>
      <c r="E117" s="293"/>
      <c r="F117" s="293" t="s">
        <v>1</v>
      </c>
      <c r="G117" s="293"/>
      <c r="H117" s="293" t="s">
        <v>3</v>
      </c>
      <c r="I117" s="293"/>
      <c r="J117" s="293" t="s">
        <v>4</v>
      </c>
      <c r="K117" s="293"/>
      <c r="L117" s="293" t="s">
        <v>5</v>
      </c>
      <c r="M117" s="293"/>
      <c r="N117" s="293" t="s">
        <v>6</v>
      </c>
      <c r="O117" s="293"/>
      <c r="P117" s="293" t="s">
        <v>7</v>
      </c>
      <c r="Q117" s="293"/>
      <c r="R117" s="293" t="s">
        <v>8</v>
      </c>
      <c r="S117" s="293"/>
      <c r="T117" s="293" t="s">
        <v>9</v>
      </c>
      <c r="U117" s="293"/>
      <c r="V117" s="293" t="s">
        <v>10</v>
      </c>
      <c r="W117" s="293"/>
      <c r="X117" s="293" t="s">
        <v>11</v>
      </c>
      <c r="Y117" s="293"/>
      <c r="AD117" s="293" t="s">
        <v>2</v>
      </c>
      <c r="AE117" s="293"/>
      <c r="AF117" s="293" t="s">
        <v>0</v>
      </c>
      <c r="AG117" s="293"/>
      <c r="AH117" s="293" t="s">
        <v>1</v>
      </c>
      <c r="AI117" s="293"/>
      <c r="AJ117" s="293" t="s">
        <v>3</v>
      </c>
      <c r="AK117" s="293"/>
      <c r="AL117" s="293" t="s">
        <v>4</v>
      </c>
      <c r="AM117" s="293"/>
      <c r="AN117" s="293" t="s">
        <v>5</v>
      </c>
      <c r="AO117" s="293"/>
      <c r="AP117" s="293" t="s">
        <v>6</v>
      </c>
      <c r="AQ117" s="293"/>
      <c r="AR117" s="293" t="s">
        <v>7</v>
      </c>
      <c r="AS117" s="293"/>
      <c r="AT117" s="293" t="s">
        <v>8</v>
      </c>
      <c r="AU117" s="293"/>
      <c r="AV117" s="293" t="s">
        <v>9</v>
      </c>
      <c r="AW117" s="293"/>
      <c r="AX117" s="293" t="s">
        <v>10</v>
      </c>
      <c r="AY117" s="293"/>
      <c r="AZ117" s="293" t="s">
        <v>11</v>
      </c>
      <c r="BA117" s="293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1" zoomScale="80" zoomScaleNormal="80" workbookViewId="0">
      <selection activeCell="K57" sqref="K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>
        <v>0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79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/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/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/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2</v>
      </c>
      <c r="D15" s="172">
        <f t="shared" si="16"/>
        <v>2</v>
      </c>
      <c r="E15" s="172">
        <f t="shared" si="16"/>
        <v>2</v>
      </c>
      <c r="F15" s="172">
        <f t="shared" si="16"/>
        <v>2</v>
      </c>
      <c r="G15" s="172">
        <f t="shared" si="16"/>
        <v>2</v>
      </c>
      <c r="H15" s="172">
        <f t="shared" si="16"/>
        <v>2</v>
      </c>
      <c r="I15" s="172">
        <f t="shared" si="16"/>
        <v>2</v>
      </c>
      <c r="J15" s="172">
        <f t="shared" si="16"/>
        <v>2</v>
      </c>
      <c r="K15" s="172">
        <f t="shared" si="16"/>
        <v>2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2</v>
      </c>
      <c r="W15" s="172">
        <f t="shared" si="16"/>
        <v>2</v>
      </c>
      <c r="X15" s="172">
        <f t="shared" si="16"/>
        <v>2</v>
      </c>
      <c r="Y15" s="172">
        <f t="shared" si="16"/>
        <v>2</v>
      </c>
      <c r="Z15" s="172">
        <f t="shared" si="16"/>
        <v>2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3</v>
      </c>
      <c r="D18" s="61">
        <f t="shared" ref="D18:Z18" si="19">IF(AND(D15=0,(D16+D17)&gt;0),1,IF(AND(D15&gt;0,(D16+D17)&gt;0),D15+1,D15))</f>
        <v>3</v>
      </c>
      <c r="E18" s="61">
        <f t="shared" si="19"/>
        <v>3</v>
      </c>
      <c r="F18" s="61">
        <f t="shared" si="19"/>
        <v>3</v>
      </c>
      <c r="G18" s="61">
        <f t="shared" si="19"/>
        <v>3</v>
      </c>
      <c r="H18" s="61">
        <f t="shared" si="19"/>
        <v>3</v>
      </c>
      <c r="I18" s="61">
        <f t="shared" si="19"/>
        <v>3</v>
      </c>
      <c r="J18" s="61">
        <f t="shared" si="19"/>
        <v>3</v>
      </c>
      <c r="K18" s="61">
        <f t="shared" si="19"/>
        <v>3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3</v>
      </c>
      <c r="W18" s="61">
        <f t="shared" si="19"/>
        <v>3</v>
      </c>
      <c r="X18" s="61">
        <f t="shared" si="19"/>
        <v>3</v>
      </c>
      <c r="Y18" s="61">
        <f t="shared" si="19"/>
        <v>3</v>
      </c>
      <c r="Z18" s="61">
        <f t="shared" si="19"/>
        <v>3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0</v>
      </c>
      <c r="AE20" s="63">
        <v>0</v>
      </c>
      <c r="AF20" s="63">
        <f>SUM(AD20:AE20)</f>
        <v>0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0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3</v>
      </c>
      <c r="D22" s="61">
        <f t="shared" ref="D22:Z22" si="22">D18+D19+D21</f>
        <v>3</v>
      </c>
      <c r="E22" s="61">
        <f t="shared" si="22"/>
        <v>3</v>
      </c>
      <c r="F22" s="61">
        <f t="shared" si="22"/>
        <v>3</v>
      </c>
      <c r="G22" s="61">
        <f t="shared" si="22"/>
        <v>3</v>
      </c>
      <c r="H22" s="61">
        <f t="shared" si="22"/>
        <v>3</v>
      </c>
      <c r="I22" s="61">
        <f t="shared" si="22"/>
        <v>3</v>
      </c>
      <c r="J22" s="61">
        <f t="shared" si="22"/>
        <v>3</v>
      </c>
      <c r="K22" s="61">
        <f t="shared" si="22"/>
        <v>3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3</v>
      </c>
      <c r="W22" s="61">
        <f t="shared" si="22"/>
        <v>3</v>
      </c>
      <c r="X22" s="61">
        <f t="shared" si="22"/>
        <v>3</v>
      </c>
      <c r="Y22" s="61">
        <f t="shared" si="22"/>
        <v>3</v>
      </c>
      <c r="Z22" s="61">
        <f t="shared" si="22"/>
        <v>3</v>
      </c>
      <c r="AC22" s="14" t="s">
        <v>718</v>
      </c>
      <c r="AD22" s="63">
        <f>IF(AND(Scénario!K88=1,Troupeau!B3="OL"),Protection!AP6,0)</f>
        <v>0</v>
      </c>
      <c r="AE22" s="63">
        <f>IF(AND(LEFT(Scénario!K12,2)="OL",Troupeau!C3&lt;&gt;"",Scénario!K91=1),Protection!AP5+Protection!AP3,0)</f>
        <v>0</v>
      </c>
      <c r="AF22" s="63">
        <f>SUM(AD22:AE22)</f>
        <v>0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3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3</v>
      </c>
      <c r="D195" s="172">
        <f t="shared" ref="D195:Z196" si="50">D180+D183+D185+D187</f>
        <v>3</v>
      </c>
      <c r="E195" s="172">
        <f t="shared" si="50"/>
        <v>3</v>
      </c>
      <c r="F195" s="172">
        <f t="shared" si="50"/>
        <v>3</v>
      </c>
      <c r="G195" s="172">
        <f t="shared" si="50"/>
        <v>3</v>
      </c>
      <c r="H195" s="172">
        <f t="shared" si="50"/>
        <v>3</v>
      </c>
      <c r="I195" s="172">
        <f t="shared" si="50"/>
        <v>3</v>
      </c>
      <c r="J195" s="172">
        <f t="shared" si="50"/>
        <v>3</v>
      </c>
      <c r="K195" s="172">
        <f t="shared" si="50"/>
        <v>3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3</v>
      </c>
      <c r="W195" s="172">
        <f t="shared" si="50"/>
        <v>3</v>
      </c>
      <c r="X195" s="172">
        <f t="shared" si="50"/>
        <v>3</v>
      </c>
      <c r="Y195" s="172">
        <f t="shared" si="50"/>
        <v>3</v>
      </c>
      <c r="Z195" s="172">
        <f t="shared" si="50"/>
        <v>3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0" activePane="bottomLeft" state="frozen"/>
      <selection activeCell="J83" sqref="J83"/>
      <selection pane="bottomLeft" activeCell="B17" sqref="B1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504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2090.8500869565219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107.72269565217391</v>
      </c>
      <c r="J13" s="30">
        <f t="shared" si="8"/>
        <v>107.67643478260869</v>
      </c>
      <c r="K13" s="30">
        <f t="shared" si="8"/>
        <v>107.63017391304348</v>
      </c>
      <c r="L13" s="30">
        <f t="shared" si="8"/>
        <v>114.58391304347826</v>
      </c>
      <c r="M13" s="30">
        <f t="shared" si="8"/>
        <v>98.787652173913045</v>
      </c>
      <c r="N13" s="30">
        <f t="shared" si="8"/>
        <v>98.741391304347829</v>
      </c>
      <c r="O13" s="30">
        <f t="shared" si="8"/>
        <v>119.6488695652174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97.261043478260873</v>
      </c>
      <c r="AA13" s="30">
        <f t="shared" si="8"/>
        <v>111.26104347826087</v>
      </c>
      <c r="AB13" s="30">
        <f t="shared" si="8"/>
        <v>113.15773913043478</v>
      </c>
      <c r="AC13" s="30">
        <f t="shared" si="8"/>
        <v>107.90773913043478</v>
      </c>
      <c r="AD13" s="30">
        <f t="shared" si="8"/>
        <v>107.90773913043478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3</v>
      </c>
      <c r="D16" s="189">
        <f>IF(B16&gt;0,VLOOKUP(C16,[1]Trav!$A$86:$D$90,4),0)</f>
        <v>42</v>
      </c>
      <c r="E16" s="189">
        <f>Scénario!K54*2</f>
        <v>6</v>
      </c>
      <c r="F16" s="172">
        <f>IF(B16&gt;0,D16*E16/B16,0)</f>
        <v>50.4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8</v>
      </c>
      <c r="F17" s="172">
        <f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ref="F18" si="15">IF(B18&gt;0,D18*E18/B18,0)</f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faible</v>
      </c>
      <c r="AV29" s="172">
        <f t="shared" si="17"/>
        <v>1</v>
      </c>
      <c r="AW29" s="172">
        <f t="shared" si="17"/>
        <v>1</v>
      </c>
      <c r="AX29" s="172">
        <f t="shared" si="17"/>
        <v>1</v>
      </c>
      <c r="AY29" s="172">
        <f t="shared" si="17"/>
        <v>1</v>
      </c>
      <c r="AZ29" s="172">
        <f t="shared" si="17"/>
        <v>1</v>
      </c>
      <c r="BA29" s="172">
        <f t="shared" si="17"/>
        <v>1</v>
      </c>
      <c r="BB29" s="172">
        <f t="shared" si="17"/>
        <v>1</v>
      </c>
      <c r="BC29" s="172">
        <f t="shared" si="17"/>
        <v>1</v>
      </c>
      <c r="BD29" s="172">
        <f t="shared" si="17"/>
        <v>1</v>
      </c>
      <c r="BE29" s="172">
        <f t="shared" si="17"/>
        <v>1</v>
      </c>
      <c r="BF29" s="172">
        <f t="shared" si="17"/>
        <v>1</v>
      </c>
      <c r="BG29" s="172">
        <f t="shared" si="17"/>
        <v>1</v>
      </c>
      <c r="BH29" s="172">
        <f t="shared" si="17"/>
        <v>1</v>
      </c>
      <c r="BI29" s="172">
        <f t="shared" si="17"/>
        <v>1</v>
      </c>
      <c r="BJ29" s="172">
        <f t="shared" si="17"/>
        <v>1</v>
      </c>
      <c r="BK29" s="172">
        <f t="shared" si="17"/>
        <v>1</v>
      </c>
      <c r="BL29" s="172">
        <f t="shared" si="18"/>
        <v>1</v>
      </c>
      <c r="BM29" s="172">
        <f t="shared" si="18"/>
        <v>1</v>
      </c>
      <c r="BN29" s="172">
        <f t="shared" si="18"/>
        <v>1</v>
      </c>
      <c r="BO29" s="172">
        <f t="shared" si="18"/>
        <v>1</v>
      </c>
      <c r="BP29" s="172">
        <f t="shared" si="18"/>
        <v>1</v>
      </c>
      <c r="BQ29" s="172">
        <f t="shared" si="18"/>
        <v>1</v>
      </c>
      <c r="BR29" s="172">
        <f t="shared" si="18"/>
        <v>1</v>
      </c>
      <c r="BS29" s="172">
        <f t="shared" si="18"/>
        <v>1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112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112</v>
      </c>
      <c r="AW63" s="172">
        <f>IF(AW18=0,0,IF(AW40=3,0,VALUE(CONCATENATE(Travail!AW29,Travail!AW40,Travail!AW51))))</f>
        <v>112</v>
      </c>
      <c r="AX63" s="172">
        <f>IF(AX18=0,0,IF(AX40=3,0,VALUE(CONCATENATE(Travail!AX29,Travail!AX40,Travail!AX51))))</f>
        <v>112</v>
      </c>
      <c r="AY63" s="172">
        <f>IF(AY18=0,0,IF(AY40=3,0,VALUE(CONCATENATE(Travail!AY29,Travail!AY40,Travail!AY51))))</f>
        <v>112</v>
      </c>
      <c r="AZ63" s="172">
        <f>IF(AZ18=0,0,IF(AZ40=3,0,VALUE(CONCATENATE(Travail!AZ29,Travail!AZ40,Travail!AZ51))))</f>
        <v>112</v>
      </c>
      <c r="BA63" s="172">
        <f>IF(BA18=0,0,IF(BA40=3,0,VALUE(CONCATENATE(Travail!BA29,Travail!BA40,Travail!BA51))))</f>
        <v>112</v>
      </c>
      <c r="BB63" s="172">
        <f>IF(BB18=0,0,IF(BB40=3,0,VALUE(CONCATENATE(Travail!BB29,Travail!BB40,Travail!BB51))))</f>
        <v>112</v>
      </c>
      <c r="BC63" s="172">
        <f>IF(BC18=0,0,IF(BC40=3,0,VALUE(CONCATENATE(Travail!BC29,Travail!BC40,Travail!BC51))))</f>
        <v>112</v>
      </c>
      <c r="BD63" s="172">
        <f>IF(BD18=0,0,IF(BD40=3,0,VALUE(CONCATENATE(Travail!BD29,Travail!BD40,Travail!BD51))))</f>
        <v>112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112</v>
      </c>
      <c r="BP63" s="172">
        <f>IF(BP18=0,0,IF(BP40=3,0,VALUE(CONCATENATE(Travail!BP29,Travail!BP40,Travail!BP51))))</f>
        <v>112</v>
      </c>
      <c r="BQ63" s="172">
        <f>IF(BQ18=0,0,IF(BQ40=3,0,VALUE(CONCATENATE(Travail!BQ29,Travail!BQ40,Travail!BQ51))))</f>
        <v>112</v>
      </c>
      <c r="BR63" s="172">
        <f>IF(BR18=0,0,IF(BR40=3,0,VALUE(CONCATENATE(Travail!BR29,Travail!BR40,Travail!BR51))))</f>
        <v>112</v>
      </c>
      <c r="BS63" s="172">
        <f>IF(BS18=0,0,IF(BS40=3,0,VALUE(CONCATENATE(Travail!BS29,Travail!BS40,Travail!BS51))))</f>
        <v>112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11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11</v>
      </c>
      <c r="AW74" s="172">
        <f t="shared" si="36"/>
        <v>11</v>
      </c>
      <c r="AX74" s="172">
        <f t="shared" si="36"/>
        <v>11</v>
      </c>
      <c r="AY74" s="172">
        <f t="shared" si="36"/>
        <v>11</v>
      </c>
      <c r="AZ74" s="172">
        <f t="shared" si="36"/>
        <v>11</v>
      </c>
      <c r="BA74" s="172">
        <f t="shared" si="36"/>
        <v>11</v>
      </c>
      <c r="BB74" s="172">
        <f t="shared" si="36"/>
        <v>11</v>
      </c>
      <c r="BC74" s="172">
        <f t="shared" si="36"/>
        <v>11</v>
      </c>
      <c r="BD74" s="172">
        <f t="shared" si="36"/>
        <v>11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11</v>
      </c>
      <c r="BP74" s="172">
        <f t="shared" si="36"/>
        <v>11</v>
      </c>
      <c r="BQ74" s="172">
        <f t="shared" si="36"/>
        <v>11</v>
      </c>
      <c r="BR74" s="172">
        <f t="shared" si="36"/>
        <v>11</v>
      </c>
      <c r="BS74" s="172">
        <f t="shared" si="36"/>
        <v>11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0</v>
      </c>
      <c r="G75" s="197">
        <f>IF(Protection!C195=0,0,[1]Protect!$B$9*Protection!C195*14)</f>
        <v>10.5</v>
      </c>
      <c r="H75" s="197">
        <f>IF(Protection!D195=0,0,[1]Protect!$B$9*Protection!D195*14)</f>
        <v>10.5</v>
      </c>
      <c r="I75" s="197">
        <f>IF(Protection!E195=0,0,[1]Protect!$B$9*Protection!E195*14)</f>
        <v>10.5</v>
      </c>
      <c r="J75" s="197">
        <f>IF(Protection!F195=0,0,[1]Protect!$B$9*Protection!F195*14)</f>
        <v>10.5</v>
      </c>
      <c r="K75" s="197">
        <f>IF(Protection!G195=0,0,[1]Protect!$B$9*Protection!G195*14)</f>
        <v>10.5</v>
      </c>
      <c r="L75" s="197">
        <f>IF(Protection!H195=0,0,[1]Protect!$B$9*Protection!H195*14)</f>
        <v>10.5</v>
      </c>
      <c r="M75" s="197">
        <f>IF(Protection!I195=0,0,[1]Protect!$B$9*Protection!I195*14)</f>
        <v>10.5</v>
      </c>
      <c r="N75" s="197">
        <f>IF(Protection!J195=0,0,[1]Protect!$B$9*Protection!J195*14)</f>
        <v>10.5</v>
      </c>
      <c r="O75" s="197">
        <f>IF(Protection!K195=0,0,[1]Protect!$B$9*Protection!K195*14)</f>
        <v>10.5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10.5</v>
      </c>
      <c r="AA75" s="197">
        <f>IF(Protection!W195=0,0,[1]Protect!$B$9*Protection!W195*14)</f>
        <v>10.5</v>
      </c>
      <c r="AB75" s="197">
        <f>IF(Protection!X195=0,0,[1]Protect!$B$9*Protection!X195*14)</f>
        <v>10.5</v>
      </c>
      <c r="AC75" s="197">
        <f>IF(Protection!Y195=0,0,[1]Protect!$B$9*Protection!Y195*14)</f>
        <v>10.5</v>
      </c>
      <c r="AD75" s="197">
        <f>IF(Protection!Z195=0,0,[1]Protect!$B$9*Protection!Z195*14)</f>
        <v>10.5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0</v>
      </c>
      <c r="G77" s="45">
        <f t="shared" ref="G77:AD77" si="43">+SUM(G69:G76)</f>
        <v>10.5</v>
      </c>
      <c r="H77" s="45">
        <f t="shared" si="43"/>
        <v>10.5</v>
      </c>
      <c r="I77" s="45">
        <f t="shared" si="43"/>
        <v>10.5</v>
      </c>
      <c r="J77" s="45">
        <f t="shared" si="43"/>
        <v>10.5</v>
      </c>
      <c r="K77" s="45">
        <f t="shared" si="43"/>
        <v>10.5</v>
      </c>
      <c r="L77" s="45">
        <f t="shared" si="43"/>
        <v>10.5</v>
      </c>
      <c r="M77" s="45">
        <f t="shared" si="43"/>
        <v>10.5</v>
      </c>
      <c r="N77" s="45">
        <f t="shared" si="43"/>
        <v>10.5</v>
      </c>
      <c r="O77" s="45">
        <f t="shared" si="43"/>
        <v>10.5</v>
      </c>
      <c r="P77" s="45">
        <f t="shared" si="43"/>
        <v>3.5</v>
      </c>
      <c r="Q77" s="45">
        <f t="shared" si="43"/>
        <v>3.5</v>
      </c>
      <c r="R77" s="45">
        <f t="shared" si="43"/>
        <v>7</v>
      </c>
      <c r="S77" s="45">
        <f t="shared" si="43"/>
        <v>7</v>
      </c>
      <c r="T77" s="45">
        <f t="shared" si="43"/>
        <v>7</v>
      </c>
      <c r="U77" s="45">
        <f t="shared" si="43"/>
        <v>7</v>
      </c>
      <c r="V77" s="45">
        <f t="shared" si="43"/>
        <v>7</v>
      </c>
      <c r="W77" s="45">
        <f t="shared" si="43"/>
        <v>7</v>
      </c>
      <c r="X77" s="45">
        <f t="shared" si="43"/>
        <v>7</v>
      </c>
      <c r="Y77" s="45">
        <f t="shared" si="43"/>
        <v>3.5</v>
      </c>
      <c r="Z77" s="45">
        <f t="shared" si="43"/>
        <v>10.5</v>
      </c>
      <c r="AA77" s="45">
        <f t="shared" si="43"/>
        <v>10.5</v>
      </c>
      <c r="AB77" s="45">
        <f t="shared" si="43"/>
        <v>10.5</v>
      </c>
      <c r="AC77" s="45">
        <f t="shared" si="43"/>
        <v>10.5</v>
      </c>
      <c r="AD77" s="45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</v>
      </c>
      <c r="C81" s="189">
        <f>[1]Protect!$B$10</f>
        <v>4</v>
      </c>
      <c r="D81" s="171"/>
      <c r="E81" s="171"/>
      <c r="F81" s="172">
        <f>ROUND(C81*B81*8,0)</f>
        <v>0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0</v>
      </c>
      <c r="C83" s="189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1362.8500869565219</v>
      </c>
      <c r="C91" s="5"/>
      <c r="D91" s="201">
        <f>B91/Troupeau!$B$17</f>
        <v>4.4830594965675061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2001.250086956522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50.4</v>
      </c>
      <c r="C95" s="5"/>
      <c r="D95" s="201">
        <f>B95/Troupeau!$B$17</f>
        <v>0.16578947368421051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50.4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333.07826086956521</v>
      </c>
      <c r="AW99" s="61">
        <f t="shared" ref="AW99:BS99" si="68">SUM(AW90:AW98)</f>
        <v>330.43478260869568</v>
      </c>
      <c r="AX99" s="61">
        <f t="shared" si="68"/>
        <v>327.7913043478261</v>
      </c>
      <c r="AY99" s="61">
        <f t="shared" si="68"/>
        <v>326.46956521739133</v>
      </c>
      <c r="AZ99" s="61">
        <f t="shared" si="68"/>
        <v>325.14782608695651</v>
      </c>
      <c r="BA99" s="61">
        <f t="shared" si="68"/>
        <v>323.82608695652175</v>
      </c>
      <c r="BB99" s="61">
        <f t="shared" si="68"/>
        <v>322.50434782608698</v>
      </c>
      <c r="BC99" s="61">
        <f t="shared" si="68"/>
        <v>321.18260869565216</v>
      </c>
      <c r="BD99" s="61">
        <f t="shared" si="68"/>
        <v>318.53913043478263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278.88695652173914</v>
      </c>
      <c r="BP99" s="61">
        <f t="shared" si="68"/>
        <v>278.88695652173914</v>
      </c>
      <c r="BQ99" s="61">
        <f t="shared" si="68"/>
        <v>333.07826086956521</v>
      </c>
      <c r="BR99" s="61">
        <f t="shared" si="68"/>
        <v>333.07826086956521</v>
      </c>
      <c r="BS99" s="61">
        <f t="shared" si="68"/>
        <v>333.07826086956521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6.6615652173913045</v>
      </c>
      <c r="AW100" s="172">
        <f t="shared" ref="AW100:BS100" si="71">IF($AT$2="OL",AW99/50,AW99/10)</f>
        <v>6.608695652173914</v>
      </c>
      <c r="AX100" s="172">
        <f t="shared" si="71"/>
        <v>6.5558260869565217</v>
      </c>
      <c r="AY100" s="172">
        <f t="shared" si="71"/>
        <v>6.5293913043478264</v>
      </c>
      <c r="AZ100" s="172">
        <f t="shared" si="71"/>
        <v>6.5029565217391303</v>
      </c>
      <c r="BA100" s="172">
        <f t="shared" si="71"/>
        <v>6.4765217391304351</v>
      </c>
      <c r="BB100" s="172">
        <f t="shared" si="71"/>
        <v>6.4500869565217398</v>
      </c>
      <c r="BC100" s="172">
        <f t="shared" si="71"/>
        <v>6.4236521739130437</v>
      </c>
      <c r="BD100" s="172">
        <f t="shared" si="71"/>
        <v>6.3707826086956523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5.5777391304347823</v>
      </c>
      <c r="BP100" s="172">
        <f t="shared" si="71"/>
        <v>5.5777391304347823</v>
      </c>
      <c r="BQ100" s="172">
        <f t="shared" si="71"/>
        <v>6.6615652173913045</v>
      </c>
      <c r="BR100" s="172">
        <f t="shared" si="71"/>
        <v>6.6615652173913045</v>
      </c>
      <c r="BS100" s="172">
        <f t="shared" si="71"/>
        <v>6.6615652173913045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5.6615652173913045</v>
      </c>
      <c r="AW101" s="172">
        <f t="shared" ref="AW101:BS101" si="74">IF(AW100&gt;1,AW100-1,0)</f>
        <v>5.608695652173914</v>
      </c>
      <c r="AX101" s="172">
        <f t="shared" si="74"/>
        <v>5.5558260869565217</v>
      </c>
      <c r="AY101" s="172">
        <f t="shared" si="74"/>
        <v>5.5293913043478264</v>
      </c>
      <c r="AZ101" s="172">
        <f t="shared" si="74"/>
        <v>5.5029565217391303</v>
      </c>
      <c r="BA101" s="172">
        <f t="shared" si="74"/>
        <v>5.4765217391304351</v>
      </c>
      <c r="BB101" s="172">
        <f t="shared" si="74"/>
        <v>5.4500869565217398</v>
      </c>
      <c r="BC101" s="172">
        <f t="shared" si="74"/>
        <v>5.4236521739130437</v>
      </c>
      <c r="BD101" s="172">
        <f t="shared" si="74"/>
        <v>5.3707826086956523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4.5777391304347823</v>
      </c>
      <c r="BP101" s="172">
        <f t="shared" si="74"/>
        <v>4.5777391304347823</v>
      </c>
      <c r="BQ101" s="172">
        <f t="shared" si="74"/>
        <v>5.6615652173913045</v>
      </c>
      <c r="BR101" s="172">
        <f t="shared" si="74"/>
        <v>5.6615652173913045</v>
      </c>
      <c r="BS101" s="172">
        <f t="shared" si="74"/>
        <v>5.6615652173913045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51.907739130434784</v>
      </c>
      <c r="AW102" s="61">
        <f t="shared" ref="AW102:BS102" si="77">AW86+AW87*AW101</f>
        <v>51.815217391304351</v>
      </c>
      <c r="AX102" s="61">
        <f t="shared" si="77"/>
        <v>51.722695652173911</v>
      </c>
      <c r="AY102" s="61">
        <f t="shared" si="77"/>
        <v>51.676434782608695</v>
      </c>
      <c r="AZ102" s="61">
        <f t="shared" si="77"/>
        <v>51.630173913043478</v>
      </c>
      <c r="BA102" s="61">
        <f t="shared" si="77"/>
        <v>30.583913043478262</v>
      </c>
      <c r="BB102" s="61">
        <f t="shared" si="77"/>
        <v>30.537652173913045</v>
      </c>
      <c r="BC102" s="61">
        <f t="shared" si="77"/>
        <v>30.491391304347829</v>
      </c>
      <c r="BD102" s="61">
        <f t="shared" si="77"/>
        <v>30.398869565217392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29.01104347826087</v>
      </c>
      <c r="BP102" s="61">
        <f t="shared" si="77"/>
        <v>50.011043478260873</v>
      </c>
      <c r="BQ102" s="61">
        <f t="shared" si="77"/>
        <v>51.907739130434784</v>
      </c>
      <c r="BR102" s="61">
        <f t="shared" si="77"/>
        <v>51.907739130434784</v>
      </c>
      <c r="BS102" s="61">
        <f t="shared" si="77"/>
        <v>51.907739130434784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7</v>
      </c>
      <c r="AW107" s="189">
        <f>IF(AW61&gt;0,HLOOKUP(AW61,[1]Trav!$C$11:$O$31,$AU$105),0)</f>
        <v>7</v>
      </c>
      <c r="AX107" s="189">
        <f>IF(AX61&gt;0,HLOOKUP(AX61,[1]Trav!$C$11:$O$31,$AU$105),0)</f>
        <v>7</v>
      </c>
      <c r="AY107" s="189">
        <f>IF(AY61&gt;0,HLOOKUP(AY61,[1]Trav!$C$11:$O$31,$AU$105),0)</f>
        <v>7</v>
      </c>
      <c r="AZ107" s="189">
        <f>IF(AZ61&gt;0,HLOOKUP(AZ61,[1]Trav!$C$11:$O$31,$AU$105),0)</f>
        <v>7</v>
      </c>
      <c r="BA107" s="189">
        <f>IF(BA61&gt;0,HLOOKUP(BA61,[1]Trav!$C$11:$O$31,$AU$105),0)</f>
        <v>7</v>
      </c>
      <c r="BB107" s="189">
        <f>IF(BB61&gt;0,HLOOKUP(BB61,[1]Trav!$C$11:$O$31,$AU$105),0)</f>
        <v>7</v>
      </c>
      <c r="BC107" s="189">
        <f>IF(BC61&gt;0,HLOOKUP(BC61,[1]Trav!$C$11:$O$31,$AU$105),0)</f>
        <v>7</v>
      </c>
      <c r="BD107" s="189">
        <f>IF(BD61&gt;0,HLOOKUP(BD61,[1]Trav!$C$11:$O$31,$AU$105),0)</f>
        <v>7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7</v>
      </c>
      <c r="BP107" s="189">
        <f>IF(BP61&gt;0,HLOOKUP(BP61,[1]Trav!$C$11:$O$31,$AU$105),0)</f>
        <v>7</v>
      </c>
      <c r="BQ107" s="189">
        <f>IF(BQ61&gt;0,HLOOKUP(BQ61,[1]Trav!$C$11:$O$31,$AU$105),0)</f>
        <v>7</v>
      </c>
      <c r="BR107" s="189">
        <f>IF(BR61&gt;0,HLOOKUP(BR61,[1]Trav!$C$11:$O$31,$AU$105),0)</f>
        <v>7</v>
      </c>
      <c r="BS107" s="189">
        <f>IF(BS61&gt;0,HLOOKUP(BS61,[1]Trav!$C$11:$O$31,$AU$105),0)</f>
        <v>7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6"/>
      <c r="AT109" s="188" t="str">
        <f t="shared" si="80"/>
        <v>beliers</v>
      </c>
      <c r="AV109" s="189">
        <f>IF(AV63&gt;0,HLOOKUP(AV63,[1]Trav!$C$11:$O$31,$AU$105),0)</f>
        <v>7</v>
      </c>
      <c r="AW109" s="189">
        <f>IF(AW63&gt;0,HLOOKUP(AW63,[1]Trav!$C$11:$O$31,$AU$105),0)</f>
        <v>7</v>
      </c>
      <c r="AX109" s="189">
        <f>IF(AX63&gt;0,HLOOKUP(AX63,[1]Trav!$C$11:$O$31,$AU$105),0)</f>
        <v>7</v>
      </c>
      <c r="AY109" s="189">
        <f>IF(AY63&gt;0,HLOOKUP(AY63,[1]Trav!$C$11:$O$31,$AU$105),0)</f>
        <v>7</v>
      </c>
      <c r="AZ109" s="189">
        <f>IF(AZ63&gt;0,HLOOKUP(AZ63,[1]Trav!$C$11:$O$31,$AU$105),0)</f>
        <v>7</v>
      </c>
      <c r="BA109" s="189">
        <f>IF(BA63&gt;0,HLOOKUP(BA63,[1]Trav!$C$11:$O$31,$AU$105),0)</f>
        <v>7</v>
      </c>
      <c r="BB109" s="189">
        <f>IF(BB63&gt;0,HLOOKUP(BB63,[1]Trav!$C$11:$O$31,$AU$105),0)</f>
        <v>7</v>
      </c>
      <c r="BC109" s="189">
        <f>IF(BC63&gt;0,HLOOKUP(BC63,[1]Trav!$C$11:$O$31,$AU$105),0)</f>
        <v>7</v>
      </c>
      <c r="BD109" s="189">
        <f>IF(BD63&gt;0,HLOOKUP(BD63,[1]Trav!$C$11:$O$31,$AU$105),0)</f>
        <v>7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7</v>
      </c>
      <c r="BP109" s="189">
        <f>IF(BP63&gt;0,HLOOKUP(BP63,[1]Trav!$C$11:$O$31,$AU$105),0)</f>
        <v>7</v>
      </c>
      <c r="BQ109" s="189">
        <f>IF(BQ63&gt;0,HLOOKUP(BQ63,[1]Trav!$C$11:$O$31,$AU$105),0)</f>
        <v>7</v>
      </c>
      <c r="BR109" s="189">
        <f>IF(BR63&gt;0,HLOOKUP(BR63,[1]Trav!$C$11:$O$31,$AU$105),0)</f>
        <v>7</v>
      </c>
      <c r="BS109" s="189">
        <f>IF(BS63&gt;0,HLOOKUP(BS63,[1]Trav!$C$11:$O$31,$AU$105),0)</f>
        <v>7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2593.4134202898554</v>
      </c>
      <c r="D118" s="201">
        <f>B118/Troupeau!$B$17</f>
        <v>8.5309651983218924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740.4</v>
      </c>
      <c r="D119" s="201">
        <f>IF(B119=0,0,B119/Troupeau!$C$17)</f>
        <v>32.191304347826083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3333.8134202898555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0">
        <f>SUM(B122:B126)</f>
        <v>4241.8134202898555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0">
        <f>ROUND((B128-B129)/(Scénario!K4+Scénario!K6),0)</f>
        <v>2828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H19" sqref="H1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109568.95999999999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0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49215.99035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24852.892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35500.077649999992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23667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24500.077649999992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16333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6.3</v>
      </c>
      <c r="W247" s="172">
        <f>[1]Eco!$B$111</f>
        <v>28.3</v>
      </c>
      <c r="X247" s="172">
        <f>T247*W247</f>
        <v>178.29</v>
      </c>
    </row>
    <row r="248" spans="17:31" x14ac:dyDescent="0.25">
      <c r="W248" s="14" t="s">
        <v>1117</v>
      </c>
      <c r="X248" s="172">
        <f>SUM(X245:X247)</f>
        <v>178.29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8317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6653.6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6653.6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Z1_OLBV_T3_MC1si</v>
      </c>
      <c r="D1" s="274" t="str">
        <f>CONCATENATE(C1,"_corr")</f>
        <v>Z1_OLBV_T3_MC1si_corr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3. 7 visites par semaine</v>
      </c>
      <c r="D26" s="176" t="str">
        <f t="shared" si="0"/>
        <v>3. 7 visites par semaine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596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606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faible</v>
      </c>
      <c r="AV90" s="172">
        <f t="shared" si="15"/>
        <v>1</v>
      </c>
      <c r="AW90" s="172">
        <f t="shared" si="15"/>
        <v>1</v>
      </c>
      <c r="AX90" s="172">
        <f t="shared" si="15"/>
        <v>1</v>
      </c>
      <c r="AY90" s="172">
        <f t="shared" si="15"/>
        <v>1</v>
      </c>
      <c r="AZ90" s="172">
        <f t="shared" si="15"/>
        <v>1</v>
      </c>
      <c r="BA90" s="172">
        <f t="shared" si="15"/>
        <v>1</v>
      </c>
      <c r="BB90" s="172">
        <f t="shared" si="15"/>
        <v>1</v>
      </c>
      <c r="BC90" s="172">
        <f t="shared" si="15"/>
        <v>1</v>
      </c>
      <c r="BD90" s="172">
        <f t="shared" si="15"/>
        <v>1</v>
      </c>
      <c r="BE90" s="172">
        <f t="shared" si="15"/>
        <v>1</v>
      </c>
      <c r="BF90" s="172">
        <f t="shared" si="15"/>
        <v>1</v>
      </c>
      <c r="BG90" s="172">
        <f t="shared" si="15"/>
        <v>1</v>
      </c>
      <c r="BH90" s="172">
        <f t="shared" si="15"/>
        <v>1</v>
      </c>
      <c r="BI90" s="172">
        <f t="shared" si="15"/>
        <v>1</v>
      </c>
      <c r="BJ90" s="172">
        <f t="shared" si="15"/>
        <v>1</v>
      </c>
      <c r="BK90" s="172">
        <f t="shared" si="15"/>
        <v>1</v>
      </c>
      <c r="BL90" s="172">
        <f t="shared" si="16"/>
        <v>1</v>
      </c>
      <c r="BM90" s="172">
        <f t="shared" si="16"/>
        <v>1</v>
      </c>
      <c r="BN90" s="172">
        <f t="shared" si="16"/>
        <v>1</v>
      </c>
      <c r="BO90" s="172">
        <f t="shared" si="16"/>
        <v>1</v>
      </c>
      <c r="BP90" s="172">
        <f t="shared" si="16"/>
        <v>1</v>
      </c>
      <c r="BQ90" s="172">
        <f t="shared" si="16"/>
        <v>1</v>
      </c>
      <c r="BR90" s="172">
        <f t="shared" si="16"/>
        <v>1</v>
      </c>
      <c r="BS90" s="172">
        <f t="shared" si="16"/>
        <v>1</v>
      </c>
      <c r="BZ90" s="188" t="str">
        <f t="shared" si="17"/>
        <v>lot4</v>
      </c>
      <c r="CA90" s="191">
        <f>Scénario!K109</f>
        <v>0</v>
      </c>
      <c r="CB90" s="172">
        <f t="shared" si="21"/>
        <v>1</v>
      </c>
      <c r="CC90" s="172">
        <f t="shared" si="18"/>
        <v>1</v>
      </c>
      <c r="CD90" s="172">
        <f t="shared" si="18"/>
        <v>1</v>
      </c>
      <c r="CE90" s="172">
        <f t="shared" si="18"/>
        <v>1</v>
      </c>
      <c r="CF90" s="172">
        <f t="shared" si="18"/>
        <v>1</v>
      </c>
      <c r="CG90" s="172">
        <f t="shared" si="18"/>
        <v>1</v>
      </c>
      <c r="CH90" s="172">
        <f t="shared" si="18"/>
        <v>1</v>
      </c>
      <c r="CI90" s="172">
        <f t="shared" si="18"/>
        <v>1</v>
      </c>
      <c r="CJ90" s="172">
        <f t="shared" si="18"/>
        <v>1</v>
      </c>
      <c r="CK90" s="172">
        <f t="shared" si="18"/>
        <v>1</v>
      </c>
      <c r="CL90" s="172">
        <f t="shared" si="18"/>
        <v>1</v>
      </c>
      <c r="CM90" s="172">
        <f t="shared" si="18"/>
        <v>1</v>
      </c>
      <c r="CN90" s="172">
        <f t="shared" si="18"/>
        <v>1</v>
      </c>
      <c r="CO90" s="172">
        <f t="shared" si="18"/>
        <v>1</v>
      </c>
      <c r="CP90" s="172">
        <f t="shared" si="18"/>
        <v>1</v>
      </c>
      <c r="CQ90" s="172">
        <f t="shared" si="18"/>
        <v>1</v>
      </c>
      <c r="CR90" s="172">
        <f t="shared" si="18"/>
        <v>1</v>
      </c>
      <c r="CS90" s="172">
        <f t="shared" si="18"/>
        <v>1</v>
      </c>
      <c r="CT90" s="172">
        <f t="shared" si="18"/>
        <v>1</v>
      </c>
      <c r="CU90" s="172">
        <f t="shared" si="18"/>
        <v>1</v>
      </c>
      <c r="CV90" s="172">
        <f t="shared" si="18"/>
        <v>1</v>
      </c>
      <c r="CW90" s="172">
        <f t="shared" si="18"/>
        <v>1</v>
      </c>
      <c r="CX90" s="172">
        <f t="shared" si="18"/>
        <v>1</v>
      </c>
      <c r="CY90" s="172">
        <f t="shared" si="18"/>
        <v>1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112</v>
      </c>
      <c r="AW122" s="172">
        <f>IF(AW76=0,0,IF(AW99=3,0,VALUE(CONCATENATE(Travail!AW27,Travail!AW38,Travail!AW49))))</f>
        <v>112</v>
      </c>
      <c r="AX122" s="172">
        <f>IF(AX76=0,0,IF(AX99=3,0,VALUE(CONCATENATE(Travail!AX27,Travail!AX38,Travail!AX49))))</f>
        <v>112</v>
      </c>
      <c r="AY122" s="172">
        <f>IF(AY76=0,0,IF(AY99=3,0,VALUE(CONCATENATE(Travail!AY27,Travail!AY38,Travail!AY49))))</f>
        <v>112</v>
      </c>
      <c r="AZ122" s="172">
        <f>IF(AZ76=0,0,IF(AZ99=3,0,VALUE(CONCATENATE(Travail!AZ27,Travail!AZ38,Travail!AZ49))))</f>
        <v>112</v>
      </c>
      <c r="BA122" s="172">
        <f>IF(BA76=0,0,IF(BA99=3,0,VALUE(CONCATENATE(Travail!BA27,Travail!BA38,Travail!BA49))))</f>
        <v>112</v>
      </c>
      <c r="BB122" s="172">
        <f>IF(BB76=0,0,IF(BB99=3,0,VALUE(CONCATENATE(Travail!BB27,Travail!BB38,Travail!BB49))))</f>
        <v>112</v>
      </c>
      <c r="BC122" s="172">
        <f>IF(BC76=0,0,IF(BC99=3,0,VALUE(CONCATENATE(Travail!BC27,Travail!BC38,Travail!BC49))))</f>
        <v>112</v>
      </c>
      <c r="BD122" s="172">
        <f>IF(BD76=0,0,IF(BD99=3,0,VALUE(CONCATENATE(Travail!BD27,Travail!BD38,Travail!BD49))))</f>
        <v>112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112</v>
      </c>
      <c r="BP122" s="172">
        <f>IF(BP76=0,0,IF(BP99=3,0,VALUE(CONCATENATE(Travail!BP27,Travail!BP38,Travail!BP49))))</f>
        <v>112</v>
      </c>
      <c r="BQ122" s="172">
        <f>IF(BQ76=0,0,IF(BQ99=3,0,VALUE(CONCATENATE(Travail!BQ27,Travail!BQ38,Travail!BQ49))))</f>
        <v>112</v>
      </c>
      <c r="BR122" s="172">
        <f>IF(BR76=0,0,IF(BR99=3,0,VALUE(CONCATENATE(Travail!BR27,Travail!BR38,Travail!BR49))))</f>
        <v>112</v>
      </c>
      <c r="BS122" s="172">
        <f>IF(BS76=0,0,IF(BS99=3,0,VALUE(CONCATENATE(Travail!BS27,Travail!BS38,Travail!BS49))))</f>
        <v>112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112</v>
      </c>
      <c r="AW124" s="172">
        <f>IF(AW78=0,0,IF(AW101=3,0,VALUE(CONCATENATE(Travail!AW29,Travail!AW40,Travail!AW51))))</f>
        <v>112</v>
      </c>
      <c r="AX124" s="172">
        <f>IF(AX78=0,0,IF(AX101=3,0,VALUE(CONCATENATE(Travail!AX29,Travail!AX40,Travail!AX51))))</f>
        <v>112</v>
      </c>
      <c r="AY124" s="172">
        <f>IF(AY78=0,0,IF(AY101=3,0,VALUE(CONCATENATE(Travail!AY29,Travail!AY40,Travail!AY51))))</f>
        <v>112</v>
      </c>
      <c r="AZ124" s="172">
        <f>IF(AZ78=0,0,IF(AZ101=3,0,VALUE(CONCATENATE(Travail!AZ29,Travail!AZ40,Travail!AZ51))))</f>
        <v>112</v>
      </c>
      <c r="BA124" s="172">
        <f>IF(BA78=0,0,IF(BA101=3,0,VALUE(CONCATENATE(Travail!BA29,Travail!BA40,Travail!BA51))))</f>
        <v>112</v>
      </c>
      <c r="BB124" s="172">
        <f>IF(BB78=0,0,IF(BB101=3,0,VALUE(CONCATENATE(Travail!BB29,Travail!BB40,Travail!BB51))))</f>
        <v>112</v>
      </c>
      <c r="BC124" s="172">
        <f>IF(BC78=0,0,IF(BC101=3,0,VALUE(CONCATENATE(Travail!BC29,Travail!BC40,Travail!BC51))))</f>
        <v>112</v>
      </c>
      <c r="BD124" s="172">
        <f>IF(BD78=0,0,IF(BD101=3,0,VALUE(CONCATENATE(Travail!BD29,Travail!BD40,Travail!BD51))))</f>
        <v>112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112</v>
      </c>
      <c r="BP124" s="172">
        <f>IF(BP78=0,0,IF(BP101=3,0,VALUE(CONCATENATE(Travail!BP29,Travail!BP40,Travail!BP51))))</f>
        <v>112</v>
      </c>
      <c r="BQ124" s="172">
        <f>IF(BQ78=0,0,IF(BQ101=3,0,VALUE(CONCATENATE(Travail!BQ29,Travail!BQ40,Travail!BQ51))))</f>
        <v>112</v>
      </c>
      <c r="BR124" s="172">
        <f>IF(BR78=0,0,IF(BR101=3,0,VALUE(CONCATENATE(Travail!BR29,Travail!BR40,Travail!BR51))))</f>
        <v>112</v>
      </c>
      <c r="BS124" s="172">
        <f>IF(BS78=0,0,IF(BS101=3,0,VALUE(CONCATENATE(Travail!BS29,Travail!BS40,Travail!BS51))))</f>
        <v>112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11</v>
      </c>
      <c r="AW133" s="172">
        <f t="shared" si="39"/>
        <v>11</v>
      </c>
      <c r="AX133" s="172">
        <f t="shared" si="39"/>
        <v>11</v>
      </c>
      <c r="AY133" s="172">
        <f t="shared" si="39"/>
        <v>11</v>
      </c>
      <c r="AZ133" s="172">
        <f t="shared" si="39"/>
        <v>11</v>
      </c>
      <c r="BA133" s="172">
        <f t="shared" si="39"/>
        <v>11</v>
      </c>
      <c r="BB133" s="172">
        <f t="shared" si="39"/>
        <v>11</v>
      </c>
      <c r="BC133" s="172">
        <f t="shared" si="39"/>
        <v>11</v>
      </c>
      <c r="BD133" s="172">
        <f t="shared" si="39"/>
        <v>11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11</v>
      </c>
      <c r="BP133" s="172">
        <f t="shared" si="39"/>
        <v>11</v>
      </c>
      <c r="BQ133" s="172">
        <f t="shared" si="39"/>
        <v>11</v>
      </c>
      <c r="BR133" s="172">
        <f t="shared" si="39"/>
        <v>11</v>
      </c>
      <c r="BS133" s="172">
        <f t="shared" si="39"/>
        <v>11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11</v>
      </c>
      <c r="AW135" s="172">
        <f t="shared" si="39"/>
        <v>11</v>
      </c>
      <c r="AX135" s="172">
        <f t="shared" si="39"/>
        <v>11</v>
      </c>
      <c r="AY135" s="172">
        <f t="shared" si="39"/>
        <v>11</v>
      </c>
      <c r="AZ135" s="172">
        <f t="shared" si="39"/>
        <v>11</v>
      </c>
      <c r="BA135" s="172">
        <f t="shared" si="39"/>
        <v>11</v>
      </c>
      <c r="BB135" s="172">
        <f t="shared" si="39"/>
        <v>11</v>
      </c>
      <c r="BC135" s="172">
        <f t="shared" si="39"/>
        <v>11</v>
      </c>
      <c r="BD135" s="172">
        <f t="shared" si="39"/>
        <v>11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11</v>
      </c>
      <c r="BP135" s="172">
        <f t="shared" si="39"/>
        <v>11</v>
      </c>
      <c r="BQ135" s="172">
        <f t="shared" si="39"/>
        <v>11</v>
      </c>
      <c r="BR135" s="172">
        <f t="shared" si="39"/>
        <v>11</v>
      </c>
      <c r="BS135" s="172">
        <f t="shared" si="39"/>
        <v>11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0.48863636363636365</v>
      </c>
      <c r="D136" s="261">
        <f t="shared" si="25"/>
        <v>0.48863636363636365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366.38608695652175</v>
      </c>
      <c r="AW160" s="61">
        <f t="shared" ref="AW160:BS160" si="83">SUM(AW151:AW159)</f>
        <v>363.47826086956525</v>
      </c>
      <c r="AX160" s="61">
        <f t="shared" si="83"/>
        <v>360.57043478260874</v>
      </c>
      <c r="AY160" s="61">
        <f t="shared" si="83"/>
        <v>359.11652173913046</v>
      </c>
      <c r="AZ160" s="61">
        <f t="shared" si="83"/>
        <v>357.66260869565218</v>
      </c>
      <c r="BA160" s="61">
        <f t="shared" si="83"/>
        <v>356.2086956521739</v>
      </c>
      <c r="BB160" s="61">
        <f t="shared" si="83"/>
        <v>354.75478260869568</v>
      </c>
      <c r="BC160" s="61">
        <f t="shared" si="83"/>
        <v>353.3008695652174</v>
      </c>
      <c r="BD160" s="61">
        <f t="shared" si="83"/>
        <v>350.39304347826089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306.7756521739131</v>
      </c>
      <c r="BP160" s="61">
        <f t="shared" si="83"/>
        <v>306.7756521739131</v>
      </c>
      <c r="BQ160" s="61">
        <f t="shared" si="83"/>
        <v>366.38608695652175</v>
      </c>
      <c r="BR160" s="61">
        <f t="shared" si="83"/>
        <v>366.38608695652175</v>
      </c>
      <c r="BS160" s="61">
        <f t="shared" si="83"/>
        <v>366.38608695652175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7.3277217391304355</v>
      </c>
      <c r="AW161" s="172">
        <f t="shared" ref="AW161:BS161" si="86">IF($AT$62="OL",AW160/50,AW160/10)</f>
        <v>7.269565217391305</v>
      </c>
      <c r="AX161" s="172">
        <f t="shared" si="86"/>
        <v>7.2114086956521746</v>
      </c>
      <c r="AY161" s="172">
        <f t="shared" si="86"/>
        <v>7.1823304347826094</v>
      </c>
      <c r="AZ161" s="172">
        <f t="shared" si="86"/>
        <v>7.1532521739130432</v>
      </c>
      <c r="BA161" s="172">
        <f t="shared" si="86"/>
        <v>7.124173913043478</v>
      </c>
      <c r="BB161" s="172">
        <f t="shared" si="86"/>
        <v>7.0950956521739137</v>
      </c>
      <c r="BC161" s="172">
        <f t="shared" si="86"/>
        <v>7.0660173913043476</v>
      </c>
      <c r="BD161" s="172">
        <f t="shared" si="86"/>
        <v>7.007860869565218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6.1355130434782623</v>
      </c>
      <c r="BP161" s="172">
        <f t="shared" si="86"/>
        <v>6.1355130434782623</v>
      </c>
      <c r="BQ161" s="172">
        <f t="shared" si="86"/>
        <v>7.3277217391304355</v>
      </c>
      <c r="BR161" s="172">
        <f t="shared" si="86"/>
        <v>7.3277217391304355</v>
      </c>
      <c r="BS161" s="172">
        <f t="shared" si="86"/>
        <v>7.3277217391304355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6.3277217391304355</v>
      </c>
      <c r="AW162" s="172">
        <f t="shared" ref="AW162:BS162" si="89">IF(AW161&gt;1,AW161-1,0)</f>
        <v>6.269565217391305</v>
      </c>
      <c r="AX162" s="172">
        <f t="shared" si="89"/>
        <v>6.2114086956521746</v>
      </c>
      <c r="AY162" s="172">
        <f t="shared" si="89"/>
        <v>6.1823304347826094</v>
      </c>
      <c r="AZ162" s="172">
        <f t="shared" si="89"/>
        <v>6.1532521739130432</v>
      </c>
      <c r="BA162" s="172">
        <f t="shared" si="89"/>
        <v>6.124173913043478</v>
      </c>
      <c r="BB162" s="172">
        <f t="shared" si="89"/>
        <v>6.0950956521739137</v>
      </c>
      <c r="BC162" s="172">
        <f t="shared" si="89"/>
        <v>6.0660173913043476</v>
      </c>
      <c r="BD162" s="172">
        <f t="shared" si="89"/>
        <v>6.007860869565218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5.1355130434782623</v>
      </c>
      <c r="BP162" s="172">
        <f t="shared" si="89"/>
        <v>5.1355130434782623</v>
      </c>
      <c r="BQ162" s="172">
        <f t="shared" si="89"/>
        <v>6.3277217391304355</v>
      </c>
      <c r="BR162" s="172">
        <f t="shared" si="89"/>
        <v>6.3277217391304355</v>
      </c>
      <c r="BS162" s="172">
        <f t="shared" si="89"/>
        <v>6.3277217391304355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53.073513043478258</v>
      </c>
      <c r="AW163" s="61">
        <f t="shared" ref="AW163:BS163" si="92">AW147+AW148*AW162</f>
        <v>52.971739130434784</v>
      </c>
      <c r="AX163" s="61">
        <f t="shared" si="92"/>
        <v>52.869965217391304</v>
      </c>
      <c r="AY163" s="61">
        <f t="shared" si="92"/>
        <v>52.819078260869567</v>
      </c>
      <c r="AZ163" s="61">
        <f t="shared" si="92"/>
        <v>52.768191304347823</v>
      </c>
      <c r="BA163" s="61">
        <f t="shared" si="92"/>
        <v>31.717304347826087</v>
      </c>
      <c r="BB163" s="61">
        <f t="shared" si="92"/>
        <v>31.66641739130435</v>
      </c>
      <c r="BC163" s="61">
        <f t="shared" si="92"/>
        <v>31.615530434782606</v>
      </c>
      <c r="BD163" s="61">
        <f t="shared" si="92"/>
        <v>31.513756521739133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29.987147826086961</v>
      </c>
      <c r="BP163" s="61">
        <f t="shared" si="92"/>
        <v>50.987147826086961</v>
      </c>
      <c r="BQ163" s="61">
        <f t="shared" si="92"/>
        <v>53.073513043478258</v>
      </c>
      <c r="BR163" s="61">
        <f t="shared" si="92"/>
        <v>53.073513043478258</v>
      </c>
      <c r="BS163" s="61">
        <f t="shared" si="92"/>
        <v>53.073513043478258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7</v>
      </c>
      <c r="AW168" s="189">
        <f>IF(AW122&gt;0,HLOOKUP(AW122,[1]Trav!$C$11:$O$31,$AU$166),0)</f>
        <v>7</v>
      </c>
      <c r="AX168" s="189">
        <f>IF(AX122&gt;0,HLOOKUP(AX122,[1]Trav!$C$11:$O$31,$AU$166),0)</f>
        <v>7</v>
      </c>
      <c r="AY168" s="189">
        <f>IF(AY122&gt;0,HLOOKUP(AY122,[1]Trav!$C$11:$O$31,$AU$166),0)</f>
        <v>7</v>
      </c>
      <c r="AZ168" s="189">
        <f>IF(AZ122&gt;0,HLOOKUP(AZ122,[1]Trav!$C$11:$O$31,$AU$166),0)</f>
        <v>7</v>
      </c>
      <c r="BA168" s="189">
        <f>IF(BA122&gt;0,HLOOKUP(BA122,[1]Trav!$C$11:$O$31,$AU$166),0)</f>
        <v>7</v>
      </c>
      <c r="BB168" s="189">
        <f>IF(BB122&gt;0,HLOOKUP(BB122,[1]Trav!$C$11:$O$31,$AU$166),0)</f>
        <v>7</v>
      </c>
      <c r="BC168" s="189">
        <f>IF(BC122&gt;0,HLOOKUP(BC122,[1]Trav!$C$11:$O$31,$AU$166),0)</f>
        <v>7</v>
      </c>
      <c r="BD168" s="189">
        <f>IF(BD122&gt;0,HLOOKUP(BD122,[1]Trav!$C$11:$O$31,$AU$166),0)</f>
        <v>7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7</v>
      </c>
      <c r="BP168" s="189">
        <f>IF(BP122&gt;0,HLOOKUP(BP122,[1]Trav!$C$11:$O$31,$AU$166),0)</f>
        <v>7</v>
      </c>
      <c r="BQ168" s="189">
        <f>IF(BQ122&gt;0,HLOOKUP(BQ122,[1]Trav!$C$11:$O$31,$AU$166),0)</f>
        <v>7</v>
      </c>
      <c r="BR168" s="189">
        <f>IF(BR122&gt;0,HLOOKUP(BR122,[1]Trav!$C$11:$O$31,$AU$166),0)</f>
        <v>7</v>
      </c>
      <c r="BS168" s="189">
        <f>IF(BS122&gt;0,HLOOKUP(BS122,[1]Trav!$C$11:$O$31,$AU$166),0)</f>
        <v>7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7</v>
      </c>
      <c r="AW170" s="189">
        <f>IF(AW124&gt;0,HLOOKUP(AW124,[1]Trav!$C$11:$O$31,$AU$166),0)</f>
        <v>7</v>
      </c>
      <c r="AX170" s="189">
        <f>IF(AX124&gt;0,HLOOKUP(AX124,[1]Trav!$C$11:$O$31,$AU$166),0)</f>
        <v>7</v>
      </c>
      <c r="AY170" s="189">
        <f>IF(AY124&gt;0,HLOOKUP(AY124,[1]Trav!$C$11:$O$31,$AU$166),0)</f>
        <v>7</v>
      </c>
      <c r="AZ170" s="189">
        <f>IF(AZ124&gt;0,HLOOKUP(AZ124,[1]Trav!$C$11:$O$31,$AU$166),0)</f>
        <v>7</v>
      </c>
      <c r="BA170" s="189">
        <f>IF(BA124&gt;0,HLOOKUP(BA124,[1]Trav!$C$11:$O$31,$AU$166),0)</f>
        <v>7</v>
      </c>
      <c r="BB170" s="189">
        <f>IF(BB124&gt;0,HLOOKUP(BB124,[1]Trav!$C$11:$O$31,$AU$166),0)</f>
        <v>7</v>
      </c>
      <c r="BC170" s="189">
        <f>IF(BC124&gt;0,HLOOKUP(BC124,[1]Trav!$C$11:$O$31,$AU$166),0)</f>
        <v>7</v>
      </c>
      <c r="BD170" s="189">
        <f>IF(BD124&gt;0,HLOOKUP(BD124,[1]Trav!$C$11:$O$31,$AU$166),0)</f>
        <v>7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7</v>
      </c>
      <c r="BP170" s="189">
        <f>IF(BP124&gt;0,HLOOKUP(BP124,[1]Trav!$C$11:$O$31,$AU$166),0)</f>
        <v>7</v>
      </c>
      <c r="BQ170" s="189">
        <f>IF(BQ124&gt;0,HLOOKUP(BQ124,[1]Trav!$C$11:$O$31,$AU$166),0)</f>
        <v>7</v>
      </c>
      <c r="BR170" s="189">
        <f>IF(BR124&gt;0,HLOOKUP(BR124,[1]Trav!$C$11:$O$31,$AU$166),0)</f>
        <v>7</v>
      </c>
      <c r="BS170" s="189">
        <f>IF(BS124&gt;0,HLOOKUP(BS124,[1]Trav!$C$11:$O$31,$AU$166),0)</f>
        <v>7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0</v>
      </c>
      <c r="D183" s="263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1297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0</v>
      </c>
      <c r="D189" s="172">
        <f t="shared" si="101"/>
        <v>0</v>
      </c>
      <c r="AH189" s="15"/>
      <c r="AJ189" s="14" t="s">
        <v>1114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0</v>
      </c>
      <c r="D191" s="172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6.3</v>
      </c>
      <c r="AN191" s="172">
        <f>[1]Eco!$B$111</f>
        <v>28.3</v>
      </c>
      <c r="AO191" s="172">
        <f>AK191*AN191</f>
        <v>178.29</v>
      </c>
    </row>
    <row r="192" spans="1:132" x14ac:dyDescent="0.25">
      <c r="B192" s="14" t="s">
        <v>1307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2">
        <f>SUM(AO189:AO191)</f>
        <v>178.29</v>
      </c>
    </row>
    <row r="193" spans="1:43" x14ac:dyDescent="0.25">
      <c r="B193" s="14" t="s">
        <v>1309</v>
      </c>
      <c r="C193" s="172">
        <f>(Travail!F75+Travail!F76+Travail!F81)/8</f>
        <v>0</v>
      </c>
      <c r="D193" s="172">
        <f>C193</f>
        <v>0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178.29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178.29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0</v>
      </c>
      <c r="D210" s="263">
        <f>ROUND(AL207,0)</f>
        <v>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47683.199999999997</v>
      </c>
      <c r="D211" s="263">
        <f>ROUND(SUM(D201:D210),0)</f>
        <v>50601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0</v>
      </c>
      <c r="D219" s="260">
        <f t="shared" si="106"/>
        <v>0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0</v>
      </c>
      <c r="D220" s="263">
        <f>SUM(AN215:AN219)</f>
        <v>0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49216</v>
      </c>
      <c r="D221" s="263">
        <f>ROUND(SUM(D216:D220),0)</f>
        <v>54138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0</v>
      </c>
      <c r="D235" s="263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24853</v>
      </c>
      <c r="D236" s="263">
        <f>ROUND(SUM(D222:D235),0)</f>
        <v>26720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35500.199999999997</v>
      </c>
      <c r="D237" s="263">
        <f>D194+D211-D221-D236</f>
        <v>37818</v>
      </c>
    </row>
    <row r="238" spans="1:49" x14ac:dyDescent="0.25">
      <c r="B238" s="210" t="s">
        <v>1090</v>
      </c>
      <c r="C238" s="172">
        <f>ROUND(C237/Scénario!$K$4,0)</f>
        <v>23667</v>
      </c>
      <c r="D238" s="263">
        <f>ROUND(D237/D83,0)</f>
        <v>18909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0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24500</v>
      </c>
      <c r="D241" s="267">
        <f>ROUND(D237-D239-D240,0)</f>
        <v>26818</v>
      </c>
    </row>
    <row r="242" spans="1:15" x14ac:dyDescent="0.25">
      <c r="B242" s="210" t="s">
        <v>1094</v>
      </c>
      <c r="C242" s="172">
        <f>ROUND(C241/Scénario!K4,0)</f>
        <v>16333</v>
      </c>
      <c r="D242" s="263">
        <f>ROUND(D241/D83,0)</f>
        <v>13409</v>
      </c>
    </row>
    <row r="243" spans="1:15" x14ac:dyDescent="0.25">
      <c r="B243" s="210" t="s">
        <v>1357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10" t="s">
        <v>1358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1359</v>
      </c>
      <c r="B245" s="14" t="s">
        <v>568</v>
      </c>
      <c r="C245" s="269">
        <f>Travail!F5</f>
        <v>504</v>
      </c>
      <c r="D245" s="172">
        <f>C245</f>
        <v>504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858.85008695652186</v>
      </c>
      <c r="D248" s="263">
        <f>ROUND(SUM(AV163:BS163),1)</f>
        <v>879.6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50.4</v>
      </c>
      <c r="D251" s="172">
        <f>C251</f>
        <v>50.4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1369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1420</v>
      </c>
      <c r="C277" s="269">
        <f>Travail!F75+Travail!F81</f>
        <v>0</v>
      </c>
      <c r="D277" s="172">
        <f>C277</f>
        <v>0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2593</v>
      </c>
      <c r="D281" s="263">
        <f>ROUND(D245+D248+D251+D254+D257+D260+D261,0)</f>
        <v>2710</v>
      </c>
    </row>
    <row r="282" spans="1:4" x14ac:dyDescent="0.25">
      <c r="B282" s="14" t="s">
        <v>1372</v>
      </c>
      <c r="C282" s="172">
        <f>ROUND(C246+C249+C252+C255+C258,0)</f>
        <v>740</v>
      </c>
      <c r="D282" s="263">
        <f>ROUND(D246+D249+D252+D255+D258,0)</f>
        <v>750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8.5299999999999994</v>
      </c>
      <c r="D284" s="172">
        <f>ROUND(D281/(Troupeau!$B$17*G63),2)</f>
        <v>8.1</v>
      </c>
    </row>
    <row r="285" spans="1:4" x14ac:dyDescent="0.25">
      <c r="B285" s="14" t="s">
        <v>1375</v>
      </c>
      <c r="C285" s="172">
        <f>IF(Troupeau!$C$17=0,0,ROUND(C282/Troupeau!$C$17,2))</f>
        <v>32.17</v>
      </c>
      <c r="D285" s="172">
        <f>IF(Troupeau!$C$17=0,0,ROUND(D282/Troupeau!$C$17*G63,2))</f>
        <v>35.869999999999997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3333</v>
      </c>
      <c r="D287" s="263">
        <f>SUM(D281:D283)</f>
        <v>3460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0</v>
      </c>
      <c r="D290" s="276">
        <f>D275+D276+D277</f>
        <v>0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4241</v>
      </c>
      <c r="D292" s="263">
        <f>ROUND(SUM(D287:D291),0)</f>
        <v>4399</v>
      </c>
    </row>
    <row r="293" spans="2:4" x14ac:dyDescent="0.25">
      <c r="B293" s="14" t="s">
        <v>874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875</v>
      </c>
      <c r="C294" s="172">
        <f>ROUND((C292-C293)/C83,0)</f>
        <v>2827</v>
      </c>
      <c r="D294" s="172">
        <f>ROUND((D292-D293)/D83,0)</f>
        <v>2200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0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G54" sqref="G54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603</v>
      </c>
      <c r="C73" s="63">
        <f t="shared" ref="C73:Y73" si="28">ROUND(SUM(C63:C72),0)</f>
        <v>598</v>
      </c>
      <c r="D73" s="63">
        <f t="shared" si="28"/>
        <v>535</v>
      </c>
      <c r="E73" s="63">
        <f t="shared" si="28"/>
        <v>280</v>
      </c>
      <c r="F73" s="63">
        <f t="shared" si="28"/>
        <v>308</v>
      </c>
      <c r="G73" s="63">
        <f t="shared" si="28"/>
        <v>292</v>
      </c>
      <c r="H73" s="63">
        <f t="shared" si="28"/>
        <v>281</v>
      </c>
      <c r="I73" s="63">
        <f t="shared" si="28"/>
        <v>280</v>
      </c>
      <c r="J73" s="63">
        <f t="shared" si="28"/>
        <v>308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303</v>
      </c>
      <c r="V73" s="63">
        <f t="shared" si="28"/>
        <v>586</v>
      </c>
      <c r="W73" s="63">
        <f t="shared" si="28"/>
        <v>584</v>
      </c>
      <c r="X73" s="63">
        <f t="shared" si="28"/>
        <v>603</v>
      </c>
      <c r="Y73" s="63">
        <f t="shared" si="28"/>
        <v>603</v>
      </c>
      <c r="Z73" s="51"/>
      <c r="AA73" s="55">
        <f>ROUND(SUM(B73:Y73),0)</f>
        <v>7352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76" sqref="B76:Y78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2023-01-09T09:44:54Z</dcterms:modified>
</cp:coreProperties>
</file>