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tabRatio="661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278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D18" i="29" l="1"/>
  <c r="BE18" i="29" s="1"/>
  <c r="BF18" i="29" s="1"/>
  <c r="BH18" i="29" s="1"/>
  <c r="BD7" i="29"/>
  <c r="BE7" i="29" s="1"/>
  <c r="BF7" i="29" s="1"/>
  <c r="BL7" i="29" s="1"/>
  <c r="BG21" i="29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K14" i="29"/>
  <c r="BJ14" i="29"/>
  <c r="BL14" i="29"/>
  <c r="BG14" i="29"/>
  <c r="BI14" i="29"/>
  <c r="BG13" i="29"/>
  <c r="BL13" i="29"/>
  <c r="BK13" i="29"/>
  <c r="BG12" i="29"/>
  <c r="BI8" i="29"/>
  <c r="BJ8" i="29"/>
  <c r="BH8" i="29"/>
  <c r="BK8" i="29"/>
  <c r="BL8" i="29"/>
  <c r="BG8" i="29"/>
  <c r="BI17" i="29"/>
  <c r="BJ17" i="29"/>
  <c r="BG17" i="29"/>
  <c r="BK17" i="29"/>
  <c r="BL17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K18" i="29" l="1"/>
  <c r="BG18" i="29"/>
  <c r="BL18" i="29"/>
  <c r="BJ18" i="29"/>
  <c r="BI18" i="29"/>
  <c r="BK7" i="29"/>
  <c r="BH7" i="29"/>
  <c r="BG7" i="29"/>
  <c r="BJ7" i="29"/>
  <c r="BI7" i="29"/>
  <c r="BI19" i="29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F30" i="29"/>
  <c r="E30" i="29"/>
  <c r="D30" i="29"/>
  <c r="C30" i="29"/>
  <c r="Z29" i="29"/>
  <c r="Y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E92" i="30" s="1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S20" i="29"/>
  <c r="C20" i="29"/>
  <c r="S4" i="29"/>
  <c r="C4" i="29"/>
  <c r="S3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16" i="30" l="1"/>
  <c r="S8" i="29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BN99" i="30" s="1"/>
  <c r="BN100" i="30" s="1"/>
  <c r="BN101" i="30" s="1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AB24" i="28" l="1"/>
  <c r="P72" i="30"/>
  <c r="Y72" i="30"/>
  <c r="N72" i="30"/>
  <c r="J8" i="29"/>
  <c r="N8" i="29"/>
  <c r="R72" i="30"/>
  <c r="O8" i="29"/>
  <c r="O201" i="29" s="1"/>
  <c r="S72" i="30"/>
  <c r="K8" i="29"/>
  <c r="K201" i="29" s="1"/>
  <c r="O72" i="30"/>
  <c r="C8" i="29"/>
  <c r="C201" i="29" s="1"/>
  <c r="C212" i="29" s="1"/>
  <c r="G72" i="30"/>
  <c r="Y8" i="29"/>
  <c r="AC72" i="30"/>
  <c r="M72" i="30"/>
  <c r="I8" i="29"/>
  <c r="I201" i="29" s="1"/>
  <c r="T72" i="30"/>
  <c r="P8" i="29"/>
  <c r="P201" i="29" s="1"/>
  <c r="I72" i="30"/>
  <c r="E8" i="29"/>
  <c r="T8" i="29"/>
  <c r="X72" i="30"/>
  <c r="H72" i="30"/>
  <c r="D8" i="29"/>
  <c r="Z72" i="30"/>
  <c r="F8" i="29"/>
  <c r="F201" i="29" s="1"/>
  <c r="J72" i="30"/>
  <c r="L72" i="30"/>
  <c r="H8" i="29"/>
  <c r="W8" i="29"/>
  <c r="W201" i="29" s="1"/>
  <c r="AA72" i="30"/>
  <c r="G8" i="29"/>
  <c r="G201" i="29" s="1"/>
  <c r="K72" i="30"/>
  <c r="V72" i="30"/>
  <c r="R8" i="29"/>
  <c r="M8" i="29"/>
  <c r="Q72" i="30"/>
  <c r="X8" i="29"/>
  <c r="X201" i="29" s="1"/>
  <c r="AB72" i="30"/>
  <c r="U72" i="30"/>
  <c r="Q8" i="29"/>
  <c r="Q201" i="29" s="1"/>
  <c r="AD72" i="30"/>
  <c r="W72" i="30"/>
  <c r="Z24" i="28"/>
  <c r="W24" i="28"/>
  <c r="X24" i="28"/>
  <c r="X34" i="28" s="1"/>
  <c r="K35" i="28" s="1"/>
  <c r="C91" i="33" s="1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K224" i="33" l="1"/>
  <c r="AO224" i="33" s="1"/>
  <c r="C11" i="29"/>
  <c r="C13" i="29" s="1"/>
  <c r="F72" i="30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B109" i="30" l="1"/>
  <c r="B112" i="30" s="1"/>
  <c r="C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P78" i="33" l="1"/>
  <c r="BP154" i="33"/>
  <c r="BS78" i="33"/>
  <c r="BS154" i="33"/>
  <c r="AY78" i="33"/>
  <c r="AY124" i="33" s="1"/>
  <c r="AY170" i="33" s="1"/>
  <c r="AY154" i="33"/>
  <c r="BD78" i="33"/>
  <c r="BD124" i="33" s="1"/>
  <c r="BD170" i="33" s="1"/>
  <c r="BD154" i="33"/>
  <c r="BC78" i="33"/>
  <c r="BC154" i="33"/>
  <c r="AW78" i="33"/>
  <c r="AW154" i="33"/>
  <c r="BA78" i="33"/>
  <c r="BA124" i="33" s="1"/>
  <c r="BA170" i="33" s="1"/>
  <c r="BA154" i="33"/>
  <c r="AZ78" i="33"/>
  <c r="AZ124" i="33" s="1"/>
  <c r="AZ170" i="33" s="1"/>
  <c r="AZ154" i="33"/>
  <c r="BB78" i="33"/>
  <c r="BB154" i="33"/>
  <c r="BO78" i="33"/>
  <c r="BO154" i="33"/>
  <c r="BQ78" i="33"/>
  <c r="BQ124" i="33" s="1"/>
  <c r="BQ170" i="33" s="1"/>
  <c r="BQ154" i="33"/>
  <c r="AX78" i="33"/>
  <c r="AX135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X124" i="33" l="1"/>
  <c r="AX170" i="33" s="1"/>
  <c r="BC160" i="33"/>
  <c r="BC161" i="33" s="1"/>
  <c r="BC162" i="33" s="1"/>
  <c r="AY135" i="33"/>
  <c r="BA135" i="33"/>
  <c r="BQ135" i="33"/>
  <c r="BD135" i="33"/>
  <c r="AZ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J143" i="33" l="1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E146" i="33" l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R190" i="24"/>
  <c r="Q190" i="24"/>
  <c r="M190" i="24"/>
  <c r="L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62" i="24"/>
  <c r="P177" i="24"/>
  <c r="P185" i="24" s="1"/>
  <c r="P216" i="24" s="1"/>
  <c r="P190" i="24"/>
  <c r="P198" i="24" s="1"/>
  <c r="P217" i="24" s="1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M201" i="24"/>
  <c r="M211" i="24" s="1"/>
  <c r="M218" i="24" s="1"/>
  <c r="M162" i="24"/>
  <c r="M172" i="24" s="1"/>
  <c r="M215" i="24" s="1"/>
  <c r="N201" i="24"/>
  <c r="N211" i="24" s="1"/>
  <c r="N218" i="24" s="1"/>
  <c r="N162" i="24"/>
  <c r="N172" i="24" s="1"/>
  <c r="N215" i="24" s="1"/>
  <c r="Q172" i="24"/>
  <c r="Q215" i="24" s="1"/>
  <c r="S177" i="24"/>
  <c r="S190" i="24"/>
  <c r="S198" i="24" s="1"/>
  <c r="S217" i="24" s="1"/>
  <c r="J177" i="24"/>
  <c r="J190" i="24"/>
  <c r="J198" i="24" s="1"/>
  <c r="J217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R201" i="24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S185" i="24" l="1"/>
  <c r="S216" i="24" s="1"/>
  <c r="AA221" i="24"/>
  <c r="C301" i="33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T5" i="7"/>
  <c r="BB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67" i="31" l="1"/>
  <c r="J167" i="31" s="1"/>
  <c r="C235" i="33" s="1"/>
  <c r="C236" i="33" s="1"/>
  <c r="C192" i="33"/>
  <c r="C276" i="33" s="1"/>
  <c r="C293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<sst xmlns="http://schemas.openxmlformats.org/spreadsheetml/2006/main" count="3090" uniqueCount="1465">
  <si>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</si>
  <si>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</si>
  <si>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</si>
  <si>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</si>
  <si>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</si>
  <si>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</si>
  <si>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</si>
  <si>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</si>
  <si>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</si>
  <si>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</si>
  <si>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</si>
  <si>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</si>
  <si>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</si>
  <si>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</si>
  <si>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</si>
  <si>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</si>
  <si>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</si>
  <si>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</si>
  <si>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</si>
  <si>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</si>
  <si>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</si>
  <si>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</si>
  <si>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</si>
  <si>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</si>
  <si>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</si>
  <si>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</si>
  <si>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</si>
  <si>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</si>
  <si>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</si>
  <si>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</si>
  <si>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</si>
  <si>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</si>
  <si>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</si>
  <si>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</si>
  <si>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</si>
  <si>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</si>
  <si>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</si>
  <si>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</si>
  <si>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</si>
  <si>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</si>
  <si>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</si>
  <si>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</si>
  <si>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</si>
  <si>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</si>
  <si>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</si>
  <si>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</si>
  <si>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</si>
  <si>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</si>
  <si>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</si>
  <si>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</si>
  <si>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</si>
  <si>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</si>
  <si>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</si>
  <si>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</si>
  <si>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</si>
  <si>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</si>
  <si>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</si>
  <si>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</si>
  <si>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</si>
  <si>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</si>
  <si>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</si>
  <si>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</si>
  <si>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</si>
  <si>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</si>
  <si>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</si>
  <si>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</si>
  <si>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</si>
  <si>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</si>
  <si>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</si>
  <si>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</si>
  <si>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</si>
  <si>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</si>
  <si>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</si>
  <si>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</si>
  <si>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</si>
  <si>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</si>
  <si>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</si>
  <si>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</si>
  <si>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</si>
  <si>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</si>
  <si>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</si>
  <si>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</si>
  <si>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</si>
  <si>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</si>
  <si>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</si>
  <si>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</si>
  <si>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</si>
  <si>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</si>
  <si>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</si>
  <si>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</si>
  <si>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</si>
  <si>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</si>
  <si>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</si>
  <si>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</si>
  <si>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</si>
  <si>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</si>
  <si>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</si>
  <si>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</si>
  <si>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</si>
  <si>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</si>
  <si>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</si>
  <si>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</si>
  <si>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</si>
  <si>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</si>
  <si>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</si>
  <si>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</si>
  <si>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</si>
  <si>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</si>
  <si>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</si>
  <si>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</si>
  <si>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</si>
  <si>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</si>
  <si>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</si>
  <si>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</si>
  <si>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</si>
  <si>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</si>
  <si>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</si>
  <si>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</si>
  <si>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</si>
  <si>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</si>
  <si>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</si>
  <si>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</si>
  <si>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</si>
  <si>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</si>
  <si>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</si>
  <si>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</si>
  <si>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</si>
  <si>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</si>
  <si>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</si>
  <si>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</si>
  <si>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</si>
  <si>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</si>
  <si>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</si>
  <si>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</si>
  <si>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</si>
  <si>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</si>
  <si>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</si>
  <si>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</si>
  <si>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</si>
  <si>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</si>
  <si>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</si>
  <si>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</si>
  <si>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</si>
  <si>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</si>
  <si>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</si>
  <si>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</si>
  <si>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</si>
  <si>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</si>
  <si>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</si>
  <si>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</si>
  <si>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</si>
  <si>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</si>
  <si>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</si>
  <si>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</si>
  <si>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</si>
  <si>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</si>
  <si>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</si>
  <si>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</si>
  <si>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</si>
  <si>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</si>
  <si>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</si>
  <si>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</si>
  <si>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</si>
  <si>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</si>
  <si>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</si>
  <si>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</si>
  <si>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</si>
  <si>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</si>
  <si>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</si>
  <si>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</si>
  <si>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</si>
  <si>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</si>
  <si>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</si>
  <si>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</si>
  <si>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</si>
  <si>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</si>
  <si>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</si>
  <si>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</si>
  <si>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</si>
  <si>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</si>
  <si>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</si>
  <si>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</si>
  <si>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</si>
  <si>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</si>
  <si>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</si>
  <si>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</si>
  <si>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</si>
  <si>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</si>
  <si>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</si>
  <si>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</si>
  <si>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</si>
  <si>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</si>
  <si>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</si>
  <si>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</si>
  <si>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</si>
  <si>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</si>
  <si>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</si>
  <si>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</si>
  <si>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</si>
  <si>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</si>
  <si>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</si>
  <si>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</si>
  <si>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</si>
  <si>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</si>
  <si>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</si>
  <si>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</si>
  <si>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</si>
  <si>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</si>
  <si>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</si>
  <si>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</si>
  <si>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</si>
  <si>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</si>
  <si>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</si>
  <si>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</si>
  <si>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</si>
  <si>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</si>
  <si>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</si>
  <si>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</si>
  <si>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</si>
  <si>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</si>
  <si>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</si>
  <si>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</si>
  <si>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</si>
  <si>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</si>
  <si>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</si>
  <si>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</si>
  <si>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</si>
  <si>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</si>
  <si>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</si>
  <si>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</si>
  <si>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</si>
  <si>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</si>
  <si>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</si>
  <si>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</si>
  <si>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</si>
  <si>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</si>
  <si>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</si>
  <si>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</si>
  <si>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</si>
  <si>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</si>
  <si>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</si>
  <si>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</si>
  <si>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</si>
  <si>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</si>
  <si>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</si>
  <si>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</si>
  <si>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</si>
  <si>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</si>
  <si>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</si>
  <si>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</si>
  <si>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</si>
  <si>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</si>
  <si>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</si>
  <si>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</si>
  <si>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</si>
  <si>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</si>
  <si>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</si>
  <si>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</si>
  <si>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</si>
  <si>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</si>
  <si>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</si>
  <si>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</si>
  <si>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</si>
  <si>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</si>
  <si>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</si>
  <si>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</si>
  <si>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</si>
  <si>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</si>
  <si>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</si>
  <si>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</si>
  <si>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</si>
  <si>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</si>
  <si>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</si>
  <si>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</si>
  <si>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</si>
  <si>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</si>
  <si>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</si>
  <si>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</si>
  <si>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</si>
  <si>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</si>
  <si>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</si>
  <si>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</si>
  <si>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</si>
  <si>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</si>
  <si>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</si>
  <si>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</si>
  <si>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</si>
  <si>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</si>
  <si>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</si>
  <si>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</si>
  <si>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</si>
  <si>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</si>
  <si>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</si>
  <si>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</si>
  <si>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</si>
  <si>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</si>
  <si>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</si>
  <si>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</si>
  <si>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</si>
  <si>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</si>
  <si>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</si>
  <si>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</si>
  <si>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</si>
  <si>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</si>
  <si>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</si>
  <si>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</si>
  <si>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</si>
  <si>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</si>
  <si>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</si>
  <si>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</si>
  <si>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</si>
  <si>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</si>
  <si>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</si>
  <si>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</si>
  <si>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</si>
  <si>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</si>
  <si>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</si>
  <si>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</si>
  <si>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</si>
  <si>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</si>
  <si>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</si>
  <si>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</si>
  <si>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</si>
  <si>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</si>
  <si>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</si>
  <si>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</si>
  <si>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</si>
  <si>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</si>
  <si>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</si>
  <si>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</si>
  <si>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</si>
  <si>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</si>
  <si>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</si>
  <si>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</si>
  <si>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</si>
  <si>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</si>
  <si>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</si>
  <si>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</si>
  <si>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</si>
  <si>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</si>
  <si>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</si>
  <si>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</si>
  <si>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</si>
  <si>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</si>
  <si>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</si>
  <si>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</si>
  <si>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</si>
  <si>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</si>
  <si>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</si>
  <si>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</si>
  <si>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</si>
  <si>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</si>
  <si>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</si>
  <si>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</si>
  <si>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</si>
  <si>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</si>
  <si>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</si>
  <si>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</si>
  <si>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</si>
  <si>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</si>
  <si>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</si>
  <si>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</si>
  <si>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</si>
  <si>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</si>
  <si>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</si>
  <si>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</si>
  <si>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</si>
  <si>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</si>
  <si>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</si>
  <si>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</si>
  <si>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</si>
  <si>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</si>
  <si>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</si>
  <si>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</si>
  <si>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</si>
  <si>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</si>
  <si>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</si>
  <si>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</si>
  <si>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</si>
  <si>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</si>
  <si>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</si>
  <si>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</si>
  <si>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</si>
  <si>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</si>
  <si>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</si>
  <si>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</si>
  <si>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</si>
  <si>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</si>
  <si>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</si>
  <si>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</si>
  <si>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</si>
  <si>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</si>
  <si>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</si>
  <si>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</si>
  <si>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</si>
  <si>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</si>
  <si>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</si>
  <si>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</si>
  <si>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</si>
  <si>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</si>
  <si>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</si>
  <si>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</si>
  <si>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</si>
  <si>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</si>
  <si>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</si>
  <si>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</si>
  <si>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</si>
  <si>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</si>
  <si>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</si>
  <si>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</si>
  <si>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</si>
  <si>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</si>
  <si>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</si>
  <si>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</si>
  <si>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</si>
  <si>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</si>
  <si>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</si>
  <si>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</si>
  <si>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</si>
  <si>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</si>
  <si>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</si>
  <si>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</si>
  <si>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</si>
  <si>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</si>
  <si>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</si>
  <si>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</si>
  <si>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</si>
  <si>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</si>
  <si>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</si>
  <si>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</si>
  <si>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</si>
  <si>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</si>
  <si>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</si>
  <si>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</si>
  <si>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</si>
  <si>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</si>
  <si>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</si>
  <si>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</si>
  <si>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</si>
  <si>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</si>
  <si>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</si>
  <si>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</si>
  <si>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</si>
  <si>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</si>
  <si>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</si>
  <si>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</si>
  <si>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</si>
  <si>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</si>
  <si>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</si>
  <si>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</si>
  <si>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</si>
  <si>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</si>
  <si>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</si>
  <si>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</si>
  <si>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</si>
  <si>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</si>
  <si>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</si>
  <si>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</si>
  <si>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</si>
  <si>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</si>
  <si>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</si>
  <si>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</si>
  <si>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</si>
  <si>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</si>
  <si>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</si>
  <si>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</si>
  <si>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</si>
  <si>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</si>
  <si>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</si>
  <si>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</si>
  <si>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</si>
  <si>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</si>
  <si>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</si>
  <si>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</si>
  <si>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</si>
  <si>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</si>
  <si>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</si>
  <si>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</si>
  <si>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</si>
  <si>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</si>
  <si>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</si>
  <si>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</si>
  <si>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</si>
  <si>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</si>
  <si>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</si>
  <si>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</si>
  <si>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</si>
  <si>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</si>
  <si>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</si>
  <si>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</si>
  <si>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</si>
  <si>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</si>
  <si>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</si>
  <si>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</si>
  <si>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</si>
  <si>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</si>
  <si>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</si>
  <si>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</si>
  <si>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</si>
  <si>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</si>
  <si>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</si>
  <si>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</si>
  <si>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</si>
  <si>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</si>
  <si>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</si>
  <si>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</si>
  <si>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</si>
  <si>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</si>
  <si>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</si>
  <si>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</si>
  <si>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</si>
  <si>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</si>
  <si>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</si>
  <si>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</si>
  <si>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</si>
  <si>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</si>
  <si>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</si>
  <si>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</si>
  <si>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</si>
  <si>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</si>
  <si>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</si>
  <si>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</si>
  <si>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</si>
  <si>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</si>
  <si>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</si>
  <si>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</si>
  <si>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</si>
  <si>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</si>
  <si>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</si>
  <si>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</si>
  <si>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</si>
  <si>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</si>
  <si>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</si>
  <si>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</si>
  <si>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</si>
  <si>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</si>
  <si>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</si>
  <si>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</si>
  <si>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</si>
  <si>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</si>
  <si>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</si>
  <si>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</si>
  <si>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</si>
  <si>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</si>
  <si>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</si>
  <si>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</si>
  <si>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</si>
  <si>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</si>
  <si>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</si>
  <si>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</si>
  <si>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</si>
  <si>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</si>
  <si>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</si>
  <si>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</si>
  <si>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</si>
  <si>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</si>
  <si>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</si>
  <si>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</si>
  <si>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</si>
  <si>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</si>
  <si>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</si>
  <si>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</si>
  <si>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</si>
  <si>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</si>
  <si>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</si>
  <si>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</si>
  <si>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</si>
  <si>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</si>
  <si>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</si>
  <si>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</si>
  <si>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</si>
  <si>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</si>
  <si>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</si>
  <si>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</si>
  <si>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</si>
  <si>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</si>
  <si>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</si>
  <si>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</si>
  <si>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</si>
  <si>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</si>
  <si>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</si>
  <si>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</si>
  <si>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</si>
  <si>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</si>
  <si>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</si>
  <si>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</si>
  <si>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</si>
  <si>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</si>
  <si>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</si>
  <si>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</si>
  <si>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</si>
  <si>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</si>
  <si>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</si>
  <si>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</si>
  <si>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</si>
  <si>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</si>
  <si>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</si>
  <si>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</si>
  <si>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</si>
  <si>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</si>
  <si>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</si>
  <si>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</si>
  <si>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</si>
  <si>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</si>
  <si>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</si>
  <si>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</si>
  <si>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</si>
  <si>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</si>
  <si>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</si>
  <si>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</si>
  <si>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</si>
  <si>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</si>
  <si>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</si>
  <si>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</si>
  <si>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</si>
  <si>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</si>
  <si>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</si>
  <si>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</si>
  <si>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</si>
  <si>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</si>
  <si>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</si>
  <si>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</si>
  <si>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</si>
  <si>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</si>
  <si>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</si>
  <si>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</si>
  <si>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</si>
  <si>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</si>
  <si>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</si>
  <si>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</si>
  <si>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</si>
  <si>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</si>
  <si>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</si>
  <si>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</si>
  <si>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</si>
  <si>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</si>
  <si>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</si>
  <si>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</si>
  <si>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</si>
  <si>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</si>
  <si>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</si>
  <si>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</si>
  <si>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</si>
  <si>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</si>
  <si>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</si>
  <si>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</si>
  <si>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</si>
  <si>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</si>
  <si>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</si>
  <si>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</si>
  <si>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</si>
  <si>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</si>
  <si>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</si>
  <si>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</si>
  <si>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</si>
  <si>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</si>
  <si>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</si>
  <si>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</si>
  <si>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</si>
  <si>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</si>
  <si>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</si>
  <si>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</si>
  <si>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</si>
  <si>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</si>
  <si>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</si>
  <si>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</si>
  <si>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</si>
  <si>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</si>
  <si>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</si>
  <si>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</si>
  <si>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</si>
  <si>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</si>
  <si>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</si>
  <si>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</si>
  <si>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</si>
  <si>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</si>
  <si>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</si>
  <si>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</si>
  <si>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</si>
  <si>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</si>
  <si>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</si>
  <si>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</si>
  <si>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</si>
  <si>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</si>
  <si>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</si>
  <si>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</si>
  <si>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</si>
  <si>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</si>
  <si>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</si>
  <si>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</si>
  <si>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</si>
  <si>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</si>
  <si>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</si>
  <si>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</si>
  <si>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</si>
  <si>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</si>
  <si>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</si>
  <si>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</si>
  <si>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</si>
  <si>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</si>
  <si>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</si>
  <si>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</si>
  <si>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</si>
  <si>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</si>
  <si>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</si>
  <si>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</si>
  <si>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</si>
  <si>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</si>
  <si>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</si>
  <si>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</si>
  <si>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</si>
  <si>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</si>
  <si>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</si>
  <si>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</si>
  <si>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</si>
  <si>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</si>
  <si>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</si>
  <si>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</si>
  <si>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</si>
  <si>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</si>
  <si>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</si>
  <si>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</si>
  <si>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</si>
  <si>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</si>
  <si>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</si>
  <si>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</si>
  <si>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</si>
  <si>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</si>
  <si>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</si>
  <si>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</si>
  <si>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</si>
  <si>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</si>
  <si>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</si>
  <si>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</si>
  <si>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</si>
  <si>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</si>
  <si>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</si>
  <si>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</si>
  <si>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</si>
  <si>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</si>
  <si>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</si>
  <si>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</si>
  <si>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</si>
  <si>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</si>
  <si>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</si>
  <si>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</si>
  <si>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</si>
  <si>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</si>
  <si>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</si>
  <si>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</si>
  <si>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</si>
  <si>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</si>
  <si>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</si>
  <si>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</si>
  <si>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</si>
  <si>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</si>
  <si>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</si>
  <si>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</si>
  <si>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</si>
  <si>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</si>
  <si>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</si>
  <si>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</si>
  <si>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</si>
  <si>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</si>
  <si>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</si>
  <si>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</si>
  <si>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</si>
  <si>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</si>
  <si>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</si>
  <si>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</si>
  <si>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</si>
  <si>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</si>
  <si>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</si>
  <si>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</si>
  <si>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</si>
  <si>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</si>
  <si>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</si>
  <si>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</si>
  <si>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</si>
  <si>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</si>
  <si>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</si>
  <si>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</si>
  <si>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</si>
  <si>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</si>
  <si>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</si>
  <si>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</si>
  <si>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</si>
  <si>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</si>
  <si>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</si>
  <si>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</si>
  <si>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</si>
  <si>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</si>
  <si>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</si>
  <si>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</si>
  <si>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</si>
  <si>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</si>
  <si>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</si>
  <si>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</si>
  <si>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</si>
  <si>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</si>
  <si>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</si>
  <si>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</si>
  <si>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</si>
  <si>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</si>
  <si>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</si>
  <si>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</si>
  <si>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</si>
  <si>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</si>
  <si>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</si>
  <si>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</si>
  <si>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</si>
  <si>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</si>
  <si>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</si>
  <si>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</si>
  <si>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</si>
  <si>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</si>
  <si>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</si>
  <si>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</si>
  <si>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</si>
  <si>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</si>
  <si>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</si>
  <si>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</si>
  <si>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</si>
  <si>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</si>
  <si>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</si>
  <si>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</si>
  <si>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</si>
  <si>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</si>
  <si>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</si>
  <si>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</si>
  <si>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</si>
  <si>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</si>
  <si>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</si>
  <si>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</si>
  <si>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</si>
  <si>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</si>
  <si>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</si>
  <si>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</si>
  <si>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</si>
  <si>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</si>
  <si>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</si>
  <si>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</si>
  <si>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</si>
  <si>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</si>
  <si>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</si>
  <si>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</si>
  <si>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</si>
  <si>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</si>
  <si>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</si>
  <si>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</si>
  <si>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</si>
  <si>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</si>
  <si>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</si>
  <si>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</si>
  <si>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</si>
  <si>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</si>
  <si>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</si>
  <si>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</si>
  <si>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</si>
  <si>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</si>
  <si>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</si>
  <si>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</si>
  <si>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</si>
  <si>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</si>
  <si>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</si>
  <si>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</si>
  <si>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</si>
  <si>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</si>
  <si>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</si>
  <si>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</si>
  <si>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</si>
  <si>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</si>
  <si>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</si>
  <si>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</si>
  <si>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</si>
  <si>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</si>
  <si>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</si>
  <si>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</si>
  <si>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</si>
  <si>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</si>
  <si>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</si>
  <si>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</si>
  <si>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</si>
  <si>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</si>
  <si>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</si>
  <si>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</si>
  <si>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</si>
  <si>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</si>
  <si>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</si>
  <si>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</si>
  <si>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</si>
  <si>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</si>
  <si>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</si>
  <si>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</si>
  <si>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</si>
  <si>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</si>
  <si>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</si>
  <si>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</si>
  <si>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</si>
  <si>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</si>
  <si>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</si>
  <si>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</si>
  <si>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</si>
  <si>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</si>
  <si>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</si>
  <si>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</si>
  <si>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</si>
  <si>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</si>
  <si>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</si>
  <si>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</si>
  <si>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</si>
  <si>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</si>
  <si>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</si>
  <si>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</si>
  <si>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</si>
  <si>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</si>
  <si>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</si>
  <si>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</si>
  <si>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</si>
  <si>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</si>
  <si>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</si>
  <si>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</si>
  <si>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</si>
  <si>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</si>
  <si>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</si>
  <si>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</si>
  <si>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</si>
  <si>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</si>
  <si>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</si>
  <si>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</si>
  <si>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</si>
  <si>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</si>
  <si>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</si>
  <si>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</si>
  <si>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</si>
  <si>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</si>
  <si>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</si>
  <si>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</si>
  <si>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</si>
  <si>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</si>
  <si>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</si>
  <si>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</si>
  <si>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</si>
  <si>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</si>
  <si>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</si>
  <si>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</si>
  <si>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</si>
  <si>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</si>
  <si>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</si>
  <si>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</si>
  <si>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</si>
  <si>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</si>
  <si>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</si>
  <si>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</si>
  <si>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</si>
  <si>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</si>
  <si>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</si>
  <si>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</si>
  <si>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</si>
  <si>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</si>
  <si>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</si>
  <si>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</si>
  <si>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</si>
  <si>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</si>
  <si>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</si>
  <si>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</si>
  <si>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</si>
  <si>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</si>
  <si>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</si>
  <si>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</si>
  <si>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</si>
  <si>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</si>
  <si>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</si>
  <si>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</si>
  <si>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</si>
  <si>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</si>
  <si>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</si>
  <si>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</si>
  <si>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</si>
  <si>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</si>
  <si>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</si>
  <si>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</si>
  <si>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</si>
  <si>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</si>
  <si>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</si>
  <si>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</si>
  <si>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</si>
  <si>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</si>
  <si>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</si>
  <si>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</si>
  <si>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</si>
  <si>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</si>
  <si>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</si>
  <si>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</si>
  <si>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</si>
  <si>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</si>
  <si>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</si>
  <si>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</si>
  <si>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</si>
  <si>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</si>
  <si>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</si>
  <si>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</si>
  <si>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</si>
  <si>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</si>
  <si>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</si>
  <si>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</si>
  <si>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</si>
  <si>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</si>
  <si>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</si>
  <si>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</si>
  <si>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</si>
  <si>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</si>
  <si>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</si>
  <si>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</si>
  <si>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</si>
  <si>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</si>
  <si>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</si>
  <si>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</si>
  <si>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</si>
  <si>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</si>
  <si>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</si>
  <si>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</si>
  <si>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</si>
  <si>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</si>
  <si>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</si>
  <si>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</si>
  <si>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</si>
  <si>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</si>
  <si>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</si>
  <si>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</si>
  <si>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</si>
  <si>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</si>
  <si>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</si>
  <si>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</si>
  <si>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</si>
  <si>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</si>
  <si>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</si>
  <si>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</si>
  <si>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</si>
  <si>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</si>
  <si>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</si>
  <si>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</si>
  <si>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</si>
  <si>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</si>
  <si>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</si>
  <si>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</si>
  <si>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</si>
  <si>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</si>
  <si>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</si>
  <si>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</si>
  <si>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</si>
  <si>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</si>
  <si>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</si>
  <si>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</si>
  <si>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</si>
  <si>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</si>
  <si>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</si>
  <si>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</si>
  <si>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</si>
  <si>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</si>
  <si>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</si>
  <si>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</si>
  <si>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</si>
  <si>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</si>
  <si>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</si>
  <si>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</si>
  <si>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</si>
  <si>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</si>
  <si>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</si>
  <si>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</si>
  <si>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</si>
  <si>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</si>
  <si>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</si>
  <si>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</si>
  <si>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</si>
  <si>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</si>
  <si>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</si>
  <si>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</si>
  <si>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</si>
  <si>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</si>
  <si>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</si>
  <si>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</si>
  <si>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</si>
  <si>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</si>
  <si>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</si>
  <si>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</si>
  <si>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</si>
  <si>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</si>
  <si>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</si>
  <si>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</si>
  <si>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</si>
  <si>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</si>
  <si>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</si>
  <si>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</si>
  <si>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</si>
  <si>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</si>
  <si>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</si>
  <si>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</si>
  <si>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</si>
  <si>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</si>
  <si>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</si>
  <si>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</si>
  <si>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</si>
  <si>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</si>
  <si>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</si>
  <si>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</si>
  <si>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</si>
  <si>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</si>
  <si>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</si>
  <si>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</si>
  <si>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</si>
  <si>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</si>
  <si>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</si>
  <si>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</si>
  <si>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</si>
  <si>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</si>
  <si>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</si>
  <si>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</si>
  <si>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</si>
  <si>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</si>
  <si>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</si>
  <si>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</si>
  <si>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</si>
  <si>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</si>
  <si>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</si>
  <si>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</si>
  <si>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</si>
  <si>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</si>
  <si>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</si>
  <si>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</si>
  <si>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</si>
  <si>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</si>
  <si>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</si>
  <si>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</si>
  <si>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</si>
  <si>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</si>
  <si>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</si>
  <si>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</si>
  <si>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</si>
  <si>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</si>
  <si>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</si>
  <si>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</si>
  <si>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</si>
  <si>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</si>
  <si>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</si>
  <si>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</si>
  <si>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</si>
  <si>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</si>
  <si>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</si>
  <si>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</si>
  <si>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</si>
  <si>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</si>
  <si>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</si>
  <si>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</si>
  <si>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</si>
  <si>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</si>
  <si>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</si>
  <si>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</si>
  <si>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</si>
  <si>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</si>
  <si>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</si>
  <si>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</si>
  <si>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</si>
  <si>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</si>
  <si>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</si>
  <si>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</si>
  <si>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</si>
  <si>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</si>
  <si>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</si>
  <si>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</si>
  <si>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</si>
  <si>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</si>
  <si>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</si>
  <si>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</si>
  <si>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</si>
  <si>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</si>
  <si>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</si>
  <si>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</si>
  <si>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</si>
  <si>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</si>
  <si>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</si>
  <si>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</si>
  <si>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</si>
  <si>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</si>
  <si>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</si>
  <si>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</si>
  <si>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</si>
  <si>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</si>
  <si>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</si>
  <si>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</si>
  <si>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</si>
  <si>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</si>
  <si>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</si>
  <si>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</si>
  <si>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</si>
  <si>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</si>
  <si>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</si>
  <si>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</si>
  <si>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</si>
  <si>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</si>
  <si>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</si>
  <si>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</si>
  <si>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</si>
  <si>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</si>
  <si>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</si>
  <si>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</si>
  <si>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</si>
  <si>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</si>
  <si>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</si>
  <si>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</si>
  <si>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</si>
  <si>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</si>
  <si>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</si>
  <si>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</si>
  <si>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</si>
  <si>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</si>
  <si>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</si>
  <si>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</si>
  <si>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</si>
  <si>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</si>
  <si>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</si>
  <si>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</si>
  <si>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</si>
  <si>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</si>
  <si>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</si>
  <si>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</si>
  <si>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</si>
  <si>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</si>
  <si>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</si>
  <si>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</si>
  <si>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</si>
  <si>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</si>
  <si>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</si>
  <si>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</si>
  <si>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</si>
  <si>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</si>
  <si>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</si>
  <si>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</si>
  <si>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</si>
  <si>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</si>
  <si>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</si>
  <si>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</si>
  <si>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</si>
  <si>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</si>
  <si>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</si>
  <si>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</si>
  <si>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</si>
  <si>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</si>
  <si>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</si>
  <si>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</si>
  <si>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</si>
  <si>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</si>
  <si>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</si>
  <si>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</si>
  <si>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</si>
  <si>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</si>
  <si>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</si>
  <si>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</si>
  <si>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</si>
  <si>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</si>
  <si>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</si>
  <si>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</si>
  <si>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</si>
  <si>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</si>
  <si>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</si>
  <si>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</si>
  <si>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</si>
  <si>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</si>
  <si>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</si>
  <si>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</si>
  <si>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</si>
  <si>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</si>
  <si>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</si>
  <si>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</si>
  <si>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</si>
  <si>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</si>
  <si>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</si>
  <si>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</si>
  <si>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</si>
  <si>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</si>
  <si>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</si>
  <si>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</si>
  <si>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</si>
  <si>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</si>
  <si>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</si>
  <si>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</si>
  <si>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</si>
  <si>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</si>
  <si>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</si>
  <si>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</si>
  <si>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</si>
  <si>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</si>
  <si>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</si>
  <si>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</si>
  <si>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</si>
  <si>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</si>
  <si>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</si>
  <si>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</si>
  <si>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</si>
  <si>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</si>
  <si>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</si>
  <si>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</si>
  <si>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</si>
  <si>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</si>
  <si>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</si>
  <si>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</si>
  <si>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</si>
  <si>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</si>
  <si>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</si>
  <si>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</si>
  <si>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</si>
  <si>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</si>
  <si>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</si>
  <si>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</si>
  <si>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</si>
  <si>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</si>
  <si>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</si>
  <si>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</si>
  <si>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</si>
  <si>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</si>
  <si>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</si>
  <si>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</si>
  <si>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</si>
  <si>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</si>
  <si>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</si>
  <si>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</si>
  <si>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</si>
  <si>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</si>
  <si>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</si>
  <si>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</si>
  <si>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</si>
  <si>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</si>
  <si>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</si>
  <si>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</si>
  <si>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</si>
  <si>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</si>
  <si>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</si>
  <si>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</si>
  <si>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</si>
  <si>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</si>
  <si>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</si>
  <si>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</si>
  <si>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</si>
  <si>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</si>
  <si>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</si>
  <si>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</si>
  <si>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</si>
  <si>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</si>
  <si>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</si>
  <si>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</si>
  <si>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</si>
  <si>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</si>
  <si>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</si>
  <si>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</si>
  <si>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</si>
  <si>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</si>
  <si>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</si>
  <si>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</si>
  <si>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</si>
  <si>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</si>
  <si>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</si>
  <si>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</si>
  <si>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</si>
  <si>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</si>
  <si>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</si>
  <si>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</si>
  <si>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</si>
  <si>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</si>
  <si>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</si>
  <si>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</si>
  <si>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</si>
  <si>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</si>
  <si>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</si>
  <si>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</si>
  <si>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</si>
  <si>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</si>
  <si>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</si>
  <si>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</si>
  <si>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</si>
  <si>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</si>
  <si>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</si>
  <si>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</si>
  <si>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</si>
  <si>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</si>
  <si>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</si>
  <si>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</si>
  <si>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</si>
  <si>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</si>
  <si>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</si>
  <si>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</si>
  <si>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</si>
  <si>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</si>
  <si>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</si>
  <si>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</si>
  <si>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</si>
  <si>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</si>
  <si>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</si>
  <si>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</si>
  <si>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</si>
  <si>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</si>
  <si>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</si>
  <si>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</si>
  <si>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</si>
  <si>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</si>
  <si>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</si>
  <si>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</si>
  <si>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</si>
  <si>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</si>
  <si>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</si>
  <si>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</si>
  <si>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</si>
  <si>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</si>
  <si>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</si>
  <si>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</si>
  <si>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</si>
  <si>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</si>
  <si>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</si>
  <si>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</si>
  <si>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</si>
  <si>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</si>
  <si>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</si>
  <si>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</si>
  <si>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</si>
  <si>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</si>
  <si>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</si>
  <si>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</si>
  <si>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</si>
  <si>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</si>
  <si>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</si>
  <si>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</si>
  <si>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</si>
  <si>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</si>
  <si>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</si>
  <si>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</si>
  <si>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</si>
  <si>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</si>
  <si>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</si>
  <si>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</si>
  <si>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</si>
  <si>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</si>
  <si>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</si>
  <si>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</si>
  <si>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</si>
  <si>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</si>
  <si>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</si>
  <si>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</si>
  <si>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</si>
  <si>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</si>
  <si>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</si>
  <si>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</si>
  <si>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</si>
  <si>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</si>
  <si>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</si>
  <si>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</si>
  <si>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</si>
  <si>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</si>
  <si>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</si>
  <si>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</si>
  <si>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</si>
  <si>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</si>
  <si>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</si>
  <si>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</si>
  <si>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</si>
  <si>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choix moyen de protection sur ESTIVE pour OL</t>
  </si>
  <si>
    <t>Z1_OLBV_T3_MC2s2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</si>
</sst>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7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179.33247142984314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0.70843895652173916</v>
      </c>
      <c r="H5" s="142">
        <f>CdTrp1!C215+CdTrp2!C215+CdTrp3!C215+CdTrp4!C215</f>
        <v>0.70843895652173916</v>
      </c>
      <c r="I5" s="142">
        <f>CdTrp1!D215+CdTrp2!D215+CdTrp3!D215+CdTrp4!D215</f>
        <v>0.63988034782608705</v>
      </c>
      <c r="J5" s="142">
        <f>CdTrp1!E215+CdTrp2!E215+CdTrp3!E215+CdTrp4!E215</f>
        <v>0.63988034782608705</v>
      </c>
      <c r="K5" s="142">
        <f>CdTrp1!F215+CdTrp2!F215+CdTrp3!F215+CdTrp4!F215</f>
        <v>0.70843895652173916</v>
      </c>
      <c r="L5" s="142">
        <f>CdTrp1!G215+CdTrp2!G215+CdTrp3!G215+CdTrp4!G215</f>
        <v>2.6886290942608699</v>
      </c>
      <c r="M5" s="142">
        <f>CdTrp1!H215+CdTrp2!H215+CdTrp3!H215+CdTrp4!H215</f>
        <v>2.588417780869567</v>
      </c>
      <c r="N5" s="142">
        <f>CdTrp1!I215+CdTrp2!I215+CdTrp3!I215+CdTrp4!I215</f>
        <v>2.5749364382608704</v>
      </c>
      <c r="O5" s="142">
        <f>CdTrp1!J215+CdTrp2!J215+CdTrp3!J215+CdTrp4!J215</f>
        <v>5.6487179614782619</v>
      </c>
      <c r="P5" s="142">
        <f>CdTrp1!K215+CdTrp2!K215+CdTrp3!K215+CdTrp4!K215</f>
        <v>6.7724168734782619</v>
      </c>
      <c r="Q5" s="142">
        <f>CdTrp1!L215+CdTrp2!L215+CdTrp3!L215+CdTrp4!L215</f>
        <v>6.5539518130434793</v>
      </c>
      <c r="R5" s="142">
        <f>CdTrp1!M215+CdTrp2!M215+CdTrp3!M215+CdTrp4!M215</f>
        <v>3.8566979347826091</v>
      </c>
      <c r="S5" s="142">
        <f>CdTrp1!N215+CdTrp2!N215+CdTrp3!N215+CdTrp4!N215</f>
        <v>3.9852545326086961</v>
      </c>
      <c r="T5" s="142">
        <f>CdTrp1!O215+CdTrp2!O215+CdTrp3!O215+CdTrp4!O215</f>
        <v>3.9852545326086961</v>
      </c>
      <c r="U5" s="142">
        <f>CdTrp1!P215+CdTrp2!P215+CdTrp3!P215+CdTrp4!P215</f>
        <v>3.9852545326086961</v>
      </c>
      <c r="V5" s="142">
        <f>CdTrp1!Q215+CdTrp2!Q215+CdTrp3!Q215+CdTrp4!Q215</f>
        <v>3.9852545326086961</v>
      </c>
      <c r="W5" s="142">
        <f>CdTrp1!R215+CdTrp2!R215+CdTrp3!R215+CdTrp4!R215</f>
        <v>3.449080434782609</v>
      </c>
      <c r="X5" s="142">
        <f>CdTrp1!S215+CdTrp2!S215+CdTrp3!S215+CdTrp4!S215</f>
        <v>2.2878104347826089</v>
      </c>
      <c r="Y5" s="142">
        <f>CdTrp1!T215+CdTrp2!T215+CdTrp3!T215+CdTrp4!T215</f>
        <v>4.1469698350956534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0.70843895652173916</v>
      </c>
      <c r="AD5" s="142">
        <f>CdTrp1!Y215+CdTrp2!Y215+CdTrp3!Y215+CdTrp4!Y215</f>
        <v>0.70843895652173916</v>
      </c>
      <c r="AE5" s="152"/>
      <c r="AF5" s="143">
        <f>AF8+AF9</f>
        <v>137.33556578222607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1.5069599999999999</v>
      </c>
      <c r="N6" s="142">
        <f>CdTrp1!I216+CdTrp2!I216+CdTrp3!I216+CdTrp4!I216</f>
        <v>1.5069599999999999</v>
      </c>
      <c r="O6" s="142">
        <f>CdTrp1!J216+CdTrp2!J216+CdTrp3!J216+CdTrp4!J216</f>
        <v>0</v>
      </c>
      <c r="P6" s="142">
        <f>CdTrp1!K216+CdTrp2!K216+CdTrp3!K216+CdTrp4!K216</f>
        <v>1.5571919999999997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1.5571919999999997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0</v>
      </c>
      <c r="Y6" s="142">
        <f>CdTrp1!T216+CdTrp2!T216+CdTrp3!T216+CdTrp4!T216</f>
        <v>1.5571919999999997</v>
      </c>
      <c r="Z6" s="142">
        <f>CdTrp1!U216+CdTrp2!U216+CdTrp3!U216+CdTrp4!U216</f>
        <v>1.5571919999999997</v>
      </c>
      <c r="AA6" s="142">
        <f>CdTrp1!V216+CdTrp2!V216+CdTrp3!V216+CdTrp4!V216</f>
        <v>1.5069599999999999</v>
      </c>
      <c r="AB6" s="142">
        <f>CdTrp1!W216+CdTrp2!W216+CdTrp3!W216+CdTrp4!W216</f>
        <v>1.5069599999999999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294</v>
      </c>
      <c r="C7" s="143">
        <f>ROUNDUP(C4-C6-0.9*C5,1)</f>
        <v>179.4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2.265630956521739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1.5571919999999997</v>
      </c>
      <c r="U7" s="142">
        <f>CdTrp1!P217+CdTrp2!P217+CdTrp3!P217+CdTrp4!P217</f>
        <v>1.5571919999999997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1.5069599999999999</v>
      </c>
      <c r="Y7" s="142">
        <f>CdTrp1!T217+CdTrp2!T217+CdTrp3!T217+CdTrp4!T217</f>
        <v>0</v>
      </c>
      <c r="Z7" s="142">
        <f>CdTrp1!U217+CdTrp2!U217+CdTrp3!U217+CdTrp4!U217</f>
        <v>0.70843895652173916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0.70843895652173916</v>
      </c>
      <c r="H8" s="142">
        <f t="shared" ref="H8:AD8" si="0">SUM(H5:H7)</f>
        <v>0.70843895652173916</v>
      </c>
      <c r="I8" s="142">
        <f t="shared" si="0"/>
        <v>0.63988034782608705</v>
      </c>
      <c r="J8" s="142">
        <f t="shared" si="0"/>
        <v>0.63988034782608705</v>
      </c>
      <c r="K8" s="142">
        <f t="shared" si="0"/>
        <v>0.70843895652173916</v>
      </c>
      <c r="L8" s="142">
        <f t="shared" si="0"/>
        <v>3.3970680507826092</v>
      </c>
      <c r="M8" s="142">
        <f t="shared" si="0"/>
        <v>4.7809638678260891</v>
      </c>
      <c r="N8" s="142">
        <f t="shared" si="0"/>
        <v>4.7674825252173916</v>
      </c>
      <c r="O8" s="142">
        <f t="shared" si="0"/>
        <v>7.9143489180000008</v>
      </c>
      <c r="P8" s="142">
        <f t="shared" si="0"/>
        <v>8.3296088734782607</v>
      </c>
      <c r="Q8" s="142">
        <f t="shared" si="0"/>
        <v>8.0609118130434787</v>
      </c>
      <c r="R8" s="142">
        <f t="shared" si="0"/>
        <v>5.3636579347826085</v>
      </c>
      <c r="S8" s="142">
        <f t="shared" si="0"/>
        <v>5.5424465326086958</v>
      </c>
      <c r="T8" s="142">
        <f t="shared" si="0"/>
        <v>5.5424465326086958</v>
      </c>
      <c r="U8" s="142">
        <f t="shared" si="0"/>
        <v>5.5424465326086958</v>
      </c>
      <c r="V8" s="142">
        <f t="shared" si="0"/>
        <v>5.5424465326086958</v>
      </c>
      <c r="W8" s="142">
        <f t="shared" si="0"/>
        <v>4.9560404347826088</v>
      </c>
      <c r="X8" s="142">
        <f t="shared" si="0"/>
        <v>3.7947704347826088</v>
      </c>
      <c r="Y8" s="142">
        <f t="shared" si="0"/>
        <v>5.7041618350956531</v>
      </c>
      <c r="Z8" s="142">
        <f t="shared" si="0"/>
        <v>6.8971955153043485</v>
      </c>
      <c r="AA8" s="142">
        <f t="shared" si="0"/>
        <v>3.9475748869565219</v>
      </c>
      <c r="AB8" s="142">
        <f t="shared" si="0"/>
        <v>3.949217086956522</v>
      </c>
      <c r="AC8" s="142">
        <f t="shared" si="0"/>
        <v>0.70843895652173916</v>
      </c>
      <c r="AD8" s="142">
        <f t="shared" si="0"/>
        <v>0.70843895652173916</v>
      </c>
      <c r="AE8" s="152"/>
      <c r="AF8" s="143">
        <f>SUM(G8:AD8)</f>
        <v>98.854743785704315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41.5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26.5</v>
      </c>
      <c r="H18" s="157">
        <f>G18/G17</f>
        <v>0.63855421686746983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6</v>
      </c>
      <c r="H19" s="157">
        <f>G19/G17</f>
        <v>0.14457831325301204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5.5</v>
      </c>
      <c r="H20" s="157">
        <f>G20/G17</f>
        <v>0.13253012048192772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90" zoomScaleNormal="90" workbookViewId="0">
      <selection activeCell="R9" sqref="R9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0.70843895652173916</v>
      </c>
      <c r="AX5" s="13">
        <f>'Conduite Trp'!L8</f>
        <v>3.3970680507826092</v>
      </c>
      <c r="AY5" s="13">
        <f>'Conduite Trp'!M8</f>
        <v>4.7809638678260891</v>
      </c>
      <c r="AZ5" s="13">
        <f>'Conduite Trp'!N8</f>
        <v>4.7674825252173916</v>
      </c>
      <c r="BA5" s="13">
        <f>'Conduite Trp'!O8</f>
        <v>7.9143489180000008</v>
      </c>
      <c r="BB5" s="13">
        <f>'Conduite Trp'!P8</f>
        <v>8.3296088734782607</v>
      </c>
      <c r="BC5" s="13">
        <f>'Conduite Trp'!Q8</f>
        <v>8.0609118130434787</v>
      </c>
      <c r="BD5" s="13">
        <f>'Conduite Trp'!R8</f>
        <v>5.3636579347826085</v>
      </c>
      <c r="BE5" s="13">
        <f>'Conduite Trp'!S8</f>
        <v>5.5424465326086958</v>
      </c>
      <c r="BF5" s="13">
        <f>'Conduite Trp'!T8</f>
        <v>5.5424465326086958</v>
      </c>
      <c r="BG5" s="13">
        <f>'Conduite Trp'!U8</f>
        <v>5.5424465326086958</v>
      </c>
      <c r="BH5" s="13">
        <f>'Conduite Trp'!V8</f>
        <v>5.5424465326086958</v>
      </c>
      <c r="BI5" s="13">
        <f>'Conduite Trp'!W8</f>
        <v>4.9560404347826088</v>
      </c>
      <c r="BJ5" s="13">
        <f>'Conduite Trp'!X8</f>
        <v>3.7947704347826088</v>
      </c>
      <c r="BK5" s="13">
        <f>'Conduite Trp'!Y8</f>
        <v>5.7041618350956531</v>
      </c>
      <c r="BL5" s="13">
        <f>'Conduite Trp'!Z8</f>
        <v>6.8971955153043485</v>
      </c>
      <c r="BM5" s="13">
        <f>'Conduite Trp'!AA8</f>
        <v>3.9475748869565219</v>
      </c>
      <c r="BN5" s="13">
        <f>'Conduite Trp'!AB8</f>
        <v>3.949217086956522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4.7809638678260891</v>
      </c>
      <c r="AZ7" s="60">
        <f t="shared" si="7"/>
        <v>4.7674825252173916</v>
      </c>
      <c r="BA7" s="60">
        <f t="shared" si="7"/>
        <v>7.9143489180000008</v>
      </c>
      <c r="BB7" s="60">
        <f t="shared" si="7"/>
        <v>8.3296088734782607</v>
      </c>
      <c r="BC7" s="60">
        <f t="shared" si="7"/>
        <v>8.0609118130434787</v>
      </c>
      <c r="BD7" s="60">
        <f t="shared" si="7"/>
        <v>5.3636579347826085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39.216973932347827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5.5424465326086958</v>
      </c>
      <c r="BF8" s="60">
        <f t="shared" si="8"/>
        <v>5.5424465326086958</v>
      </c>
      <c r="BG8" s="60">
        <f t="shared" si="8"/>
        <v>5.5424465326086958</v>
      </c>
      <c r="BH8" s="60">
        <f t="shared" si="8"/>
        <v>5.5424465326086958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22.169786130434783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4.9560404347826088</v>
      </c>
      <c r="BJ9" s="60">
        <f t="shared" si="10"/>
        <v>3.7947704347826088</v>
      </c>
      <c r="BK9" s="60">
        <f t="shared" si="10"/>
        <v>5.7041618350956531</v>
      </c>
      <c r="BL9" s="60">
        <f t="shared" si="10"/>
        <v>6.8971955153043485</v>
      </c>
      <c r="BM9" s="60">
        <f t="shared" si="10"/>
        <v>3.9475748869565219</v>
      </c>
      <c r="BN9" s="60">
        <f t="shared" si="10"/>
        <v>3.949217086956522</v>
      </c>
      <c r="BO9" s="60">
        <f t="shared" si="10"/>
        <v>0</v>
      </c>
      <c r="BP9" s="60">
        <f t="shared" si="10"/>
        <v>0</v>
      </c>
      <c r="BR9" s="60">
        <f t="shared" si="9"/>
        <v>29.248960193878268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1.6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3.2</v>
      </c>
      <c r="AF10" s="60">
        <f t="shared" si="1"/>
        <v>0</v>
      </c>
      <c r="AG10" s="60">
        <f t="shared" si="2"/>
        <v>2</v>
      </c>
      <c r="AH10" s="60">
        <f t="shared" si="3"/>
        <v>2</v>
      </c>
      <c r="AI10" s="60">
        <f t="shared" si="4"/>
        <v>2</v>
      </c>
      <c r="AJ10" s="60">
        <f t="shared" si="5"/>
        <v>0</v>
      </c>
      <c r="AK10" s="140"/>
      <c r="AL10" s="60">
        <f t="shared" si="6"/>
        <v>4</v>
      </c>
      <c r="AQ10" s="32"/>
      <c r="AR10" s="69">
        <v>4</v>
      </c>
      <c r="AS10" s="60">
        <f>IF(AS$4=4,AS$5,0)</f>
        <v>0.70843895652173916</v>
      </c>
      <c r="AT10" s="60">
        <f t="shared" ref="AT10:BP10" si="11">IF(AT$4=4,AT$5,0)</f>
        <v>0.70843895652173916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0.70843895652173916</v>
      </c>
      <c r="BP10" s="60">
        <f t="shared" si="11"/>
        <v>0.70843895652173916</v>
      </c>
      <c r="BR10" s="60">
        <f t="shared" si="9"/>
        <v>2.8337558260869566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6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19.799999999999997</v>
      </c>
      <c r="AF11" s="60">
        <f t="shared" si="1"/>
        <v>12</v>
      </c>
      <c r="AG11" s="60">
        <f t="shared" si="2"/>
        <v>9</v>
      </c>
      <c r="AH11" s="60">
        <f t="shared" si="3"/>
        <v>6</v>
      </c>
      <c r="AI11" s="60">
        <f t="shared" si="4"/>
        <v>4.1999999999999993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0.63988034782608705</v>
      </c>
      <c r="AV11" s="60">
        <f t="shared" si="12"/>
        <v>0.63988034782608705</v>
      </c>
      <c r="AW11" s="60">
        <f t="shared" si="12"/>
        <v>0.70843895652173916</v>
      </c>
      <c r="AX11" s="60">
        <f t="shared" si="12"/>
        <v>3.3970680507826092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5.3852677029565221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2.6886290942608699</v>
      </c>
      <c r="AY15" s="13">
        <f>'Conduite Trp'!M5</f>
        <v>2.588417780869567</v>
      </c>
      <c r="AZ15" s="13">
        <f>'Conduite Trp'!N5</f>
        <v>2.5749364382608704</v>
      </c>
      <c r="BA15" s="13">
        <f>'Conduite Trp'!O5</f>
        <v>5.6487179614782619</v>
      </c>
      <c r="BB15" s="13">
        <f>'Conduite Trp'!P5</f>
        <v>6.7724168734782619</v>
      </c>
      <c r="BC15" s="13">
        <f>'Conduite Trp'!Q5</f>
        <v>6.5539518130434793</v>
      </c>
      <c r="BD15" s="13">
        <f>'Conduite Trp'!R5</f>
        <v>3.8566979347826091</v>
      </c>
      <c r="BE15" s="13">
        <f>'Conduite Trp'!S5</f>
        <v>3.9852545326086961</v>
      </c>
      <c r="BF15" s="13">
        <f>'Conduite Trp'!T5</f>
        <v>3.9852545326086961</v>
      </c>
      <c r="BG15" s="13">
        <f>'Conduite Trp'!U5</f>
        <v>3.9852545326086961</v>
      </c>
      <c r="BH15" s="13">
        <f>'Conduite Trp'!V5</f>
        <v>3.9852545326086961</v>
      </c>
      <c r="BI15" s="13">
        <f>'Conduite Trp'!W5</f>
        <v>3.449080434782609</v>
      </c>
      <c r="BJ15" s="13">
        <f>'Conduite Trp'!X5</f>
        <v>2.2878104347826089</v>
      </c>
      <c r="BK15" s="13">
        <f>'Conduite Trp'!Y5</f>
        <v>4.1469698350956534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1.5069599999999999</v>
      </c>
      <c r="AZ16" s="13">
        <f>'Conduite Trp'!N6</f>
        <v>1.5069599999999999</v>
      </c>
      <c r="BA16" s="13">
        <f>'Conduite Trp'!O6</f>
        <v>0</v>
      </c>
      <c r="BB16" s="13">
        <f>'Conduite Trp'!P6</f>
        <v>1.5571919999999997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1.5571919999999997</v>
      </c>
      <c r="BF16" s="13">
        <f>'Conduite Trp'!T6</f>
        <v>0</v>
      </c>
      <c r="BG16" s="13">
        <f>'Conduite Trp'!U6</f>
        <v>0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0</v>
      </c>
      <c r="BK16" s="13">
        <f>'Conduite Trp'!Y6</f>
        <v>1.5571919999999997</v>
      </c>
      <c r="BL16" s="13">
        <f>'Conduite Trp'!Z6</f>
        <v>1.5571919999999997</v>
      </c>
      <c r="BM16" s="13">
        <f>'Conduite Trp'!AA6</f>
        <v>1.5069599999999999</v>
      </c>
      <c r="BN16" s="13">
        <f>'Conduite Trp'!AB6</f>
        <v>1.5069599999999999</v>
      </c>
      <c r="BO16" s="13">
        <f>'Conduite Trp'!AC6</f>
        <v>0</v>
      </c>
      <c r="BP16" s="13">
        <f>'Conduite Trp'!AD6</f>
        <v>0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2.265630956521739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1.5571919999999997</v>
      </c>
      <c r="BG17" s="13">
        <f>'Conduite Trp'!U7</f>
        <v>1.5571919999999997</v>
      </c>
      <c r="BH17" s="13">
        <f>'Conduite Trp'!V7</f>
        <v>0</v>
      </c>
      <c r="BI17" s="13">
        <f>'Conduite Trp'!W7</f>
        <v>0</v>
      </c>
      <c r="BJ17" s="13">
        <f>'Conduite Trp'!X7</f>
        <v>1.5069599999999999</v>
      </c>
      <c r="BK17" s="13">
        <f>'Conduite Trp'!Y7</f>
        <v>0</v>
      </c>
      <c r="BL17" s="13">
        <f>'Conduite Trp'!Z7</f>
        <v>0.70843895652173916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2.588417780869567</v>
      </c>
      <c r="AZ19" s="60">
        <f t="shared" si="15"/>
        <v>2.5749364382608704</v>
      </c>
      <c r="BA19" s="60">
        <f t="shared" si="15"/>
        <v>5.6487179614782619</v>
      </c>
      <c r="BB19" s="60">
        <f t="shared" si="15"/>
        <v>6.7724168734782619</v>
      </c>
      <c r="BC19" s="60">
        <f t="shared" si="15"/>
        <v>6.5539518130434793</v>
      </c>
      <c r="BD19" s="60">
        <f t="shared" si="15"/>
        <v>3.8566979347826091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27.995138801913047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3.9852545326086961</v>
      </c>
      <c r="BF20" s="60">
        <f t="shared" si="16"/>
        <v>3.9852545326086961</v>
      </c>
      <c r="BG20" s="60">
        <f t="shared" si="16"/>
        <v>3.9852545326086961</v>
      </c>
      <c r="BH20" s="60">
        <f t="shared" si="16"/>
        <v>3.9852545326086961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15.941018130434784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3.449080434782609</v>
      </c>
      <c r="BJ21" s="60">
        <f t="shared" si="18"/>
        <v>2.2878104347826089</v>
      </c>
      <c r="BK21" s="60">
        <f t="shared" si="18"/>
        <v>4.1469698350956534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18.027125063443485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0.70843895652173916</v>
      </c>
      <c r="AT22" s="60">
        <f t="shared" ref="AT22:BP22" si="19">IF(AT$4=4,AT$15,0)</f>
        <v>0.70843895652173916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0.70843895652173916</v>
      </c>
      <c r="BP22" s="60">
        <f t="shared" si="19"/>
        <v>0.70843895652173916</v>
      </c>
      <c r="BR22" s="60">
        <f t="shared" si="17"/>
        <v>2.8337558260869566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0.63988034782608705</v>
      </c>
      <c r="AV23" s="60">
        <f t="shared" si="20"/>
        <v>0.63988034782608705</v>
      </c>
      <c r="AW23" s="60">
        <f t="shared" si="20"/>
        <v>0.70843895652173916</v>
      </c>
      <c r="AX23" s="60">
        <f t="shared" si="20"/>
        <v>2.6886290942608699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4.6768287464347829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40.919999999999995</v>
      </c>
      <c r="E24" s="60">
        <f t="shared" si="21"/>
        <v>23.674999999999997</v>
      </c>
      <c r="F24" s="60">
        <f t="shared" si="21"/>
        <v>30.158716000000002</v>
      </c>
      <c r="G24" s="60">
        <f t="shared" si="21"/>
        <v>16.564178999999999</v>
      </c>
      <c r="H24" s="60">
        <f t="shared" si="21"/>
        <v>19.552894999999999</v>
      </c>
      <c r="I24" s="60">
        <f t="shared" si="21"/>
        <v>0</v>
      </c>
      <c r="J24" s="62"/>
      <c r="K24" s="60">
        <f>AL27+AL49+AL71</f>
        <v>88.921549999999996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39.216973932347827</v>
      </c>
      <c r="E25" s="60">
        <f>BR8</f>
        <v>22.169786130434783</v>
      </c>
      <c r="F25" s="60">
        <f>BR9</f>
        <v>29.248960193878268</v>
      </c>
      <c r="G25" s="60">
        <f>BR10</f>
        <v>2.8337558260869566</v>
      </c>
      <c r="H25" s="60">
        <f>BR11</f>
        <v>5.3852677029565221</v>
      </c>
      <c r="I25" s="60">
        <f>BR12</f>
        <v>0</v>
      </c>
      <c r="J25" s="62"/>
      <c r="K25" s="75">
        <f>'Conduite Trp'!C7</f>
        <v>179.4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1.7030260676521678</v>
      </c>
      <c r="E27" s="92">
        <f t="shared" si="23"/>
        <v>1.505213869565214</v>
      </c>
      <c r="F27" s="92">
        <f t="shared" si="23"/>
        <v>0.90975580612173346</v>
      </c>
      <c r="G27" s="92">
        <f t="shared" si="23"/>
        <v>13.730423173913042</v>
      </c>
      <c r="H27" s="92">
        <f t="shared" si="23"/>
        <v>14.167627297043477</v>
      </c>
      <c r="I27" s="92">
        <f t="shared" si="23"/>
        <v>0</v>
      </c>
      <c r="J27" s="62"/>
      <c r="K27" s="92">
        <f>K24-K25</f>
        <v>-90.478450000000009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29.299999999999997</v>
      </c>
      <c r="AF27" s="74">
        <f t="shared" ref="AF27:AJ27" si="24">SUM(AF7:AF26)</f>
        <v>16.2</v>
      </c>
      <c r="AG27" s="74">
        <f t="shared" si="24"/>
        <v>17.3</v>
      </c>
      <c r="AH27" s="74">
        <f t="shared" si="24"/>
        <v>9.75</v>
      </c>
      <c r="AI27" s="74">
        <f t="shared" si="24"/>
        <v>8.6499999999999986</v>
      </c>
      <c r="AJ27" s="74">
        <f t="shared" si="24"/>
        <v>0</v>
      </c>
      <c r="AK27"/>
      <c r="AL27" s="74">
        <f>SUM(AL7:AL26)</f>
        <v>17.299999999999997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1.5069599999999999</v>
      </c>
      <c r="AZ27" s="60">
        <f t="shared" si="25"/>
        <v>1.5069599999999999</v>
      </c>
      <c r="BA27" s="60">
        <f t="shared" si="25"/>
        <v>0</v>
      </c>
      <c r="BB27" s="60">
        <f t="shared" si="25"/>
        <v>1.5571919999999997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7.5850319999999982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1.5571919999999997</v>
      </c>
      <c r="BF28" s="60">
        <f t="shared" si="26"/>
        <v>0</v>
      </c>
      <c r="BG28" s="60">
        <f t="shared" si="26"/>
        <v>0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0</v>
      </c>
      <c r="BK29" s="60">
        <f t="shared" si="35"/>
        <v>1.5571919999999997</v>
      </c>
      <c r="BL29" s="60">
        <f t="shared" si="35"/>
        <v>1.5571919999999997</v>
      </c>
      <c r="BM29" s="60">
        <f t="shared" si="35"/>
        <v>1.5069599999999999</v>
      </c>
      <c r="BN29" s="60">
        <f t="shared" si="35"/>
        <v>1.5069599999999999</v>
      </c>
      <c r="BO29" s="60">
        <f t="shared" si="35"/>
        <v>0</v>
      </c>
      <c r="BP29" s="60">
        <f t="shared" si="35"/>
        <v>0</v>
      </c>
      <c r="BR29" s="60">
        <f t="shared" si="27"/>
        <v>7.6352639999999976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4.5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6.75</v>
      </c>
      <c r="AF30" s="60">
        <f t="shared" si="29"/>
        <v>0</v>
      </c>
      <c r="AG30" s="60">
        <f t="shared" si="30"/>
        <v>3.6</v>
      </c>
      <c r="AH30" s="60">
        <f t="shared" si="31"/>
        <v>2.25</v>
      </c>
      <c r="AI30" s="60">
        <f t="shared" si="32"/>
        <v>3.15</v>
      </c>
      <c r="AJ30" s="60">
        <f t="shared" si="33"/>
        <v>0</v>
      </c>
      <c r="AK30"/>
      <c r="AL30" s="60">
        <f t="shared" si="34"/>
        <v>28.349999999999998</v>
      </c>
      <c r="AR30" s="69">
        <v>4</v>
      </c>
      <c r="AS30" s="60">
        <f>IF(AS$4=4,AS$16,0)</f>
        <v>0</v>
      </c>
      <c r="AT30" s="60">
        <f t="shared" ref="AT30:BP30" si="36">IF(AT$4=4,AT$16,0)</f>
        <v>0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</v>
      </c>
      <c r="BP30" s="60">
        <f t="shared" si="36"/>
        <v>0</v>
      </c>
      <c r="BR30" s="60">
        <f t="shared" si="27"/>
        <v>0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0.4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1.32</v>
      </c>
      <c r="AF31" s="60">
        <f t="shared" si="29"/>
        <v>1.2000000000000002</v>
      </c>
      <c r="AG31" s="60">
        <f t="shared" si="30"/>
        <v>0.91999999999999993</v>
      </c>
      <c r="AH31" s="60">
        <f t="shared" si="31"/>
        <v>0.2</v>
      </c>
      <c r="AI31" s="60">
        <f t="shared" si="32"/>
        <v>0.27999999999999997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</v>
      </c>
      <c r="AV31" s="60">
        <f t="shared" si="37"/>
        <v>0</v>
      </c>
      <c r="AW31" s="60">
        <f t="shared" si="37"/>
        <v>0</v>
      </c>
      <c r="AX31" s="60">
        <f t="shared" si="37"/>
        <v>0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0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2.265630956521739</v>
      </c>
      <c r="BB35" s="60">
        <f t="shared" si="43"/>
        <v>0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0</v>
      </c>
      <c r="BF36" s="60">
        <f t="shared" si="44"/>
        <v>1.5571919999999997</v>
      </c>
      <c r="BG36" s="60">
        <f t="shared" si="44"/>
        <v>1.5571919999999997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1.5069599999999999</v>
      </c>
      <c r="BK37" s="60">
        <f t="shared" si="46"/>
        <v>0</v>
      </c>
      <c r="BL37" s="60">
        <f t="shared" si="46"/>
        <v>0.70843895652173916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3.5865711304347827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</v>
      </c>
      <c r="BP38" s="60">
        <f t="shared" si="47"/>
        <v>0</v>
      </c>
      <c r="BR38" s="60">
        <f t="shared" si="45"/>
        <v>0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0.70843895652173916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8.07</v>
      </c>
      <c r="AF49" s="74">
        <f t="shared" ref="AF49" si="50">SUM(AF29:AF48)</f>
        <v>3.2</v>
      </c>
      <c r="AG49" s="74">
        <f t="shared" ref="AG49" si="51">SUM(AG29:AG48)</f>
        <v>9.7287160000000004</v>
      </c>
      <c r="AH49" s="74">
        <f t="shared" ref="AH49" si="52">SUM(AH29:AH48)</f>
        <v>4.2521789999999999</v>
      </c>
      <c r="AI49" s="74">
        <f t="shared" ref="AI49" si="53">SUM(AI29:AI48)</f>
        <v>8.8408949999999997</v>
      </c>
      <c r="AJ49" s="74">
        <f t="shared" ref="AJ49" si="54">SUM(AJ29:AJ48)</f>
        <v>0</v>
      </c>
      <c r="AK49"/>
      <c r="AL49" s="74">
        <f>SUM(AL29:AL48)</f>
        <v>71.621549999999999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29.299999999999997</v>
      </c>
      <c r="E72" s="60">
        <f t="shared" ref="E72:H72" si="69">AF27</f>
        <v>16.2</v>
      </c>
      <c r="F72" s="60">
        <f t="shared" si="69"/>
        <v>17.3</v>
      </c>
      <c r="G72" s="60">
        <f t="shared" si="69"/>
        <v>9.75</v>
      </c>
      <c r="H72" s="60">
        <f t="shared" si="69"/>
        <v>8.6499999999999986</v>
      </c>
      <c r="I72" s="60">
        <f t="shared" ref="I72" si="70">AJ75+AJ97+AJ119</f>
        <v>0</v>
      </c>
      <c r="J72" s="62"/>
      <c r="K72" s="60">
        <f>+K24</f>
        <v>88.921549999999996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27.995138801913047</v>
      </c>
      <c r="E73" s="60">
        <f>BR20</f>
        <v>15.941018130434784</v>
      </c>
      <c r="F73" s="60">
        <f>BR21</f>
        <v>18.027125063443485</v>
      </c>
      <c r="G73" s="60">
        <f>BR22</f>
        <v>2.8337558260869566</v>
      </c>
      <c r="H73" s="60">
        <f>BR23</f>
        <v>4.6768287464347829</v>
      </c>
      <c r="I73" s="60">
        <f>BR60</f>
        <v>0</v>
      </c>
      <c r="J73" s="62"/>
      <c r="K73" s="75">
        <f>+K25</f>
        <v>179.4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1.3048611980869502</v>
      </c>
      <c r="E75" s="92">
        <f t="shared" ref="E75:I75" si="71">E72-E73</f>
        <v>0.25898186956521485</v>
      </c>
      <c r="F75" s="92">
        <f t="shared" si="71"/>
        <v>-0.72712506344348427</v>
      </c>
      <c r="G75" s="92">
        <f t="shared" si="71"/>
        <v>6.9162441739130429</v>
      </c>
      <c r="H75" s="92">
        <f t="shared" si="71"/>
        <v>3.9731712535652157</v>
      </c>
      <c r="I75" s="92">
        <f t="shared" si="71"/>
        <v>0</v>
      </c>
      <c r="J75" s="62"/>
      <c r="K75" s="92">
        <f>+K27</f>
        <v>-90.478450000000009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8.07</v>
      </c>
      <c r="E82" s="60">
        <f t="shared" ref="E82:H82" si="72">AF49</f>
        <v>3.2</v>
      </c>
      <c r="F82" s="60">
        <f t="shared" si="72"/>
        <v>9.7287160000000004</v>
      </c>
      <c r="G82" s="60">
        <f t="shared" si="72"/>
        <v>4.2521789999999999</v>
      </c>
      <c r="H82" s="60">
        <f t="shared" si="72"/>
        <v>8.8408949999999997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7.5850319999999982</v>
      </c>
      <c r="E83" s="60">
        <f>BR28</f>
        <v>3.1143839999999994</v>
      </c>
      <c r="F83" s="60">
        <f>BR29</f>
        <v>7.6352639999999976</v>
      </c>
      <c r="G83" s="60">
        <f>BR30</f>
        <v>0</v>
      </c>
      <c r="H83" s="60">
        <f>BR31</f>
        <v>0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0.48496800000000206</v>
      </c>
      <c r="E85" s="92">
        <f t="shared" ref="E85:H85" si="73">E82-E83</f>
        <v>8.5616000000000803E-2</v>
      </c>
      <c r="F85" s="92">
        <f t="shared" si="73"/>
        <v>2.0934520000000028</v>
      </c>
      <c r="G85" s="92">
        <f t="shared" si="73"/>
        <v>4.2521789999999999</v>
      </c>
      <c r="H85" s="92">
        <f t="shared" si="73"/>
        <v>8.8408949999999997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3.5865711304347827</v>
      </c>
      <c r="G93" s="60">
        <f>BR38</f>
        <v>0</v>
      </c>
      <c r="H93" s="60">
        <f>BR39</f>
        <v>0.70843895652173916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-0.45657113043478281</v>
      </c>
      <c r="G95" s="92">
        <f t="shared" si="75"/>
        <v>2.5619999999999998</v>
      </c>
      <c r="H95" s="92">
        <f t="shared" si="75"/>
        <v>1.3535610434782606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2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0</v>
      </c>
      <c r="L2" s="8">
        <f t="shared" ref="L2:L33" si="0">IF(J2=$Y$5,K2*$AA$5,IF(J2=$Y$6,K2*$AA$6,IF(J2=$Y$7,K2*$AA$7,"")))</f>
        <v>0</v>
      </c>
      <c r="M2" s="10">
        <f>IF(I2=$Y$10,SQRT(L2*10000),SQRT(Parcellaire!L2*10000)/$AC$11)</f>
        <v>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0</v>
      </c>
      <c r="U2" s="10">
        <f t="shared" ref="U2:U36" si="5">IF(C2=2,Q2*M2,0)</f>
        <v>0</v>
      </c>
      <c r="V2" s="27">
        <f t="shared" ref="V2:V36" si="6">O2*M2</f>
        <v>0</v>
      </c>
      <c r="W2" s="3"/>
      <c r="X2" s="3"/>
    </row>
    <row r="3" spans="1:29" ht="15" customHeight="1" x14ac:dyDescent="0.25">
      <c r="A3" s="8">
        <v>3</v>
      </c>
      <c r="B3" s="9">
        <v>2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0</v>
      </c>
      <c r="L3" s="8">
        <f t="shared" ref="L3:L24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2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IF(I5=$Y$10,SQRT(L5*10000),SQRT(Parcellaire!L5*10000)/$AC$11)</f>
        <v>0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2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IF(I6=$Y$10,SQRT(L6*10000),SQRT(Parcellaire!L6*10000)/$AC$11)</f>
        <v>0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2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5335.5446169310299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5335.5446169310299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23.200000000000003</v>
      </c>
      <c r="H63" s="169"/>
      <c r="I63" s="169">
        <f>SUMIF(Parcellaire!$B$2:$B$62,1,Parcellaire!I2:I62)</f>
        <v>30</v>
      </c>
      <c r="J63" s="169">
        <f>SUMIF(Parcellaire!$B$2:$B$62,1,Parcellaire!J2:J62)</f>
        <v>8</v>
      </c>
      <c r="K63" s="169">
        <f>SUMIF(Parcellaire!$B$2:$B$62,1,Parcellaire!K2:K62)</f>
        <v>24.67</v>
      </c>
      <c r="L63" s="169">
        <f>SUMIF(Parcellaire!$B$2:$B$62,1,Parcellaire!L2:L62)</f>
        <v>28.091999999999999</v>
      </c>
      <c r="M63" s="169">
        <f>SUMIF(Parcellaire!$B$2:$B$62,1,Parcellaire!M2:M62)</f>
        <v>1113.5193458208178</v>
      </c>
      <c r="N63" s="169">
        <f>SUMIF(Parcellaire!$B$2:$B$62,1,Parcellaire!N2:N62)</f>
        <v>72</v>
      </c>
      <c r="O63" s="169">
        <f>SUMIF(Parcellaire!$B$2:$B$62,1,Parcellaire!O2:O62)</f>
        <v>60</v>
      </c>
      <c r="P63" s="169">
        <f>SUMIF(Parcellaire!$B$2:$B$62,1,Parcellaire!P2:P62)</f>
        <v>0</v>
      </c>
      <c r="Q63" s="169">
        <f>SUMIF(Parcellaire!$B$2:$B$62,1,Parcellaire!Q2:Q62)</f>
        <v>27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5335.5446169310299</v>
      </c>
      <c r="U63" s="169">
        <f>SUMIF(Parcellaire!$B$2:$B$62,1,Parcellaire!U2:U62)</f>
        <v>2691.142915987753</v>
      </c>
      <c r="V63" s="169">
        <f>SUMIF(Parcellaire!$B$2:$B$62,1,Parcellaire!V2:V62)</f>
        <v>6681.1160749249075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37" zoomScale="80" zoomScaleNormal="80" workbookViewId="0">
      <selection activeCell="K60" sqref="K6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1464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16.5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11.4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1.65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1463</v>
      </c>
      <c r="K89" s="79">
        <v>1</v>
      </c>
      <c r="T89">
        <v>4</v>
      </c>
      <c r="U89" t="s">
        <v>624</v>
      </c>
    </row>
    <row r="90" spans="9:21" x14ac:dyDescent="0.25">
      <c r="J90" s="14" t="s">
        <v>1384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10"/>
        <v>1.6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1.6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1.6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6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4.5</v>
      </c>
      <c r="T187" s="172">
        <f>VLOOKUP(R187,[1]MEP!$A$4:$M$300,13)</f>
        <v>2</v>
      </c>
      <c r="U187" s="172">
        <f t="shared" si="10"/>
        <v>4.5</v>
      </c>
      <c r="V187" s="172">
        <f t="shared" si="11"/>
        <v>4.5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4.5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4.5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0.4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0.4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0.4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16.5</v>
      </c>
      <c r="V228" s="61">
        <f t="shared" ref="V228:W228" si="22">SUM(V164:V227)</f>
        <v>11.4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6.4</v>
      </c>
      <c r="AI228" s="61">
        <f t="shared" si="24"/>
        <v>5.0999999999999996</v>
      </c>
      <c r="AJ228" s="61">
        <f t="shared" si="24"/>
        <v>11.4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I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1</v>
      </c>
      <c r="D3" s="176">
        <f t="shared" si="0"/>
        <v>1</v>
      </c>
      <c r="E3" s="176">
        <f t="shared" si="0"/>
        <v>1</v>
      </c>
      <c r="F3" s="176">
        <f t="shared" si="0"/>
        <v>1</v>
      </c>
      <c r="G3" s="176">
        <f t="shared" si="0"/>
        <v>1</v>
      </c>
      <c r="H3" s="176">
        <f t="shared" si="0"/>
        <v>1</v>
      </c>
      <c r="I3" s="176">
        <f t="shared" si="0"/>
        <v>1</v>
      </c>
      <c r="J3" s="176">
        <f t="shared" si="0"/>
        <v>1</v>
      </c>
      <c r="K3" s="176">
        <f t="shared" si="0"/>
        <v>1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1</v>
      </c>
      <c r="W3" s="176">
        <f t="shared" si="0"/>
        <v>0</v>
      </c>
      <c r="X3" s="176">
        <f t="shared" si="0"/>
        <v>0</v>
      </c>
      <c r="Y3" s="176">
        <f t="shared" si="0"/>
        <v>1</v>
      </c>
      <c r="Z3" s="176">
        <f t="shared" si="0"/>
        <v>1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0</v>
      </c>
      <c r="D4" s="176">
        <f t="shared" ref="D4:Z4" si="1">COUNTIF(D81:D90,2)</f>
        <v>0</v>
      </c>
      <c r="E4" s="176">
        <f t="shared" si="1"/>
        <v>0</v>
      </c>
      <c r="F4" s="176">
        <f t="shared" si="1"/>
        <v>0</v>
      </c>
      <c r="G4" s="176">
        <f t="shared" si="1"/>
        <v>0</v>
      </c>
      <c r="H4" s="176">
        <f t="shared" si="1"/>
        <v>0</v>
      </c>
      <c r="I4" s="176">
        <f t="shared" si="1"/>
        <v>0</v>
      </c>
      <c r="J4" s="176">
        <f t="shared" si="1"/>
        <v>0</v>
      </c>
      <c r="K4" s="176">
        <f t="shared" si="1"/>
        <v>0</v>
      </c>
      <c r="L4" s="176">
        <f t="shared" si="1"/>
        <v>0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0</v>
      </c>
      <c r="W4" s="176">
        <f t="shared" si="1"/>
        <v>0</v>
      </c>
      <c r="X4" s="176">
        <f t="shared" si="1"/>
        <v>0</v>
      </c>
      <c r="Y4" s="176">
        <f t="shared" si="1"/>
        <v>0</v>
      </c>
      <c r="Z4" s="176">
        <f t="shared" si="1"/>
        <v>0</v>
      </c>
      <c r="AB4" s="32"/>
      <c r="AC4" s="5"/>
      <c r="AD4" s="275"/>
      <c r="AE4" s="275"/>
      <c r="AF4" s="275"/>
      <c r="AO4" s="14" t="s">
        <v>683</v>
      </c>
      <c r="AP4" s="30">
        <f>SUM(BG31:BI31)</f>
        <v>4737</v>
      </c>
      <c r="AQ4">
        <f>SUM(BJ31:BL31)</f>
        <v>20.5</v>
      </c>
      <c r="AV4" s="30">
        <f>Parcellaire!A2</f>
        <v>2</v>
      </c>
      <c r="AW4" s="30">
        <f>Parcellaire!B2</f>
        <v>2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0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0</v>
      </c>
      <c r="Z5" s="176">
        <f t="shared" si="9"/>
        <v>0</v>
      </c>
      <c r="AB5" s="32"/>
      <c r="AC5" s="5"/>
      <c r="AD5" s="275"/>
      <c r="AE5" s="275"/>
      <c r="AF5" s="275"/>
      <c r="AI5" s="40" t="s">
        <v>1428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3</v>
      </c>
      <c r="AW5" s="30">
        <f>Parcellaire!B3</f>
        <v>2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0</v>
      </c>
      <c r="BJ5" s="172">
        <f t="shared" si="6"/>
        <v>0</v>
      </c>
      <c r="BK5" s="172">
        <f t="shared" si="7"/>
        <v>0</v>
      </c>
      <c r="BL5" s="172">
        <f t="shared" si="8"/>
        <v>0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2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2">
        <f t="shared" si="11"/>
        <v>0</v>
      </c>
      <c r="BH7" s="172">
        <f t="shared" si="4"/>
        <v>0</v>
      </c>
      <c r="BI7" s="172">
        <f t="shared" si="5"/>
        <v>0</v>
      </c>
      <c r="BJ7" s="172">
        <f t="shared" si="6"/>
        <v>0</v>
      </c>
      <c r="BK7" s="172">
        <f t="shared" si="7"/>
        <v>0</v>
      </c>
      <c r="BL7" s="172">
        <f t="shared" si="8"/>
        <v>0</v>
      </c>
    </row>
    <row r="8" spans="1:64" x14ac:dyDescent="0.25">
      <c r="A8" s="14" t="s">
        <v>690</v>
      </c>
      <c r="B8" t="s">
        <v>568</v>
      </c>
      <c r="C8" s="176">
        <f>(C3+C4)*[1]Protect!$B$12</f>
        <v>2</v>
      </c>
      <c r="D8" s="176">
        <f>(D3+D4)*[1]Protect!$B$12</f>
        <v>2</v>
      </c>
      <c r="E8" s="176">
        <f>(E3+E4)*[1]Protect!$B$12</f>
        <v>2</v>
      </c>
      <c r="F8" s="176">
        <f>(F3+F4)*[1]Protect!$B$12</f>
        <v>2</v>
      </c>
      <c r="G8" s="176">
        <f>(G3+G4)*[1]Protect!$B$12</f>
        <v>2</v>
      </c>
      <c r="H8" s="176">
        <f>(H3+H4)*[1]Protect!$B$12</f>
        <v>2</v>
      </c>
      <c r="I8" s="176">
        <f>(I3+I4)*[1]Protect!$B$12</f>
        <v>2</v>
      </c>
      <c r="J8" s="176">
        <f>(J3+J4)*[1]Protect!$B$12</f>
        <v>2</v>
      </c>
      <c r="K8" s="176">
        <f>(K3+K4)*[1]Protect!$B$12</f>
        <v>2</v>
      </c>
      <c r="L8" s="176">
        <f>(L3+L4)*[1]Protect!$B$12</f>
        <v>4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2</v>
      </c>
      <c r="W8" s="176">
        <f>(W3+W4)*[1]Protect!$B$12</f>
        <v>0</v>
      </c>
      <c r="X8" s="176">
        <f>(X3+X4)*[1]Protect!$B$12</f>
        <v>0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6</v>
      </c>
      <c r="AW8" s="30">
        <f>Parcellaire!B6</f>
        <v>2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2">
        <f t="shared" si="11"/>
        <v>0</v>
      </c>
      <c r="BH8" s="172">
        <f t="shared" si="4"/>
        <v>0</v>
      </c>
      <c r="BI8" s="172">
        <f t="shared" si="5"/>
        <v>0</v>
      </c>
      <c r="BJ8" s="172">
        <f t="shared" si="6"/>
        <v>0</v>
      </c>
      <c r="BK8" s="172">
        <f t="shared" si="7"/>
        <v>0</v>
      </c>
      <c r="BL8" s="172">
        <f t="shared" si="8"/>
        <v>0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0</v>
      </c>
      <c r="Z9" s="176">
        <f>Z5*[1]Protect!$B$13</f>
        <v>0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2</v>
      </c>
      <c r="D11" s="176">
        <f t="shared" ref="D11:Z11" si="14">SUM(D8:D10)</f>
        <v>2</v>
      </c>
      <c r="E11" s="176">
        <f t="shared" si="14"/>
        <v>2</v>
      </c>
      <c r="F11" s="176">
        <f t="shared" si="14"/>
        <v>2</v>
      </c>
      <c r="G11" s="176">
        <f t="shared" si="14"/>
        <v>2</v>
      </c>
      <c r="H11" s="176">
        <f t="shared" si="14"/>
        <v>5</v>
      </c>
      <c r="I11" s="176">
        <f t="shared" si="14"/>
        <v>5</v>
      </c>
      <c r="J11" s="176">
        <f t="shared" si="14"/>
        <v>5</v>
      </c>
      <c r="K11" s="176">
        <f t="shared" si="14"/>
        <v>5</v>
      </c>
      <c r="L11" s="176">
        <f t="shared" si="14"/>
        <v>4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5</v>
      </c>
      <c r="W11" s="176">
        <f t="shared" si="14"/>
        <v>3</v>
      </c>
      <c r="X11" s="176">
        <f t="shared" si="14"/>
        <v>3</v>
      </c>
      <c r="Y11" s="176">
        <f t="shared" si="14"/>
        <v>2</v>
      </c>
      <c r="Z11" s="176">
        <f t="shared" si="14"/>
        <v>2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2</v>
      </c>
      <c r="D13" s="176">
        <f t="shared" ref="D13:Z13" si="15">D11+D12</f>
        <v>2</v>
      </c>
      <c r="E13" s="176">
        <f t="shared" si="15"/>
        <v>2</v>
      </c>
      <c r="F13" s="176">
        <f t="shared" si="15"/>
        <v>2</v>
      </c>
      <c r="G13" s="176">
        <f t="shared" si="15"/>
        <v>2</v>
      </c>
      <c r="H13" s="176">
        <f t="shared" si="15"/>
        <v>5</v>
      </c>
      <c r="I13" s="176">
        <f t="shared" si="15"/>
        <v>5</v>
      </c>
      <c r="J13" s="176">
        <f t="shared" si="15"/>
        <v>5</v>
      </c>
      <c r="K13" s="176">
        <f t="shared" si="15"/>
        <v>5</v>
      </c>
      <c r="L13" s="176">
        <f t="shared" si="15"/>
        <v>4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5</v>
      </c>
      <c r="W13" s="176">
        <f t="shared" si="15"/>
        <v>3</v>
      </c>
      <c r="X13" s="176">
        <f t="shared" si="15"/>
        <v>3</v>
      </c>
      <c r="Y13" s="176">
        <f t="shared" si="15"/>
        <v>2</v>
      </c>
      <c r="Z13" s="176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1</v>
      </c>
      <c r="D15" s="172">
        <f t="shared" si="16"/>
        <v>1</v>
      </c>
      <c r="E15" s="172">
        <f t="shared" si="16"/>
        <v>1</v>
      </c>
      <c r="F15" s="172">
        <f t="shared" si="16"/>
        <v>1</v>
      </c>
      <c r="G15" s="172">
        <f t="shared" si="16"/>
        <v>1</v>
      </c>
      <c r="H15" s="172">
        <f t="shared" si="16"/>
        <v>1</v>
      </c>
      <c r="I15" s="172">
        <f t="shared" si="16"/>
        <v>1</v>
      </c>
      <c r="J15" s="172">
        <f t="shared" si="16"/>
        <v>1</v>
      </c>
      <c r="K15" s="172">
        <f t="shared" si="16"/>
        <v>1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1</v>
      </c>
      <c r="W15" s="172">
        <f t="shared" si="16"/>
        <v>1</v>
      </c>
      <c r="X15" s="172">
        <f t="shared" si="16"/>
        <v>1</v>
      </c>
      <c r="Y15" s="172">
        <f t="shared" si="16"/>
        <v>1</v>
      </c>
      <c r="Z15" s="172">
        <f t="shared" si="16"/>
        <v>1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3</v>
      </c>
      <c r="D16" s="172">
        <f t="shared" si="17"/>
        <v>3</v>
      </c>
      <c r="E16" s="172">
        <f t="shared" si="17"/>
        <v>3</v>
      </c>
      <c r="F16" s="172">
        <f t="shared" si="17"/>
        <v>2</v>
      </c>
      <c r="G16" s="172">
        <f t="shared" si="17"/>
        <v>2</v>
      </c>
      <c r="H16" s="172">
        <f t="shared" si="17"/>
        <v>2</v>
      </c>
      <c r="I16" s="172">
        <f t="shared" si="17"/>
        <v>2</v>
      </c>
      <c r="J16" s="172">
        <f t="shared" si="17"/>
        <v>2</v>
      </c>
      <c r="K16" s="172">
        <f t="shared" si="17"/>
        <v>2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2</v>
      </c>
      <c r="W16" s="172">
        <f t="shared" si="17"/>
        <v>3</v>
      </c>
      <c r="X16" s="172">
        <f t="shared" si="17"/>
        <v>3</v>
      </c>
      <c r="Y16" s="172">
        <f t="shared" si="17"/>
        <v>3</v>
      </c>
      <c r="Z16" s="172">
        <f t="shared" si="17"/>
        <v>3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1</v>
      </c>
      <c r="G17" s="172">
        <f t="shared" si="18"/>
        <v>1</v>
      </c>
      <c r="H17" s="172">
        <f t="shared" si="18"/>
        <v>1</v>
      </c>
      <c r="I17" s="172">
        <f t="shared" si="18"/>
        <v>1</v>
      </c>
      <c r="J17" s="172">
        <f t="shared" si="18"/>
        <v>1</v>
      </c>
      <c r="K17" s="172">
        <f t="shared" si="18"/>
        <v>1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1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2</v>
      </c>
      <c r="D18" s="61">
        <f t="shared" ref="D18:Z18" si="19">IF(AND(D15=0,(D16+D17)&gt;0),1,IF(AND(D15&gt;0,(D16+D17)&gt;0),D15+1,D15))</f>
        <v>2</v>
      </c>
      <c r="E18" s="61">
        <f t="shared" si="19"/>
        <v>2</v>
      </c>
      <c r="F18" s="61">
        <f t="shared" si="19"/>
        <v>2</v>
      </c>
      <c r="G18" s="61">
        <f t="shared" si="19"/>
        <v>2</v>
      </c>
      <c r="H18" s="61">
        <f t="shared" si="19"/>
        <v>2</v>
      </c>
      <c r="I18" s="61">
        <f t="shared" si="19"/>
        <v>2</v>
      </c>
      <c r="J18" s="61">
        <f t="shared" si="19"/>
        <v>2</v>
      </c>
      <c r="K18" s="61">
        <f t="shared" si="19"/>
        <v>2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2</v>
      </c>
      <c r="W18" s="61">
        <f t="shared" si="19"/>
        <v>2</v>
      </c>
      <c r="X18" s="61">
        <f t="shared" si="19"/>
        <v>2</v>
      </c>
      <c r="Y18" s="61">
        <f t="shared" si="19"/>
        <v>2</v>
      </c>
      <c r="Z18" s="61">
        <f t="shared" si="19"/>
        <v>2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2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10"/>
        <v>AU</v>
      </c>
      <c r="BG18" s="172">
        <f t="shared" si="11"/>
        <v>0</v>
      </c>
      <c r="BH18" s="172">
        <f t="shared" si="4"/>
        <v>0</v>
      </c>
      <c r="BI18" s="172">
        <f t="shared" si="5"/>
        <v>0</v>
      </c>
      <c r="BJ18" s="172">
        <f t="shared" si="6"/>
        <v>0</v>
      </c>
      <c r="BK18" s="172">
        <f t="shared" si="7"/>
        <v>0</v>
      </c>
      <c r="BL18" s="172">
        <f t="shared" si="8"/>
        <v>0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4737</v>
      </c>
      <c r="AE20" s="63">
        <v>0</v>
      </c>
      <c r="AF20" s="63">
        <f>SUM(AD20:AE20)</f>
        <v>4737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4737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2</v>
      </c>
      <c r="D22" s="61">
        <f t="shared" ref="D22:Z22" si="22">D18+D19+D21</f>
        <v>2</v>
      </c>
      <c r="E22" s="61">
        <f t="shared" si="22"/>
        <v>2</v>
      </c>
      <c r="F22" s="61">
        <f t="shared" si="22"/>
        <v>2</v>
      </c>
      <c r="G22" s="61">
        <f t="shared" si="22"/>
        <v>2</v>
      </c>
      <c r="H22" s="61">
        <f t="shared" si="22"/>
        <v>2</v>
      </c>
      <c r="I22" s="61">
        <f t="shared" si="22"/>
        <v>2</v>
      </c>
      <c r="J22" s="61">
        <f t="shared" si="22"/>
        <v>2</v>
      </c>
      <c r="K22" s="61">
        <f t="shared" si="22"/>
        <v>2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2</v>
      </c>
      <c r="W22" s="61">
        <f t="shared" si="22"/>
        <v>2</v>
      </c>
      <c r="X22" s="61">
        <f t="shared" si="22"/>
        <v>2</v>
      </c>
      <c r="Y22" s="61">
        <f t="shared" si="22"/>
        <v>2</v>
      </c>
      <c r="Z22" s="61">
        <f t="shared" si="22"/>
        <v>2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2</v>
      </c>
      <c r="L25" s="176">
        <f t="shared" si="23"/>
        <v>3</v>
      </c>
      <c r="M25" s="176">
        <f t="shared" si="23"/>
        <v>3</v>
      </c>
      <c r="N25" s="176">
        <f t="shared" si="23"/>
        <v>3</v>
      </c>
      <c r="O25" s="176">
        <f t="shared" si="23"/>
        <v>3</v>
      </c>
      <c r="P25" s="176">
        <f t="shared" si="23"/>
        <v>2</v>
      </c>
      <c r="Q25" s="176">
        <f t="shared" si="23"/>
        <v>2</v>
      </c>
      <c r="R25" s="176">
        <f t="shared" si="23"/>
        <v>3</v>
      </c>
      <c r="S25" s="176">
        <f t="shared" si="23"/>
        <v>3</v>
      </c>
      <c r="T25" s="176">
        <f t="shared" si="23"/>
        <v>2</v>
      </c>
      <c r="U25" s="176">
        <f t="shared" si="23"/>
        <v>3</v>
      </c>
      <c r="V25" s="176">
        <f t="shared" si="23"/>
        <v>3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4737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1</v>
      </c>
      <c r="L26" s="176">
        <f t="shared" si="24"/>
        <v>0</v>
      </c>
      <c r="M26" s="176">
        <f t="shared" si="24"/>
        <v>0</v>
      </c>
      <c r="N26" s="176">
        <f t="shared" si="24"/>
        <v>0</v>
      </c>
      <c r="O26" s="176">
        <f t="shared" si="24"/>
        <v>0</v>
      </c>
      <c r="P26" s="176">
        <f t="shared" si="24"/>
        <v>1</v>
      </c>
      <c r="Q26" s="176">
        <f t="shared" si="24"/>
        <v>1</v>
      </c>
      <c r="R26" s="176">
        <f t="shared" si="24"/>
        <v>0</v>
      </c>
      <c r="S26" s="176">
        <f t="shared" si="24"/>
        <v>0</v>
      </c>
      <c r="T26" s="176">
        <f t="shared" si="24"/>
        <v>1</v>
      </c>
      <c r="U26" s="176">
        <f t="shared" si="24"/>
        <v>0</v>
      </c>
      <c r="V26" s="176">
        <f t="shared" si="24"/>
        <v>0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20.5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4</v>
      </c>
      <c r="L29" s="176">
        <f>L25*[1]Protect!$B$12</f>
        <v>6</v>
      </c>
      <c r="M29" s="176">
        <f>M25*[1]Protect!$B$12</f>
        <v>6</v>
      </c>
      <c r="N29" s="176">
        <f>N25*[1]Protect!$B$12</f>
        <v>6</v>
      </c>
      <c r="O29" s="176">
        <f>O25*[1]Protect!$B$12</f>
        <v>6</v>
      </c>
      <c r="P29" s="176">
        <f>P25*[1]Protect!$B$12</f>
        <v>4</v>
      </c>
      <c r="Q29" s="176">
        <f>Q25*[1]Protect!$B$12</f>
        <v>4</v>
      </c>
      <c r="R29" s="176">
        <f>R25*[1]Protect!$B$12</f>
        <v>6</v>
      </c>
      <c r="S29" s="176">
        <f>S25*[1]Protect!$B$12</f>
        <v>6</v>
      </c>
      <c r="T29" s="176">
        <f>T25*[1]Protect!$B$12</f>
        <v>4</v>
      </c>
      <c r="U29" s="176">
        <f>U25*[1]Protect!$B$12</f>
        <v>6</v>
      </c>
      <c r="V29" s="176">
        <f>V25*[1]Protect!$B$12</f>
        <v>6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3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3</v>
      </c>
      <c r="Q30" s="176">
        <f>Q26*[1]Protect!$B$13</f>
        <v>3</v>
      </c>
      <c r="R30" s="176">
        <f>R26*[1]Protect!$B$13</f>
        <v>0</v>
      </c>
      <c r="S30" s="176">
        <f>S26*[1]Protect!$B$13</f>
        <v>0</v>
      </c>
      <c r="T30" s="176">
        <f>T26*[1]Protect!$B$13</f>
        <v>3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0</v>
      </c>
      <c r="BJ31" s="61">
        <f t="shared" si="27"/>
        <v>7.1</v>
      </c>
      <c r="BK31" s="61">
        <f t="shared" si="27"/>
        <v>13.400000000000002</v>
      </c>
      <c r="BL31" s="61">
        <f>SUM(BL3:BL30)</f>
        <v>0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7</v>
      </c>
      <c r="L32" s="176">
        <f t="shared" si="28"/>
        <v>6</v>
      </c>
      <c r="M32" s="176">
        <f t="shared" si="28"/>
        <v>6</v>
      </c>
      <c r="N32" s="176">
        <f t="shared" si="28"/>
        <v>6</v>
      </c>
      <c r="O32" s="176">
        <f t="shared" si="28"/>
        <v>6</v>
      </c>
      <c r="P32" s="176">
        <f t="shared" si="28"/>
        <v>7</v>
      </c>
      <c r="Q32" s="176">
        <f t="shared" si="28"/>
        <v>7</v>
      </c>
      <c r="R32" s="176">
        <f t="shared" si="28"/>
        <v>6</v>
      </c>
      <c r="S32" s="176">
        <f t="shared" si="28"/>
        <v>6</v>
      </c>
      <c r="T32" s="176">
        <f t="shared" si="28"/>
        <v>7</v>
      </c>
      <c r="U32" s="176">
        <f t="shared" si="28"/>
        <v>6</v>
      </c>
      <c r="V32" s="176">
        <f t="shared" si="28"/>
        <v>6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14</v>
      </c>
      <c r="L34" s="176">
        <f t="shared" si="29"/>
        <v>12</v>
      </c>
      <c r="M34" s="176">
        <f t="shared" si="29"/>
        <v>12</v>
      </c>
      <c r="N34" s="176">
        <f t="shared" si="29"/>
        <v>12</v>
      </c>
      <c r="O34" s="176">
        <f t="shared" si="29"/>
        <v>12</v>
      </c>
      <c r="P34" s="176">
        <f t="shared" si="29"/>
        <v>14</v>
      </c>
      <c r="Q34" s="176">
        <f t="shared" si="29"/>
        <v>14</v>
      </c>
      <c r="R34" s="176">
        <f t="shared" si="29"/>
        <v>12</v>
      </c>
      <c r="S34" s="176">
        <f t="shared" si="29"/>
        <v>12</v>
      </c>
      <c r="T34" s="176">
        <f t="shared" si="29"/>
        <v>14</v>
      </c>
      <c r="U34" s="176">
        <f t="shared" si="29"/>
        <v>12</v>
      </c>
      <c r="V34" s="176">
        <f t="shared" si="29"/>
        <v>12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3</v>
      </c>
      <c r="N36" s="172">
        <f t="shared" si="30"/>
        <v>3</v>
      </c>
      <c r="O36" s="172">
        <f t="shared" si="30"/>
        <v>3</v>
      </c>
      <c r="P36" s="172">
        <f t="shared" si="30"/>
        <v>3</v>
      </c>
      <c r="Q36" s="172">
        <f t="shared" si="30"/>
        <v>3</v>
      </c>
      <c r="R36" s="172">
        <f t="shared" si="30"/>
        <v>3</v>
      </c>
      <c r="S36" s="172">
        <f t="shared" si="30"/>
        <v>3</v>
      </c>
      <c r="T36" s="172">
        <f t="shared" si="30"/>
        <v>3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3</v>
      </c>
      <c r="N39" s="61">
        <f t="shared" si="33"/>
        <v>3</v>
      </c>
      <c r="O39" s="61">
        <f t="shared" si="33"/>
        <v>3</v>
      </c>
      <c r="P39" s="61">
        <f t="shared" si="33"/>
        <v>3</v>
      </c>
      <c r="Q39" s="61">
        <f t="shared" si="33"/>
        <v>3</v>
      </c>
      <c r="R39" s="61">
        <f t="shared" si="33"/>
        <v>3</v>
      </c>
      <c r="S39" s="61">
        <f t="shared" si="33"/>
        <v>3</v>
      </c>
      <c r="T39" s="61">
        <f t="shared" si="33"/>
        <v>3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1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1</v>
      </c>
      <c r="J71" s="172">
        <f>IF($AA71=0,99,IF(J84&gt;3,CdTrp1!I79,CdTrp1!I55))</f>
        <v>1</v>
      </c>
      <c r="K71" s="172">
        <f>IF($AA71=0,99,IF(K84&gt;3,CdTrp1!J79,CdTrp1!J55))</f>
        <v>1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1</v>
      </c>
      <c r="W71" s="172">
        <f>IF($AA71=0,99,IF(W84&gt;3,CdTrp1!V79,CdTrp1!V55))</f>
        <v>1</v>
      </c>
      <c r="X71" s="172">
        <f>IF($AA71=0,99,IF(X84&gt;3,CdTrp1!W79,CdTrp1!W55))</f>
        <v>1</v>
      </c>
      <c r="Y71" s="172">
        <f>IF($AA71=0,99,IF(Y84&gt;3,CdTrp1!X79,CdTrp1!X55))</f>
        <v>1</v>
      </c>
      <c r="Z71" s="172">
        <f>IF($AA71=0,99,IF(Z84&gt;3,CdTrp1!Y79,CdTrp1!Y55))</f>
        <v>1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1</v>
      </c>
      <c r="D82" s="172">
        <f>CdTrp1!C77</f>
        <v>1</v>
      </c>
      <c r="E82" s="172">
        <f>CdTrp1!D77</f>
        <v>1</v>
      </c>
      <c r="F82" s="172">
        <f>CdTrp1!E77</f>
        <v>1</v>
      </c>
      <c r="G82" s="172">
        <f>CdTrp1!F77</f>
        <v>1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1</v>
      </c>
      <c r="Z82" s="172">
        <f>CdTrp1!Y77</f>
        <v>1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</v>
      </c>
      <c r="N110" s="172">
        <f>IF($AA110=0,99,IF(N123&gt;3,CdTrp2!M76,CdTrp2!M52))</f>
        <v>0</v>
      </c>
      <c r="O110" s="172">
        <f>IF($AA110=0,99,IF(O123&gt;3,CdTrp2!N76,CdTrp2!N52))</f>
        <v>0</v>
      </c>
      <c r="P110" s="172">
        <f>IF($AA110=0,99,IF(P123&gt;3,CdTrp2!O76,CdTrp2!O52))</f>
        <v>0</v>
      </c>
      <c r="Q110" s="172">
        <f>IF($AA110=0,99,IF(Q123&gt;3,CdTrp2!P76,CdTrp2!P52))</f>
        <v>0</v>
      </c>
      <c r="R110" s="172">
        <f>IF($AA110=0,99,IF(R123&gt;3,CdTrp2!Q76,CdTrp2!Q52))</f>
        <v>0</v>
      </c>
      <c r="S110" s="172">
        <f>IF($AA110=0,99,IF(S123&gt;3,CdTrp2!R76,CdTrp2!R52))</f>
        <v>0</v>
      </c>
      <c r="T110" s="172">
        <f>IF($AA110=0,99,IF(T123&gt;3,CdTrp2!S76,CdTrp2!S52))</f>
        <v>0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3</v>
      </c>
      <c r="Q125" s="30">
        <f>CdTrp2!P78</f>
        <v>3</v>
      </c>
      <c r="R125" s="30">
        <f>CdTrp2!Q78</f>
        <v>2</v>
      </c>
      <c r="S125" s="30">
        <f>CdTrp2!R78</f>
        <v>2</v>
      </c>
      <c r="T125" s="30">
        <f>CdTrp2!S78</f>
        <v>3</v>
      </c>
      <c r="U125" s="30">
        <f>CdTrp2!T78</f>
        <v>2</v>
      </c>
      <c r="V125" s="30">
        <f>CdTrp2!U78</f>
        <v>2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2</v>
      </c>
      <c r="D180" s="172">
        <f>IF(Troupeau!$B$3="OL",Protection!D18,0)</f>
        <v>2</v>
      </c>
      <c r="E180" s="172">
        <f>IF(Troupeau!$B$3="OL",Protection!E18,0)</f>
        <v>2</v>
      </c>
      <c r="F180" s="172">
        <f>IF(Troupeau!$B$3="OL",Protection!F18,0)</f>
        <v>2</v>
      </c>
      <c r="G180" s="172">
        <f>IF(Troupeau!$B$3="OL",Protection!G18,0)</f>
        <v>2</v>
      </c>
      <c r="H180" s="172">
        <f>IF(Troupeau!$B$3="OL",Protection!H18,0)</f>
        <v>2</v>
      </c>
      <c r="I180" s="172">
        <f>IF(Troupeau!$B$3="OL",Protection!I18,0)</f>
        <v>2</v>
      </c>
      <c r="J180" s="172">
        <f>IF(Troupeau!$B$3="OL",Protection!J18,0)</f>
        <v>2</v>
      </c>
      <c r="K180" s="172">
        <f>IF(Troupeau!$B$3="OL",Protection!K18,0)</f>
        <v>2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2</v>
      </c>
      <c r="W180" s="172">
        <f>IF(Troupeau!$B$3="OL",Protection!W18,0)</f>
        <v>2</v>
      </c>
      <c r="X180" s="172">
        <f>IF(Troupeau!$B$3="OL",Protection!X18,0)</f>
        <v>2</v>
      </c>
      <c r="Y180" s="172">
        <f>IF(Troupeau!$B$3="OL",Protection!Y18,0)</f>
        <v>2</v>
      </c>
      <c r="Z180" s="172">
        <f>IF(Troupeau!$B$3="OL",Protection!Z18,0)</f>
        <v>2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2</v>
      </c>
      <c r="D195" s="172">
        <f t="shared" ref="D195:Z196" si="50">D180+D183+D185+D187</f>
        <v>2</v>
      </c>
      <c r="E195" s="172">
        <f t="shared" si="50"/>
        <v>2</v>
      </c>
      <c r="F195" s="172">
        <f t="shared" si="50"/>
        <v>2</v>
      </c>
      <c r="G195" s="172">
        <f t="shared" si="50"/>
        <v>2</v>
      </c>
      <c r="H195" s="172">
        <f t="shared" si="50"/>
        <v>2</v>
      </c>
      <c r="I195" s="172">
        <f t="shared" si="50"/>
        <v>2</v>
      </c>
      <c r="J195" s="172">
        <f t="shared" si="50"/>
        <v>2</v>
      </c>
      <c r="K195" s="172">
        <f t="shared" si="50"/>
        <v>2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2</v>
      </c>
      <c r="W195" s="172">
        <f t="shared" si="50"/>
        <v>2</v>
      </c>
      <c r="X195" s="172">
        <f t="shared" si="50"/>
        <v>2</v>
      </c>
      <c r="Y195" s="172">
        <f t="shared" si="50"/>
        <v>2</v>
      </c>
      <c r="Z195" s="172">
        <f t="shared" si="50"/>
        <v>2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2</v>
      </c>
      <c r="D201" s="172">
        <f>IF(Troupeau!$B$3="OL",D8+D9,0)</f>
        <v>2</v>
      </c>
      <c r="E201" s="172">
        <f>IF(Troupeau!$B$3="OL",E8+E9,0)</f>
        <v>2</v>
      </c>
      <c r="F201" s="172">
        <f>IF(Troupeau!$B$3="OL",F8+F9,0)</f>
        <v>2</v>
      </c>
      <c r="G201" s="172">
        <f>IF(Troupeau!$B$3="OL",G8+G9,0)</f>
        <v>2</v>
      </c>
      <c r="H201" s="172">
        <f>IF(Troupeau!$B$3="OL",H8+H9,0)</f>
        <v>5</v>
      </c>
      <c r="I201" s="172">
        <f>IF(Troupeau!$B$3="OL",I8+I9,0)</f>
        <v>5</v>
      </c>
      <c r="J201" s="172">
        <f>IF(Troupeau!$B$3="OL",J8+J9,0)</f>
        <v>5</v>
      </c>
      <c r="K201" s="172">
        <f>IF(Troupeau!$B$3="OL",K8+K9,0)</f>
        <v>5</v>
      </c>
      <c r="L201" s="172">
        <f>IF(Troupeau!$B$3="OL",L8+L9,0)</f>
        <v>4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5</v>
      </c>
      <c r="W201" s="172">
        <f>IF(Troupeau!$B$3="OL",W8+W9,0)</f>
        <v>3</v>
      </c>
      <c r="X201" s="172">
        <f>IF(Troupeau!$B$3="OL",X8+X9,0)</f>
        <v>3</v>
      </c>
      <c r="Y201" s="172">
        <f>IF(Troupeau!$B$3="OL",Y8+Y9,0)</f>
        <v>2</v>
      </c>
      <c r="Z201" s="172">
        <f>IF(Troupeau!$B$3="OL",Z8+Z9,0)</f>
        <v>2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2</v>
      </c>
      <c r="D203" s="172">
        <f t="shared" ref="D203:Z203" si="51">SUM(D201:D202)</f>
        <v>2</v>
      </c>
      <c r="E203" s="172">
        <f t="shared" si="51"/>
        <v>2</v>
      </c>
      <c r="F203" s="172">
        <f t="shared" si="51"/>
        <v>2</v>
      </c>
      <c r="G203" s="172">
        <f t="shared" si="51"/>
        <v>2</v>
      </c>
      <c r="H203" s="172">
        <f t="shared" si="51"/>
        <v>5</v>
      </c>
      <c r="I203" s="172">
        <f t="shared" si="51"/>
        <v>5</v>
      </c>
      <c r="J203" s="172">
        <f t="shared" si="51"/>
        <v>5</v>
      </c>
      <c r="K203" s="172">
        <f t="shared" si="51"/>
        <v>5</v>
      </c>
      <c r="L203" s="172">
        <f t="shared" si="51"/>
        <v>4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5</v>
      </c>
      <c r="W203" s="172">
        <f t="shared" si="51"/>
        <v>3</v>
      </c>
      <c r="X203" s="172">
        <f t="shared" si="51"/>
        <v>3</v>
      </c>
      <c r="Y203" s="172">
        <f t="shared" si="51"/>
        <v>2</v>
      </c>
      <c r="Z203" s="172">
        <f t="shared" si="51"/>
        <v>2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2</v>
      </c>
      <c r="D212" s="172">
        <f t="shared" ref="D212:Z213" si="52">D201+D204+D206+D208</f>
        <v>2</v>
      </c>
      <c r="E212" s="172">
        <f t="shared" si="52"/>
        <v>2</v>
      </c>
      <c r="F212" s="172">
        <f t="shared" si="52"/>
        <v>2</v>
      </c>
      <c r="G212" s="172">
        <f t="shared" si="52"/>
        <v>2</v>
      </c>
      <c r="H212" s="172">
        <f t="shared" si="52"/>
        <v>5</v>
      </c>
      <c r="I212" s="172">
        <f t="shared" si="52"/>
        <v>5</v>
      </c>
      <c r="J212" s="172">
        <f t="shared" si="52"/>
        <v>5</v>
      </c>
      <c r="K212" s="172">
        <f t="shared" si="52"/>
        <v>5</v>
      </c>
      <c r="L212" s="172">
        <f t="shared" si="52"/>
        <v>4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5</v>
      </c>
      <c r="W212" s="172">
        <f t="shared" si="52"/>
        <v>3</v>
      </c>
      <c r="X212" s="172">
        <f t="shared" si="52"/>
        <v>3</v>
      </c>
      <c r="Y212" s="172">
        <f t="shared" si="52"/>
        <v>2</v>
      </c>
      <c r="Z212" s="172">
        <f t="shared" si="52"/>
        <v>2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2</v>
      </c>
      <c r="D214" s="172">
        <f t="shared" ref="D214:Z214" si="53">D212+D213</f>
        <v>2</v>
      </c>
      <c r="E214" s="172">
        <f t="shared" si="53"/>
        <v>2</v>
      </c>
      <c r="F214" s="172">
        <f t="shared" si="53"/>
        <v>2</v>
      </c>
      <c r="G214" s="172">
        <f t="shared" si="53"/>
        <v>2</v>
      </c>
      <c r="H214" s="172">
        <f t="shared" si="53"/>
        <v>5</v>
      </c>
      <c r="I214" s="172">
        <f t="shared" si="53"/>
        <v>5</v>
      </c>
      <c r="J214" s="172">
        <f t="shared" si="53"/>
        <v>5</v>
      </c>
      <c r="K214" s="172">
        <f t="shared" si="53"/>
        <v>5</v>
      </c>
      <c r="L214" s="172">
        <f t="shared" si="53"/>
        <v>4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5</v>
      </c>
      <c r="W214" s="172">
        <f t="shared" si="53"/>
        <v>3</v>
      </c>
      <c r="X214" s="172">
        <f t="shared" si="53"/>
        <v>3</v>
      </c>
      <c r="Y214" s="172">
        <f t="shared" si="53"/>
        <v>2</v>
      </c>
      <c r="Z214" s="172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595</v>
      </c>
      <c r="G5" s="172">
        <f>AV117</f>
        <v>21</v>
      </c>
      <c r="H5" s="172">
        <f t="shared" ref="H5:AD5" si="0">AW117</f>
        <v>21</v>
      </c>
      <c r="I5" s="172">
        <f t="shared" si="0"/>
        <v>21</v>
      </c>
      <c r="J5" s="172">
        <f t="shared" si="0"/>
        <v>21</v>
      </c>
      <c r="K5" s="172">
        <f t="shared" si="0"/>
        <v>21</v>
      </c>
      <c r="L5" s="172">
        <f t="shared" si="0"/>
        <v>42</v>
      </c>
      <c r="M5" s="172">
        <f t="shared" si="0"/>
        <v>42</v>
      </c>
      <c r="N5" s="172">
        <f t="shared" si="0"/>
        <v>42</v>
      </c>
      <c r="O5" s="172">
        <f t="shared" si="0"/>
        <v>42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42</v>
      </c>
      <c r="AA5" s="172">
        <f t="shared" si="0"/>
        <v>28</v>
      </c>
      <c r="AB5" s="172">
        <f t="shared" si="0"/>
        <v>28</v>
      </c>
      <c r="AC5" s="172">
        <f t="shared" si="0"/>
        <v>21</v>
      </c>
      <c r="AD5" s="172">
        <f t="shared" si="0"/>
        <v>21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151.19999999999999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12.25</v>
      </c>
      <c r="R6" s="172">
        <f t="shared" si="2"/>
        <v>12.25</v>
      </c>
      <c r="S6" s="172">
        <f t="shared" si="2"/>
        <v>12.25</v>
      </c>
      <c r="T6" s="172">
        <f t="shared" si="2"/>
        <v>12.25</v>
      </c>
      <c r="U6" s="172">
        <f t="shared" si="2"/>
        <v>12.25</v>
      </c>
      <c r="V6" s="172">
        <f t="shared" si="2"/>
        <v>12.25</v>
      </c>
      <c r="W6" s="172">
        <f t="shared" si="2"/>
        <v>12.25</v>
      </c>
      <c r="X6" s="172">
        <f t="shared" si="2"/>
        <v>12.25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967.73600000000022</v>
      </c>
      <c r="G9" s="30">
        <f>AV102</f>
        <v>52.18530434782609</v>
      </c>
      <c r="H9" s="30">
        <f t="shared" ref="H9:AD9" si="4">AW102</f>
        <v>52.092782608695657</v>
      </c>
      <c r="I9" s="30">
        <f t="shared" si="4"/>
        <v>52.000260869565217</v>
      </c>
      <c r="J9" s="30">
        <f t="shared" si="4"/>
        <v>51.954000000000001</v>
      </c>
      <c r="K9" s="30">
        <f t="shared" si="4"/>
        <v>51.907739130434784</v>
      </c>
      <c r="L9" s="30">
        <f t="shared" si="4"/>
        <v>51.861478260869568</v>
      </c>
      <c r="M9" s="30">
        <f t="shared" si="4"/>
        <v>51.815217391304351</v>
      </c>
      <c r="N9" s="30">
        <f t="shared" si="4"/>
        <v>51.768956521739128</v>
      </c>
      <c r="O9" s="30">
        <f t="shared" si="4"/>
        <v>51.676434782608695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50.288608695652172</v>
      </c>
      <c r="AA9" s="30">
        <f t="shared" si="4"/>
        <v>50.288608695652172</v>
      </c>
      <c r="AB9" s="30">
        <f t="shared" si="4"/>
        <v>52.18530434782609</v>
      </c>
      <c r="AC9" s="30">
        <f t="shared" si="4"/>
        <v>52.18530434782609</v>
      </c>
      <c r="AD9" s="30">
        <f t="shared" si="4"/>
        <v>52.18530434782609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2318.7359999999999</v>
      </c>
      <c r="G13" s="30">
        <f>SUM(G5:G11)</f>
        <v>115.18530434782609</v>
      </c>
      <c r="H13" s="30">
        <f t="shared" ref="H13:AD13" si="8">SUM(H5:H11)</f>
        <v>115.09278260869566</v>
      </c>
      <c r="I13" s="30">
        <f t="shared" si="8"/>
        <v>115.00026086956521</v>
      </c>
      <c r="J13" s="30">
        <f t="shared" si="8"/>
        <v>114.95400000000001</v>
      </c>
      <c r="K13" s="30">
        <f t="shared" si="8"/>
        <v>114.90773913043478</v>
      </c>
      <c r="L13" s="30">
        <f t="shared" si="8"/>
        <v>135.86147826086957</v>
      </c>
      <c r="M13" s="30">
        <f t="shared" si="8"/>
        <v>120.06521739130434</v>
      </c>
      <c r="N13" s="30">
        <f t="shared" si="8"/>
        <v>120.01895652173913</v>
      </c>
      <c r="O13" s="30">
        <f t="shared" si="8"/>
        <v>140.92643478260868</v>
      </c>
      <c r="P13" s="30">
        <f t="shared" si="8"/>
        <v>105.83391304347826</v>
      </c>
      <c r="Q13" s="30">
        <f t="shared" si="8"/>
        <v>70.833913043478262</v>
      </c>
      <c r="R13" s="30">
        <f t="shared" si="8"/>
        <v>47.905565217391306</v>
      </c>
      <c r="S13" s="30">
        <f t="shared" si="8"/>
        <v>47.905565217391306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47.905565217391306</v>
      </c>
      <c r="X13" s="30">
        <f t="shared" si="8"/>
        <v>47.905565217391306</v>
      </c>
      <c r="Y13" s="30">
        <f t="shared" si="8"/>
        <v>98.833913043478262</v>
      </c>
      <c r="Z13" s="30">
        <f t="shared" si="8"/>
        <v>132.53860869565216</v>
      </c>
      <c r="AA13" s="30">
        <f t="shared" si="8"/>
        <v>125.53860869565217</v>
      </c>
      <c r="AB13" s="30">
        <f t="shared" si="8"/>
        <v>127.43530434782609</v>
      </c>
      <c r="AC13" s="30">
        <f t="shared" si="8"/>
        <v>115.18530434782609</v>
      </c>
      <c r="AD13" s="30">
        <f t="shared" si="8"/>
        <v>115.18530434782609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134.4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1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3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3</v>
      </c>
      <c r="BC40" s="172">
        <f>IF(CdTrp1!I55=1,3,IF(CdTrp1!I55=0.5,2,IF(CdTrp1!I55=0,1,0)))</f>
        <v>3</v>
      </c>
      <c r="BD40" s="172">
        <f>IF(CdTrp1!J55=1,3,IF(CdTrp1!J55=0.5,2,IF(CdTrp1!J55=0,1,0)))</f>
        <v>3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3</v>
      </c>
      <c r="BP40" s="172">
        <f>IF(CdTrp1!V55=1,3,IF(CdTrp1!V55=0.5,2,IF(CdTrp1!V55=0,1,0)))</f>
        <v>3</v>
      </c>
      <c r="BQ40" s="172">
        <f>IF(CdTrp1!W55=1,3,IF(CdTrp1!W55=0.5,2,IF(CdTrp1!W55=0,1,0)))</f>
        <v>3</v>
      </c>
      <c r="BR40" s="172">
        <f>IF(CdTrp1!X55=1,3,IF(CdTrp1!X55=0.5,2,IF(CdTrp1!X55=0,1,0)))</f>
        <v>3</v>
      </c>
      <c r="BS40" s="172">
        <f>IF(CdTrp1!Y55=1,3,IF(CdTrp1!Y55=0.5,2,IF(CdTrp1!Y55=0,1,0)))</f>
        <v>3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1</v>
      </c>
      <c r="AW49" s="172">
        <f>IF(CdTrp1!C77=1,1,IF(CdTrp1!C77=2,2,IF(CdTrp1!C77=3,2,0)))</f>
        <v>1</v>
      </c>
      <c r="AX49" s="172">
        <f>IF(CdTrp1!D77=1,1,IF(CdTrp1!D77=2,2,IF(CdTrp1!D77=3,2,0)))</f>
        <v>1</v>
      </c>
      <c r="AY49" s="172">
        <f>IF(CdTrp1!E77=1,1,IF(CdTrp1!E77=2,2,IF(CdTrp1!E77=3,2,0)))</f>
        <v>1</v>
      </c>
      <c r="AZ49" s="172">
        <f>IF(CdTrp1!F77=1,1,IF(CdTrp1!F77=2,2,IF(CdTrp1!F77=3,2,0)))</f>
        <v>1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1</v>
      </c>
      <c r="BS49" s="172">
        <f>IF(CdTrp1!Y77=1,1,IF(CdTrp1!Y77=2,2,IF(CdTrp1!Y77=3,2,0)))</f>
        <v>1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14.85</v>
      </c>
      <c r="C55" s="189">
        <f>IF(B55&gt;[1]Trav!E121,[1]Trav!C121,[1]Trav!B121)</f>
        <v>7.2</v>
      </c>
      <c r="D55"/>
      <c r="E55" s="171"/>
      <c r="F55" s="172">
        <f t="shared" si="32"/>
        <v>107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11.4</v>
      </c>
      <c r="C56" s="189">
        <f>IF(B56&gt;[1]Trav!E121,[1]Trav!C121,[1]Trav!B121)</f>
        <v>7.2</v>
      </c>
      <c r="D56"/>
      <c r="E56" s="171"/>
      <c r="F56" s="172">
        <f t="shared" si="32"/>
        <v>82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1.6500000000000004</v>
      </c>
      <c r="C58" s="189">
        <f>IF(B58&gt;[1]Trav!E122,[1]Trav!C122,[1]Trav!B122)</f>
        <v>4.4000000000000004</v>
      </c>
      <c r="E58" s="171"/>
      <c r="F58" s="172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211</v>
      </c>
      <c r="CM60" s="172">
        <f>IF(CM15=0,0,IF(CM37=3,0,VALUE(CONCATENATE(Travail!CM26,Travail!CM37,Travail!CM48))))</f>
        <v>211</v>
      </c>
      <c r="CN60" s="172">
        <f>IF(CN15=0,0,IF(CN37=3,0,VALUE(CONCATENATE(Travail!CN26,Travail!CN37,Travail!CN48))))</f>
        <v>211</v>
      </c>
      <c r="CO60" s="172">
        <f>IF(CO15=0,0,IF(CO37=3,0,VALUE(CONCATENATE(Travail!CO26,Travail!CO37,Travail!CO48))))</f>
        <v>211</v>
      </c>
      <c r="CP60" s="172">
        <f>IF(CP15=0,0,IF(CP37=3,0,VALUE(CONCATENATE(Travail!CP26,Travail!CP37,Travail!CP48))))</f>
        <v>211</v>
      </c>
      <c r="CQ60" s="172">
        <f>IF(CQ15=0,0,IF(CQ37=3,0,VALUE(CONCATENATE(Travail!CQ26,Travail!CQ37,Travail!CQ48))))</f>
        <v>211</v>
      </c>
      <c r="CR60" s="172">
        <f>IF(CR15=0,0,IF(CR37=3,0,VALUE(CONCATENATE(Travail!CR26,Travail!CR37,Travail!CR48))))</f>
        <v>211</v>
      </c>
      <c r="CS60" s="172">
        <f>IF(CS15=0,0,IF(CS37=3,0,VALUE(CONCATENATE(Travail!CS26,Travail!CS37,Travail!CS48))))</f>
        <v>211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211</v>
      </c>
      <c r="AW61" s="172">
        <f>IF(AW16=0,0,IF(AW38=3,0,VALUE(CONCATENATE(Travail!AW27,Travail!AW38,Travail!AW49))))</f>
        <v>211</v>
      </c>
      <c r="AX61" s="172">
        <f>IF(AX16=0,0,IF(AX38=3,0,VALUE(CONCATENATE(Travail!AX27,Travail!AX38,Travail!AX49))))</f>
        <v>211</v>
      </c>
      <c r="AY61" s="172">
        <f>IF(AY16=0,0,IF(AY38=3,0,VALUE(CONCATENATE(Travail!AY27,Travail!AY38,Travail!AY49))))</f>
        <v>211</v>
      </c>
      <c r="AZ61" s="172">
        <f>IF(AZ16=0,0,IF(AZ38=3,0,VALUE(CONCATENATE(Travail!AZ27,Travail!AZ38,Travail!AZ49))))</f>
        <v>211</v>
      </c>
      <c r="BA61" s="172">
        <f>IF(BA16=0,0,IF(BA38=3,0,VALUE(CONCATENATE(Travail!BA27,Travail!BA38,Travail!BA49))))</f>
        <v>212</v>
      </c>
      <c r="BB61" s="172">
        <f>IF(BB16=0,0,IF(BB38=3,0,VALUE(CONCATENATE(Travail!BB27,Travail!BB38,Travail!BB49))))</f>
        <v>212</v>
      </c>
      <c r="BC61" s="172">
        <f>IF(BC16=0,0,IF(BC38=3,0,VALUE(CONCATENATE(Travail!BC27,Travail!BC38,Travail!BC49))))</f>
        <v>212</v>
      </c>
      <c r="BD61" s="172">
        <f>IF(BD16=0,0,IF(BD38=3,0,VALUE(CONCATENATE(Travail!BD27,Travail!BD38,Travail!BD49))))</f>
        <v>212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212</v>
      </c>
      <c r="BP61" s="172">
        <f>IF(BP16=0,0,IF(BP38=3,0,VALUE(CONCATENATE(Travail!BP27,Travail!BP38,Travail!BP49))))</f>
        <v>212</v>
      </c>
      <c r="BQ61" s="172">
        <f>IF(BQ16=0,0,IF(BQ38=3,0,VALUE(CONCATENATE(Travail!BQ27,Travail!BQ38,Travail!BQ49))))</f>
        <v>212</v>
      </c>
      <c r="BR61" s="172">
        <f>IF(BR16=0,0,IF(BR38=3,0,VALUE(CONCATENATE(Travail!BR27,Travail!BR38,Travail!BR49))))</f>
        <v>211</v>
      </c>
      <c r="BS61" s="172">
        <f>IF(BS16=0,0,IF(BS38=3,0,VALUE(CONCATENATE(Travail!BS27,Travail!BS38,Travail!BS49))))</f>
        <v>211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160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5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21</v>
      </c>
      <c r="AW72" s="172">
        <f t="shared" si="36"/>
        <v>21</v>
      </c>
      <c r="AX72" s="172">
        <f t="shared" si="36"/>
        <v>21</v>
      </c>
      <c r="AY72" s="172">
        <f t="shared" si="36"/>
        <v>21</v>
      </c>
      <c r="AZ72" s="172">
        <f t="shared" si="36"/>
        <v>21</v>
      </c>
      <c r="BA72" s="172">
        <f t="shared" si="36"/>
        <v>21</v>
      </c>
      <c r="BB72" s="172">
        <f t="shared" si="36"/>
        <v>21</v>
      </c>
      <c r="BC72" s="172">
        <f t="shared" si="36"/>
        <v>21</v>
      </c>
      <c r="BD72" s="172">
        <f t="shared" si="36"/>
        <v>21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21</v>
      </c>
      <c r="BP72" s="172">
        <f t="shared" si="36"/>
        <v>21</v>
      </c>
      <c r="BQ72" s="172">
        <f t="shared" si="36"/>
        <v>21</v>
      </c>
      <c r="BR72" s="172">
        <f t="shared" si="36"/>
        <v>21</v>
      </c>
      <c r="BS72" s="172">
        <f t="shared" si="36"/>
        <v>21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23</v>
      </c>
      <c r="BC74" s="172">
        <f t="shared" si="36"/>
        <v>23</v>
      </c>
      <c r="BD74" s="172">
        <f t="shared" si="36"/>
        <v>23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23</v>
      </c>
      <c r="BP74" s="172">
        <f t="shared" si="36"/>
        <v>23</v>
      </c>
      <c r="BQ74" s="172">
        <f t="shared" si="36"/>
        <v>23</v>
      </c>
      <c r="BR74" s="172">
        <f t="shared" si="36"/>
        <v>23</v>
      </c>
      <c r="BS74" s="172">
        <f t="shared" si="36"/>
        <v>23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133</v>
      </c>
      <c r="G75" s="197">
        <f>IF(Protection!C195=0,0,[1]Protect!$B$9*Protection!C195*14)</f>
        <v>7</v>
      </c>
      <c r="H75" s="197">
        <f>IF(Protection!D195=0,0,[1]Protect!$B$9*Protection!D195*14)</f>
        <v>7</v>
      </c>
      <c r="I75" s="197">
        <f>IF(Protection!E195=0,0,[1]Protect!$B$9*Protection!E195*14)</f>
        <v>7</v>
      </c>
      <c r="J75" s="197">
        <f>IF(Protection!F195=0,0,[1]Protect!$B$9*Protection!F195*14)</f>
        <v>7</v>
      </c>
      <c r="K75" s="197">
        <f>IF(Protection!G195=0,0,[1]Protect!$B$9*Protection!G195*14)</f>
        <v>7</v>
      </c>
      <c r="L75" s="197">
        <f>IF(Protection!H195=0,0,[1]Protect!$B$9*Protection!H195*14)</f>
        <v>7</v>
      </c>
      <c r="M75" s="197">
        <f>IF(Protection!I195=0,0,[1]Protect!$B$9*Protection!I195*14)</f>
        <v>7</v>
      </c>
      <c r="N75" s="197">
        <f>IF(Protection!J195=0,0,[1]Protect!$B$9*Protection!J195*14)</f>
        <v>7</v>
      </c>
      <c r="O75" s="197">
        <f>IF(Protection!K195=0,0,[1]Protect!$B$9*Protection!K195*14)</f>
        <v>7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7</v>
      </c>
      <c r="AA75" s="197">
        <f>IF(Protection!W195=0,0,[1]Protect!$B$9*Protection!W195*14)</f>
        <v>7</v>
      </c>
      <c r="AB75" s="197">
        <f>IF(Protection!X195=0,0,[1]Protect!$B$9*Protection!X195*14)</f>
        <v>7</v>
      </c>
      <c r="AC75" s="197">
        <f>IF(Protection!Y195=0,0,[1]Protect!$B$9*Protection!Y195*14)</f>
        <v>7</v>
      </c>
      <c r="AD75" s="197">
        <f>IF(Protection!Z195=0,0,[1]Protect!$B$9*Protection!Z195*14)</f>
        <v>7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317.5</v>
      </c>
      <c r="G77" s="45">
        <f t="shared" ref="G77:AD77" si="43">+SUM(G69:G76)</f>
        <v>12</v>
      </c>
      <c r="H77" s="45">
        <f t="shared" si="43"/>
        <v>12</v>
      </c>
      <c r="I77" s="45">
        <f t="shared" si="43"/>
        <v>12</v>
      </c>
      <c r="J77" s="45">
        <f t="shared" si="43"/>
        <v>12</v>
      </c>
      <c r="K77" s="45">
        <f t="shared" si="43"/>
        <v>12</v>
      </c>
      <c r="L77" s="45">
        <f t="shared" si="43"/>
        <v>17</v>
      </c>
      <c r="M77" s="45">
        <f t="shared" si="43"/>
        <v>17</v>
      </c>
      <c r="N77" s="45">
        <f t="shared" si="43"/>
        <v>17</v>
      </c>
      <c r="O77" s="45">
        <f t="shared" si="43"/>
        <v>17</v>
      </c>
      <c r="P77" s="45">
        <f t="shared" si="43"/>
        <v>13.5</v>
      </c>
      <c r="Q77" s="45">
        <f t="shared" si="43"/>
        <v>13.5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13.5</v>
      </c>
      <c r="Z77" s="45">
        <f t="shared" si="43"/>
        <v>17</v>
      </c>
      <c r="AA77" s="45">
        <f t="shared" si="43"/>
        <v>12</v>
      </c>
      <c r="AB77" s="45">
        <f t="shared" si="43"/>
        <v>12</v>
      </c>
      <c r="AC77" s="45">
        <f t="shared" si="43"/>
        <v>12</v>
      </c>
      <c r="AD77" s="45">
        <f t="shared" si="43"/>
        <v>12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0.86</v>
      </c>
      <c r="C81" s="189">
        <f>[1]Protect!$B$10</f>
        <v>4</v>
      </c>
      <c r="D81" s="171"/>
      <c r="E81" s="171"/>
      <c r="F81" s="172">
        <f>ROUND(C81*B81*8,0)</f>
        <v>28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3</v>
      </c>
      <c r="AW81" s="172">
        <f t="shared" ref="AW81:BS81" si="44">COUNTIF(AW$71:AW$80,23)</f>
        <v>3</v>
      </c>
      <c r="AX81" s="172">
        <f t="shared" si="44"/>
        <v>3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1</v>
      </c>
      <c r="BP81" s="172">
        <f t="shared" si="44"/>
        <v>2</v>
      </c>
      <c r="BQ81" s="172">
        <f t="shared" si="44"/>
        <v>3</v>
      </c>
      <c r="BR81" s="172">
        <f t="shared" si="44"/>
        <v>3</v>
      </c>
      <c r="BS81" s="172">
        <f t="shared" si="44"/>
        <v>3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4.7370000000000001</v>
      </c>
      <c r="C83" s="189">
        <f>[1]Protect!$B$24+[1]Protect!$B$26</f>
        <v>0.33</v>
      </c>
      <c r="D83" s="171"/>
      <c r="E83" s="171"/>
      <c r="F83" s="172">
        <f>ROUND(B83*C83,1)</f>
        <v>1.6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1</v>
      </c>
      <c r="AZ83" s="172">
        <f t="shared" si="50"/>
        <v>1</v>
      </c>
      <c r="BA83" s="172">
        <f t="shared" si="50"/>
        <v>1</v>
      </c>
      <c r="BB83" s="172">
        <f t="shared" si="50"/>
        <v>1</v>
      </c>
      <c r="BC83" s="172">
        <f t="shared" si="50"/>
        <v>1</v>
      </c>
      <c r="BD83" s="172">
        <f t="shared" si="50"/>
        <v>1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1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3.8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23</v>
      </c>
      <c r="BB85" s="61">
        <f t="shared" si="56"/>
        <v>23</v>
      </c>
      <c r="BC85" s="61">
        <f t="shared" si="56"/>
        <v>23</v>
      </c>
      <c r="BD85" s="61">
        <f t="shared" si="56"/>
        <v>23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23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0.60000000000000009</v>
      </c>
      <c r="C86" s="175"/>
      <c r="D86" s="175"/>
      <c r="E86" s="175"/>
      <c r="F86" s="172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1562.7360000000003</v>
      </c>
      <c r="C91" s="5"/>
      <c r="D91" s="201">
        <f>B91/Troupeau!$B$17</f>
        <v>5.1405789473684225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655.20000000000005</v>
      </c>
      <c r="C92" s="5"/>
      <c r="D92" s="201">
        <f>IF(B92=0,0,B92/Troupeau!$C$17)</f>
        <v>28.486956521739131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2217.9360000000006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134.4</v>
      </c>
      <c r="C95" s="5"/>
      <c r="D95" s="201">
        <f>B95/Troupeau!$B$17</f>
        <v>0.44210526315789478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134.4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341.00869565217391</v>
      </c>
      <c r="AW99" s="61">
        <f t="shared" ref="AW99:BS99" si="68">SUM(AW90:AW98)</f>
        <v>338.36521739130438</v>
      </c>
      <c r="AX99" s="61">
        <f t="shared" si="68"/>
        <v>335.7217391304348</v>
      </c>
      <c r="AY99" s="61">
        <f t="shared" si="68"/>
        <v>334.40000000000003</v>
      </c>
      <c r="AZ99" s="61">
        <f t="shared" si="68"/>
        <v>333.07826086956521</v>
      </c>
      <c r="BA99" s="61">
        <f t="shared" si="68"/>
        <v>331.75652173913045</v>
      </c>
      <c r="BB99" s="61">
        <f t="shared" si="68"/>
        <v>330.43478260869568</v>
      </c>
      <c r="BC99" s="61">
        <f t="shared" si="68"/>
        <v>329.11304347826086</v>
      </c>
      <c r="BD99" s="61">
        <f t="shared" si="68"/>
        <v>326.46956521739133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286.81739130434784</v>
      </c>
      <c r="BP99" s="61">
        <f t="shared" si="68"/>
        <v>286.81739130434784</v>
      </c>
      <c r="BQ99" s="61">
        <f t="shared" si="68"/>
        <v>341.00869565217391</v>
      </c>
      <c r="BR99" s="61">
        <f t="shared" si="68"/>
        <v>341.00869565217391</v>
      </c>
      <c r="BS99" s="61">
        <f t="shared" si="68"/>
        <v>341.00869565217391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6.8201739130434786</v>
      </c>
      <c r="AW100" s="172">
        <f t="shared" ref="AW100:BS100" si="71">IF($AT$2="OL",AW99/50,AW99/10)</f>
        <v>6.7673043478260873</v>
      </c>
      <c r="AX100" s="172">
        <f t="shared" si="71"/>
        <v>6.7144347826086959</v>
      </c>
      <c r="AY100" s="172">
        <f t="shared" si="71"/>
        <v>6.6880000000000006</v>
      </c>
      <c r="AZ100" s="172">
        <f t="shared" si="71"/>
        <v>6.6615652173913045</v>
      </c>
      <c r="BA100" s="172">
        <f t="shared" si="71"/>
        <v>6.6351304347826092</v>
      </c>
      <c r="BB100" s="172">
        <f t="shared" si="71"/>
        <v>6.608695652173914</v>
      </c>
      <c r="BC100" s="172">
        <f t="shared" si="71"/>
        <v>6.5822608695652169</v>
      </c>
      <c r="BD100" s="172">
        <f t="shared" si="71"/>
        <v>6.5293913043478264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5.7363478260869565</v>
      </c>
      <c r="BP100" s="172">
        <f t="shared" si="71"/>
        <v>5.7363478260869565</v>
      </c>
      <c r="BQ100" s="172">
        <f t="shared" si="71"/>
        <v>6.8201739130434786</v>
      </c>
      <c r="BR100" s="172">
        <f t="shared" si="71"/>
        <v>6.8201739130434786</v>
      </c>
      <c r="BS100" s="172">
        <f t="shared" si="71"/>
        <v>6.8201739130434786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5.8201739130434786</v>
      </c>
      <c r="AW101" s="172">
        <f t="shared" ref="AW101:BS101" si="74">IF(AW100&gt;1,AW100-1,0)</f>
        <v>5.7673043478260873</v>
      </c>
      <c r="AX101" s="172">
        <f t="shared" si="74"/>
        <v>5.7144347826086959</v>
      </c>
      <c r="AY101" s="172">
        <f t="shared" si="74"/>
        <v>5.6880000000000006</v>
      </c>
      <c r="AZ101" s="172">
        <f t="shared" si="74"/>
        <v>5.6615652173913045</v>
      </c>
      <c r="BA101" s="172">
        <f t="shared" si="74"/>
        <v>5.6351304347826092</v>
      </c>
      <c r="BB101" s="172">
        <f t="shared" si="74"/>
        <v>5.608695652173914</v>
      </c>
      <c r="BC101" s="172">
        <f t="shared" si="74"/>
        <v>5.5822608695652169</v>
      </c>
      <c r="BD101" s="172">
        <f t="shared" si="74"/>
        <v>5.5293913043478264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4.7363478260869565</v>
      </c>
      <c r="BP101" s="172">
        <f t="shared" si="74"/>
        <v>4.7363478260869565</v>
      </c>
      <c r="BQ101" s="172">
        <f t="shared" si="74"/>
        <v>5.8201739130434786</v>
      </c>
      <c r="BR101" s="172">
        <f t="shared" si="74"/>
        <v>5.8201739130434786</v>
      </c>
      <c r="BS101" s="172">
        <f t="shared" si="74"/>
        <v>5.8201739130434786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52.18530434782609</v>
      </c>
      <c r="AW102" s="61">
        <f t="shared" ref="AW102:BS102" si="77">AW86+AW87*AW101</f>
        <v>52.092782608695657</v>
      </c>
      <c r="AX102" s="61">
        <f t="shared" si="77"/>
        <v>52.000260869565217</v>
      </c>
      <c r="AY102" s="61">
        <f t="shared" si="77"/>
        <v>51.954000000000001</v>
      </c>
      <c r="AZ102" s="61">
        <f t="shared" si="77"/>
        <v>51.907739130434784</v>
      </c>
      <c r="BA102" s="61">
        <f t="shared" si="77"/>
        <v>51.861478260869568</v>
      </c>
      <c r="BB102" s="61">
        <f t="shared" si="77"/>
        <v>51.815217391304351</v>
      </c>
      <c r="BC102" s="61">
        <f t="shared" si="77"/>
        <v>51.768956521739128</v>
      </c>
      <c r="BD102" s="61">
        <f t="shared" si="77"/>
        <v>51.676434782608695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50.288608695652172</v>
      </c>
      <c r="BP102" s="61">
        <f t="shared" si="77"/>
        <v>50.288608695652172</v>
      </c>
      <c r="BQ102" s="61">
        <f t="shared" si="77"/>
        <v>52.18530434782609</v>
      </c>
      <c r="BR102" s="61">
        <f t="shared" si="77"/>
        <v>52.18530434782609</v>
      </c>
      <c r="BS102" s="61">
        <f t="shared" si="77"/>
        <v>52.18530434782609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3.5</v>
      </c>
      <c r="CM106" s="189">
        <f>IF(CM60&gt;0,HLOOKUP(CM60,[1]Trav!$C$11:$O$31,$CA$105),0)</f>
        <v>3.5</v>
      </c>
      <c r="CN106" s="189">
        <f>IF(CN60&gt;0,HLOOKUP(CN60,[1]Trav!$C$11:$O$31,$CA$105),0)</f>
        <v>3.5</v>
      </c>
      <c r="CO106" s="189">
        <f>IF(CO60&gt;0,HLOOKUP(CO60,[1]Trav!$C$11:$O$31,$CA$105),0)</f>
        <v>3.5</v>
      </c>
      <c r="CP106" s="189">
        <f>IF(CP60&gt;0,HLOOKUP(CP60,[1]Trav!$C$11:$O$31,$CA$105),0)</f>
        <v>3.5</v>
      </c>
      <c r="CQ106" s="189">
        <f>IF(CQ60&gt;0,HLOOKUP(CQ60,[1]Trav!$C$11:$O$31,$CA$105),0)</f>
        <v>3.5</v>
      </c>
      <c r="CR106" s="189">
        <f>IF(CR60&gt;0,HLOOKUP(CR60,[1]Trav!$C$11:$O$31,$CA$105),0)</f>
        <v>3.5</v>
      </c>
      <c r="CS106" s="189">
        <f>IF(CS60&gt;0,HLOOKUP(CS60,[1]Trav!$C$11:$O$31,$CA$105),0)</f>
        <v>3.5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21</v>
      </c>
      <c r="AW107" s="189">
        <f>IF(AW61&gt;0,HLOOKUP(AW61,[1]Trav!$C$11:$O$31,$AU$105),0)</f>
        <v>21</v>
      </c>
      <c r="AX107" s="189">
        <f>IF(AX61&gt;0,HLOOKUP(AX61,[1]Trav!$C$11:$O$31,$AU$105),0)</f>
        <v>21</v>
      </c>
      <c r="AY107" s="189">
        <f>IF(AY61&gt;0,HLOOKUP(AY61,[1]Trav!$C$11:$O$31,$AU$105),0)</f>
        <v>21</v>
      </c>
      <c r="AZ107" s="189">
        <f>IF(AZ61&gt;0,HLOOKUP(AZ61,[1]Trav!$C$11:$O$31,$AU$105),0)</f>
        <v>21</v>
      </c>
      <c r="BA107" s="189">
        <f>IF(BA61&gt;0,HLOOKUP(BA61,[1]Trav!$C$11:$O$31,$AU$105),0)</f>
        <v>28</v>
      </c>
      <c r="BB107" s="189">
        <f>IF(BB61&gt;0,HLOOKUP(BB61,[1]Trav!$C$11:$O$31,$AU$105),0)</f>
        <v>28</v>
      </c>
      <c r="BC107" s="189">
        <f>IF(BC61&gt;0,HLOOKUP(BC61,[1]Trav!$C$11:$O$31,$AU$105),0)</f>
        <v>28</v>
      </c>
      <c r="BD107" s="189">
        <f>IF(BD61&gt;0,HLOOKUP(BD61,[1]Trav!$C$11:$O$31,$AU$105),0)</f>
        <v>28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28</v>
      </c>
      <c r="BP107" s="189">
        <f>IF(BP61&gt;0,HLOOKUP(BP61,[1]Trav!$C$11:$O$31,$AU$105),0)</f>
        <v>28</v>
      </c>
      <c r="BQ107" s="189">
        <f>IF(BQ61&gt;0,HLOOKUP(BQ61,[1]Trav!$C$11:$O$31,$AU$105),0)</f>
        <v>28</v>
      </c>
      <c r="BR107" s="189">
        <f>IF(BR61&gt;0,HLOOKUP(BR61,[1]Trav!$C$11:$O$31,$AU$105),0)</f>
        <v>21</v>
      </c>
      <c r="BS107" s="189">
        <f>IF(BS61&gt;0,HLOOKUP(BS61,[1]Trav!$C$11:$O$31,$AU$105),0)</f>
        <v>21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263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160</v>
      </c>
      <c r="D109" s="196"/>
      <c r="AT109" s="188" t="str">
        <f t="shared" si="80"/>
        <v>beliers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160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5.4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144.00000000000003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21</v>
      </c>
      <c r="AW117" s="172">
        <f t="shared" ref="AW117:BS117" si="83">SUM(AW106:AW115)</f>
        <v>21</v>
      </c>
      <c r="AX117" s="172">
        <f t="shared" si="83"/>
        <v>21</v>
      </c>
      <c r="AY117" s="172">
        <f t="shared" si="83"/>
        <v>21</v>
      </c>
      <c r="AZ117" s="172">
        <f t="shared" si="83"/>
        <v>21</v>
      </c>
      <c r="BA117" s="172">
        <f t="shared" si="83"/>
        <v>42</v>
      </c>
      <c r="BB117" s="172">
        <f t="shared" si="83"/>
        <v>42</v>
      </c>
      <c r="BC117" s="172">
        <f t="shared" si="83"/>
        <v>42</v>
      </c>
      <c r="BD117" s="172">
        <f t="shared" si="83"/>
        <v>42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42</v>
      </c>
      <c r="BP117" s="172">
        <f t="shared" si="83"/>
        <v>28</v>
      </c>
      <c r="BQ117" s="172">
        <f t="shared" si="83"/>
        <v>28</v>
      </c>
      <c r="BR117" s="172">
        <f t="shared" si="83"/>
        <v>21</v>
      </c>
      <c r="BS117" s="172">
        <f t="shared" si="83"/>
        <v>21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12.25</v>
      </c>
      <c r="CM117" s="172">
        <f t="shared" si="84"/>
        <v>12.25</v>
      </c>
      <c r="CN117" s="172">
        <f t="shared" si="84"/>
        <v>12.25</v>
      </c>
      <c r="CO117" s="172">
        <f t="shared" si="84"/>
        <v>12.25</v>
      </c>
      <c r="CP117" s="172">
        <f t="shared" si="84"/>
        <v>12.25</v>
      </c>
      <c r="CQ117" s="172">
        <f t="shared" si="84"/>
        <v>12.25</v>
      </c>
      <c r="CR117" s="172">
        <f t="shared" si="84"/>
        <v>12.25</v>
      </c>
      <c r="CS117" s="172">
        <f t="shared" si="84"/>
        <v>12.25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2877.2993333333338</v>
      </c>
      <c r="D118" s="201">
        <f>B118/Troupeau!$B$17</f>
        <v>9.4648004385964928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757.2</v>
      </c>
      <c r="D119" s="201">
        <f>IF(B119=0,0,B119/Troupeau!$C$17)</f>
        <v>32.921739130434787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3634.4993333333341</v>
      </c>
    </row>
    <row r="123" spans="1:132" x14ac:dyDescent="0.25">
      <c r="A123" s="2" t="s">
        <v>856</v>
      </c>
      <c r="B123" s="30">
        <f>B108</f>
        <v>263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184.5</v>
      </c>
    </row>
    <row r="126" spans="1:132" x14ac:dyDescent="0.25">
      <c r="A126" s="2" t="s">
        <v>872</v>
      </c>
      <c r="B126" s="30">
        <f>B114+B115+B116</f>
        <v>177.40000000000003</v>
      </c>
    </row>
    <row r="128" spans="1:132" x14ac:dyDescent="0.25">
      <c r="A128" s="2" t="s">
        <v>873</v>
      </c>
      <c r="B128" s="200">
        <f>SUM(B122:B126)</f>
        <v>4859.3993333333337</v>
      </c>
    </row>
    <row r="129" spans="1:2" x14ac:dyDescent="0.25">
      <c r="A129" s="2" t="s">
        <v>874</v>
      </c>
      <c r="B129" s="30">
        <f>IF(Scénario!K129=1,Travail!F77+Travail!F86,F86)</f>
        <v>461.5</v>
      </c>
    </row>
    <row r="130" spans="1:2" x14ac:dyDescent="0.25">
      <c r="A130" s="2" t="s">
        <v>875</v>
      </c>
      <c r="B130" s="200">
        <f>ROUND((B128-B129)/(Scénario!K4+Scénario!K6),0)</f>
        <v>2932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0.93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79.509999999999991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79.509999999999991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79.509999999999991</v>
      </c>
      <c r="C42" s="214">
        <f>[1]Eco!$B$24</f>
        <v>97</v>
      </c>
      <c r="J42" s="172">
        <f>B42*C42</f>
        <v>7712.4699999999993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79.509999999999991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5327.1699999999992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49.349999999999994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5945.6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79.509999999999991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110581.44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105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49.349999999999994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90.478450000000009</v>
      </c>
      <c r="C118" s="189">
        <f>IF(Scénario!$K$12="BV",[1]Eco!$B$78,IF(Scénario!$K$12="BL",[1]Eco!$B$77,[1]Eco!$B$76))</f>
        <v>223</v>
      </c>
      <c r="J118" s="172">
        <f>B118*C118</f>
        <v>20176.694350000002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6.4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288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5.0999999999999996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308.60099999999994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11.4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772.35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5426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466.33000000000004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59610.875350000002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16.5</v>
      </c>
      <c r="X153" t="s">
        <v>52</v>
      </c>
      <c r="Y153" s="172">
        <f>W153-Scénario!K28</f>
        <v>-5.6999999999999993</v>
      </c>
      <c r="Z153" s="172">
        <f>Y153-Y156</f>
        <v>-5.129999999999999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11.4</v>
      </c>
      <c r="X154" t="s">
        <v>52</v>
      </c>
      <c r="Y154" s="172">
        <f>W154-Scénario!K29</f>
        <v>-0.70000000000000107</v>
      </c>
      <c r="Z154" s="172">
        <f>Y154</f>
        <v>-0.70000000000000107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-0.56999999999999995</v>
      </c>
      <c r="Z156" s="172">
        <f t="shared" si="68"/>
        <v>-0.56999999999999995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-5.129999999999999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-185.70599999999999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-0.70000000000000107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-21.000000000000032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-0.56999999999999995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-88.577999999999989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144.00000000000003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1530.7200000000005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326.40000000000003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3469.6320000000005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72"/>
        <v>1.6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1.6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1.6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6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29557.960000000003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21412.604649999997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14275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1642.4819603660785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8770.1226896339194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5847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4.5</v>
      </c>
      <c r="T187" s="172">
        <f>VLOOKUP(R187,[1]MEP!$A$4:$M$300,13)</f>
        <v>2</v>
      </c>
      <c r="U187" s="172">
        <f t="shared" si="72"/>
        <v>4.5</v>
      </c>
      <c r="V187" s="172">
        <f t="shared" si="73"/>
        <v>4.5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4.5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0.4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0.4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0.4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16.5</v>
      </c>
      <c r="V228" s="61">
        <f t="shared" ref="V228:W228" si="84">SUM(V164:V227)</f>
        <v>11.4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6.4</v>
      </c>
      <c r="AI228" s="61">
        <f t="shared" si="86"/>
        <v>5.0999999999999996</v>
      </c>
      <c r="AJ228" s="61">
        <f t="shared" si="86"/>
        <v>11.4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4737</v>
      </c>
      <c r="U234" t="s">
        <v>1101</v>
      </c>
      <c r="V234" s="172"/>
      <c r="W234" s="172">
        <f>[1]Protect!$B$4</f>
        <v>6</v>
      </c>
      <c r="X234" s="172">
        <f>T234*W234</f>
        <v>28422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2">
        <f>[1]Protect!$B$83</f>
        <v>2000</v>
      </c>
      <c r="X235" s="172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28822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13322</v>
      </c>
      <c r="AB237" s="30">
        <f>(Scénario!K127/100)*AA237</f>
        <v>0</v>
      </c>
      <c r="AC237" s="30">
        <f>AA237-AB237</f>
        <v>13322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1642.4819603660785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2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0.60000000000000009</v>
      </c>
      <c r="W246" s="172">
        <f>[1]Eco!$B$106*[1]Eco!$B$108*[1]Eco!$B$109</f>
        <v>2551.2000000000003</v>
      </c>
      <c r="X246" s="172">
        <f>T246*W246</f>
        <v>1530.7200000000005</v>
      </c>
    </row>
    <row r="247" spans="17:31" x14ac:dyDescent="0.25">
      <c r="S247" s="14" t="s">
        <v>1116</v>
      </c>
      <c r="T247" s="30">
        <f>Travail!F16/8</f>
        <v>16.8</v>
      </c>
      <c r="W247" s="172">
        <f>[1]Eco!$B$111</f>
        <v>28.3</v>
      </c>
      <c r="X247" s="172">
        <f>T247*W247</f>
        <v>475.44000000000005</v>
      </c>
    </row>
    <row r="248" spans="17:31" x14ac:dyDescent="0.25">
      <c r="W248" s="14" t="s">
        <v>1117</v>
      </c>
      <c r="X248" s="172">
        <f>SUM(X245:X247)</f>
        <v>7432.16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7432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5945.6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5945.6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5945.6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71.055000000000007</v>
      </c>
      <c r="U272" s="172"/>
      <c r="V272" s="172"/>
      <c r="W272" s="172">
        <f>W234</f>
        <v>6</v>
      </c>
      <c r="X272" s="172">
        <f>T272*W272</f>
        <v>426.33000000000004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0.4</v>
      </c>
      <c r="U274" s="172"/>
      <c r="V274" s="172"/>
      <c r="W274" s="172">
        <f>W271</f>
        <v>100</v>
      </c>
      <c r="X274" s="172">
        <f>T274*W274</f>
        <v>40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Z1_OLBV_T3_MC2s2</v>
      </c>
      <c r="D1" s="274" t="str">
        <f>CONCATENATE(C1,"_corr")</f>
        <v>Z1_OLBV_T3_MC2s2_corr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2</v>
      </c>
      <c r="D51" s="176">
        <f t="shared" si="0"/>
        <v>2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16.5</v>
      </c>
      <c r="D85" s="260">
        <f>ROUND(C85*$D$82/$C$82,3)</f>
        <v>18.149999999999999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11.4</v>
      </c>
      <c r="D86" s="260">
        <f t="shared" ref="D86:D97" si="14">ROUND(C86*$D$82/$C$82,3)</f>
        <v>12.54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1.65</v>
      </c>
      <c r="D88" s="260">
        <f t="shared" si="14"/>
        <v>1.8149999999999999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2</v>
      </c>
      <c r="D98" s="172">
        <f>C98</f>
        <v>2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1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3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5</v>
      </c>
      <c r="D101" s="172">
        <f t="shared" si="25"/>
        <v>5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3</v>
      </c>
      <c r="BC101" s="172">
        <f>IF(CdTrp1!I55=1,3,IF(CdTrp1!I55=0.5,2,IF(CdTrp1!I55=0,1,0)))</f>
        <v>3</v>
      </c>
      <c r="BD101" s="172">
        <f>IF(CdTrp1!J55=1,3,IF(CdTrp1!J55=0.5,2,IF(CdTrp1!J55=0,1,0)))</f>
        <v>3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3</v>
      </c>
      <c r="BP101" s="172">
        <f>IF(CdTrp1!V55=1,3,IF(CdTrp1!V55=0.5,2,IF(CdTrp1!V55=0,1,0)))</f>
        <v>3</v>
      </c>
      <c r="BQ101" s="172">
        <f>IF(CdTrp1!W55=1,3,IF(CdTrp1!W55=0.5,2,IF(CdTrp1!W55=0,1,0)))</f>
        <v>3</v>
      </c>
      <c r="BR101" s="172">
        <f>IF(CdTrp1!X55=1,3,IF(CdTrp1!X55=0.5,2,IF(CdTrp1!X55=0,1,0)))</f>
        <v>3</v>
      </c>
      <c r="BS101" s="172">
        <f>IF(CdTrp1!Y55=1,3,IF(CdTrp1!Y55=0.5,2,IF(CdTrp1!Y55=0,1,0)))</f>
        <v>3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19.5</v>
      </c>
      <c r="D106" s="172">
        <f t="shared" si="25"/>
        <v>19.5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3</v>
      </c>
      <c r="V107" s="30">
        <f>CdTrp2!P78</f>
        <v>3</v>
      </c>
      <c r="W107" s="30">
        <f>CdTrp2!Q78</f>
        <v>2</v>
      </c>
      <c r="X107" s="30">
        <f>CdTrp2!R78</f>
        <v>2</v>
      </c>
      <c r="Y107" s="30">
        <f>CdTrp2!S78</f>
        <v>3</v>
      </c>
      <c r="Z107" s="30">
        <f>CdTrp2!T78</f>
        <v>2</v>
      </c>
      <c r="AA107" s="30">
        <f>CdTrp2!U78</f>
        <v>2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41.5</v>
      </c>
      <c r="D109" s="172">
        <f t="shared" si="25"/>
        <v>41.5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12.5</v>
      </c>
      <c r="D110" s="172">
        <f t="shared" si="25"/>
        <v>12.5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1</v>
      </c>
      <c r="AW110" s="172">
        <f>IF(CdTrp1!C77=1,1,IF(CdTrp1!C77=2,2,IF(CdTrp1!C77=3,2,IF(CdTrp1!C77=4,4,0))))</f>
        <v>1</v>
      </c>
      <c r="AX110" s="172">
        <f>IF(CdTrp1!D77=1,1,IF(CdTrp1!D77=2,2,IF(CdTrp1!D77=3,2,IF(CdTrp1!D77=4,4,0))))</f>
        <v>1</v>
      </c>
      <c r="AY110" s="172">
        <f>IF(CdTrp1!E77=1,1,IF(CdTrp1!E77=2,2,IF(CdTrp1!E77=3,2,IF(CdTrp1!E77=4,4,0))))</f>
        <v>1</v>
      </c>
      <c r="AZ110" s="172">
        <f>IF(CdTrp1!F77=1,1,IF(CdTrp1!F77=2,2,IF(CdTrp1!F77=3,2,IF(CdTrp1!F77=4,4,0))))</f>
        <v>1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1</v>
      </c>
      <c r="BS110" s="172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14</v>
      </c>
      <c r="D111" s="172">
        <f t="shared" si="25"/>
        <v>14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3.5</v>
      </c>
      <c r="D116" s="172">
        <f t="shared" si="25"/>
        <v>3.5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211</v>
      </c>
      <c r="CM121" s="172">
        <f>IF(CM75=0,0,VALUE(CONCATENATE(Travail!CM26,Travail!CM37,Travail!CM48)))</f>
        <v>211</v>
      </c>
      <c r="CN121" s="172">
        <f>IF(CN75=0,0,VALUE(CONCATENATE(Travail!CN26,Travail!CN37,Travail!CN48)))</f>
        <v>211</v>
      </c>
      <c r="CO121" s="172">
        <f>IF(CO75=0,0,VALUE(CONCATENATE(Travail!CO26,Travail!CO37,Travail!CO48)))</f>
        <v>211</v>
      </c>
      <c r="CP121" s="172">
        <f>IF(CP75=0,0,VALUE(CONCATENATE(Travail!CP26,Travail!CP37,Travail!CP48)))</f>
        <v>211</v>
      </c>
      <c r="CQ121" s="172">
        <f>IF(CQ75=0,0,VALUE(CONCATENATE(Travail!CQ26,Travail!CQ37,Travail!CQ48)))</f>
        <v>211</v>
      </c>
      <c r="CR121" s="172">
        <f>IF(CR75=0,0,VALUE(CONCATENATE(Travail!CR26,Travail!CR37,Travail!CR48)))</f>
        <v>211</v>
      </c>
      <c r="CS121" s="172">
        <f>IF(CS75=0,0,VALUE(CONCATENATE(Travail!CS26,Travail!CS37,Travail!CS48)))</f>
        <v>211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211</v>
      </c>
      <c r="AW122" s="172">
        <f>IF(AW76=0,0,IF(AW99=3,0,VALUE(CONCATENATE(Travail!AW27,Travail!AW38,Travail!AW49))))</f>
        <v>211</v>
      </c>
      <c r="AX122" s="172">
        <f>IF(AX76=0,0,IF(AX99=3,0,VALUE(CONCATENATE(Travail!AX27,Travail!AX38,Travail!AX49))))</f>
        <v>211</v>
      </c>
      <c r="AY122" s="172">
        <f>IF(AY76=0,0,IF(AY99=3,0,VALUE(CONCATENATE(Travail!AY27,Travail!AY38,Travail!AY49))))</f>
        <v>211</v>
      </c>
      <c r="AZ122" s="172">
        <f>IF(AZ76=0,0,IF(AZ99=3,0,VALUE(CONCATENATE(Travail!AZ27,Travail!AZ38,Travail!AZ49))))</f>
        <v>211</v>
      </c>
      <c r="BA122" s="172">
        <f>IF(BA76=0,0,IF(BA99=3,0,VALUE(CONCATENATE(Travail!BA27,Travail!BA38,Travail!BA49))))</f>
        <v>212</v>
      </c>
      <c r="BB122" s="172">
        <f>IF(BB76=0,0,IF(BB99=3,0,VALUE(CONCATENATE(Travail!BB27,Travail!BB38,Travail!BB49))))</f>
        <v>212</v>
      </c>
      <c r="BC122" s="172">
        <f>IF(BC76=0,0,IF(BC99=3,0,VALUE(CONCATENATE(Travail!BC27,Travail!BC38,Travail!BC49))))</f>
        <v>212</v>
      </c>
      <c r="BD122" s="172">
        <f>IF(BD76=0,0,IF(BD99=3,0,VALUE(CONCATENATE(Travail!BD27,Travail!BD38,Travail!BD49))))</f>
        <v>212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212</v>
      </c>
      <c r="BP122" s="172">
        <f>IF(BP76=0,0,IF(BP99=3,0,VALUE(CONCATENATE(Travail!BP27,Travail!BP38,Travail!BP49))))</f>
        <v>212</v>
      </c>
      <c r="BQ122" s="172">
        <f>IF(BQ76=0,0,IF(BQ99=3,0,VALUE(CONCATENATE(Travail!BQ27,Travail!BQ38,Travail!BQ49))))</f>
        <v>212</v>
      </c>
      <c r="BR122" s="172">
        <f>IF(BR76=0,0,IF(BR99=3,0,VALUE(CONCATENATE(Travail!BR27,Travail!BR38,Travail!BR49))))</f>
        <v>211</v>
      </c>
      <c r="BS122" s="172">
        <f>IF(BS76=0,0,IF(BS99=3,0,VALUE(CONCATENATE(Travail!BS27,Travail!BS38,Travail!BS49))))</f>
        <v>211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3.5</v>
      </c>
      <c r="D128" s="172">
        <f t="shared" si="25"/>
        <v>3.5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1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1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0.78125</v>
      </c>
      <c r="D133" s="261">
        <f t="shared" si="25"/>
        <v>0.78125</v>
      </c>
      <c r="AT133" s="188" t="str">
        <f t="shared" ref="AT133:AT141" si="42">AT122</f>
        <v>vides</v>
      </c>
      <c r="AV133" s="172">
        <f t="shared" si="39"/>
        <v>21</v>
      </c>
      <c r="AW133" s="172">
        <f t="shared" si="39"/>
        <v>21</v>
      </c>
      <c r="AX133" s="172">
        <f t="shared" si="39"/>
        <v>21</v>
      </c>
      <c r="AY133" s="172">
        <f t="shared" si="39"/>
        <v>21</v>
      </c>
      <c r="AZ133" s="172">
        <f t="shared" si="39"/>
        <v>21</v>
      </c>
      <c r="BA133" s="172">
        <f t="shared" si="39"/>
        <v>21</v>
      </c>
      <c r="BB133" s="172">
        <f t="shared" si="39"/>
        <v>21</v>
      </c>
      <c r="BC133" s="172">
        <f t="shared" si="39"/>
        <v>21</v>
      </c>
      <c r="BD133" s="172">
        <f t="shared" si="39"/>
        <v>21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21</v>
      </c>
      <c r="BP133" s="172">
        <f t="shared" si="39"/>
        <v>21</v>
      </c>
      <c r="BQ133" s="172">
        <f t="shared" si="39"/>
        <v>21</v>
      </c>
      <c r="BR133" s="172">
        <f t="shared" si="39"/>
        <v>21</v>
      </c>
      <c r="BS133" s="172">
        <f t="shared" si="39"/>
        <v>21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0.63636363636363635</v>
      </c>
      <c r="D134" s="261">
        <f t="shared" si="25"/>
        <v>0.63636363636363635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23</v>
      </c>
      <c r="BB134" s="172">
        <f t="shared" si="39"/>
        <v>23</v>
      </c>
      <c r="BC134" s="172">
        <f t="shared" si="39"/>
        <v>23</v>
      </c>
      <c r="BD134" s="172">
        <f t="shared" si="39"/>
        <v>23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23</v>
      </c>
      <c r="AW135" s="172">
        <f t="shared" si="39"/>
        <v>23</v>
      </c>
      <c r="AX135" s="172">
        <f t="shared" si="39"/>
        <v>23</v>
      </c>
      <c r="AY135" s="172">
        <f t="shared" si="39"/>
        <v>23</v>
      </c>
      <c r="AZ135" s="172">
        <f t="shared" si="39"/>
        <v>23</v>
      </c>
      <c r="BA135" s="172">
        <f t="shared" si="39"/>
        <v>23</v>
      </c>
      <c r="BB135" s="172">
        <f t="shared" si="39"/>
        <v>23</v>
      </c>
      <c r="BC135" s="172">
        <f t="shared" si="39"/>
        <v>23</v>
      </c>
      <c r="BD135" s="172">
        <f t="shared" si="39"/>
        <v>23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23</v>
      </c>
      <c r="BP135" s="172">
        <f t="shared" si="39"/>
        <v>23</v>
      </c>
      <c r="BQ135" s="172">
        <f t="shared" si="39"/>
        <v>23</v>
      </c>
      <c r="BR135" s="172">
        <f t="shared" si="39"/>
        <v>23</v>
      </c>
      <c r="BS135" s="172">
        <f t="shared" si="39"/>
        <v>23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0.69736842105263153</v>
      </c>
      <c r="D136" s="261">
        <f t="shared" si="25"/>
        <v>0.69736842105263153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3</v>
      </c>
      <c r="AW142" s="172">
        <f t="shared" ref="AW142:BS142" si="58">COUNTIF(AW$132:AW$141,23)</f>
        <v>3</v>
      </c>
      <c r="AX142" s="172">
        <f t="shared" si="58"/>
        <v>3</v>
      </c>
      <c r="AY142" s="172">
        <f t="shared" si="58"/>
        <v>2</v>
      </c>
      <c r="AZ142" s="172">
        <f t="shared" si="58"/>
        <v>2</v>
      </c>
      <c r="BA142" s="172">
        <f t="shared" si="58"/>
        <v>2</v>
      </c>
      <c r="BB142" s="172">
        <f t="shared" si="58"/>
        <v>2</v>
      </c>
      <c r="BC142" s="172">
        <f t="shared" si="58"/>
        <v>2</v>
      </c>
      <c r="BD142" s="172">
        <f t="shared" si="58"/>
        <v>2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1</v>
      </c>
      <c r="BP142" s="172">
        <f t="shared" si="58"/>
        <v>2</v>
      </c>
      <c r="BQ142" s="172">
        <f t="shared" si="58"/>
        <v>3</v>
      </c>
      <c r="BR142" s="172">
        <f t="shared" si="58"/>
        <v>3</v>
      </c>
      <c r="BS142" s="172">
        <f t="shared" si="58"/>
        <v>3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1</v>
      </c>
      <c r="AZ144" s="172">
        <f t="shared" si="64"/>
        <v>1</v>
      </c>
      <c r="BA144" s="172">
        <f t="shared" si="64"/>
        <v>1</v>
      </c>
      <c r="BB144" s="172">
        <f t="shared" si="64"/>
        <v>1</v>
      </c>
      <c r="BC144" s="172">
        <f t="shared" si="64"/>
        <v>1</v>
      </c>
      <c r="BD144" s="172">
        <f t="shared" si="64"/>
        <v>1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1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23</v>
      </c>
      <c r="BB146" s="61">
        <f t="shared" si="70"/>
        <v>23</v>
      </c>
      <c r="BC146" s="61">
        <f t="shared" si="70"/>
        <v>23</v>
      </c>
      <c r="BD146" s="61">
        <f t="shared" si="70"/>
        <v>23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23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42</v>
      </c>
      <c r="BB147" s="189">
        <f>IF(BB146=0,0,HLOOKUP(BB146,[1]Trav!$C$39:$G$59,$AU$166))</f>
        <v>42</v>
      </c>
      <c r="BC147" s="189">
        <f>IF(BC146=0,0,HLOOKUP(BC146,[1]Trav!$C$39:$G$59,$AU$166))</f>
        <v>42</v>
      </c>
      <c r="BD147" s="189">
        <f>IF(BD146=0,0,HLOOKUP(BD146,[1]Trav!$C$39:$G$59,$AU$166))</f>
        <v>42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42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375.10956521739132</v>
      </c>
      <c r="AW160" s="61">
        <f t="shared" ref="AW160:BS160" si="83">SUM(AW151:AW159)</f>
        <v>372.20173913043482</v>
      </c>
      <c r="AX160" s="61">
        <f t="shared" si="83"/>
        <v>369.29391304347831</v>
      </c>
      <c r="AY160" s="61">
        <f t="shared" si="83"/>
        <v>367.84000000000003</v>
      </c>
      <c r="AZ160" s="61">
        <f t="shared" si="83"/>
        <v>366.38608695652175</v>
      </c>
      <c r="BA160" s="61">
        <f t="shared" si="83"/>
        <v>364.93217391304347</v>
      </c>
      <c r="BB160" s="61">
        <f t="shared" si="83"/>
        <v>363.47826086956525</v>
      </c>
      <c r="BC160" s="61">
        <f t="shared" si="83"/>
        <v>362.02434782608697</v>
      </c>
      <c r="BD160" s="61">
        <f t="shared" si="83"/>
        <v>359.11652173913046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315.49913043478267</v>
      </c>
      <c r="BP160" s="61">
        <f t="shared" si="83"/>
        <v>315.49913043478267</v>
      </c>
      <c r="BQ160" s="61">
        <f t="shared" si="83"/>
        <v>375.10956521739132</v>
      </c>
      <c r="BR160" s="61">
        <f t="shared" si="83"/>
        <v>375.10956521739132</v>
      </c>
      <c r="BS160" s="61">
        <f t="shared" si="83"/>
        <v>375.10956521739132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83.166064931965153</v>
      </c>
      <c r="D161" s="262">
        <f t="shared" si="50"/>
        <v>91.482671425161669</v>
      </c>
      <c r="AT161" s="188" t="s">
        <v>844</v>
      </c>
      <c r="AV161" s="172">
        <f>IF($AT$62="OL",AV160/50,AV160/10)</f>
        <v>7.5021913043478268</v>
      </c>
      <c r="AW161" s="172">
        <f t="shared" ref="AW161:BS161" si="86">IF($AT$62="OL",AW160/50,AW160/10)</f>
        <v>7.4440347826086963</v>
      </c>
      <c r="AX161" s="172">
        <f t="shared" si="86"/>
        <v>7.3858782608695659</v>
      </c>
      <c r="AY161" s="172">
        <f t="shared" si="86"/>
        <v>7.3568000000000007</v>
      </c>
      <c r="AZ161" s="172">
        <f t="shared" si="86"/>
        <v>7.3277217391304355</v>
      </c>
      <c r="BA161" s="172">
        <f t="shared" si="86"/>
        <v>7.2986434782608693</v>
      </c>
      <c r="BB161" s="172">
        <f t="shared" si="86"/>
        <v>7.269565217391305</v>
      </c>
      <c r="BC161" s="172">
        <f t="shared" si="86"/>
        <v>7.2404869565217389</v>
      </c>
      <c r="BD161" s="172">
        <f t="shared" si="86"/>
        <v>7.1823304347826094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6.3099826086956536</v>
      </c>
      <c r="BP161" s="172">
        <f t="shared" si="86"/>
        <v>6.3099826086956536</v>
      </c>
      <c r="BQ161" s="172">
        <f t="shared" si="86"/>
        <v>7.5021913043478268</v>
      </c>
      <c r="BR161" s="172">
        <f t="shared" si="86"/>
        <v>7.5021913043478268</v>
      </c>
      <c r="BS161" s="172">
        <f t="shared" si="86"/>
        <v>7.5021913043478268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133.68667238562091</v>
      </c>
      <c r="D162" s="262">
        <f t="shared" si="50"/>
        <v>147.05533962418301</v>
      </c>
      <c r="AT162" s="188" t="s">
        <v>846</v>
      </c>
      <c r="AV162" s="172">
        <f>IF(AV161&gt;1,AV161-1,0)</f>
        <v>6.5021913043478268</v>
      </c>
      <c r="AW162" s="172">
        <f t="shared" ref="AW162:BS162" si="89">IF(AW161&gt;1,AW161-1,0)</f>
        <v>6.4440347826086963</v>
      </c>
      <c r="AX162" s="172">
        <f t="shared" si="89"/>
        <v>6.3858782608695659</v>
      </c>
      <c r="AY162" s="172">
        <f t="shared" si="89"/>
        <v>6.3568000000000007</v>
      </c>
      <c r="AZ162" s="172">
        <f t="shared" si="89"/>
        <v>6.3277217391304355</v>
      </c>
      <c r="BA162" s="172">
        <f t="shared" si="89"/>
        <v>6.2986434782608693</v>
      </c>
      <c r="BB162" s="172">
        <f t="shared" si="89"/>
        <v>6.269565217391305</v>
      </c>
      <c r="BC162" s="172">
        <f t="shared" si="89"/>
        <v>6.2404869565217389</v>
      </c>
      <c r="BD162" s="172">
        <f t="shared" si="89"/>
        <v>6.1823304347826094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5.3099826086956536</v>
      </c>
      <c r="BP162" s="172">
        <f t="shared" si="89"/>
        <v>5.3099826086956536</v>
      </c>
      <c r="BQ162" s="172">
        <f t="shared" si="89"/>
        <v>6.5021913043478268</v>
      </c>
      <c r="BR162" s="172">
        <f t="shared" si="89"/>
        <v>6.5021913043478268</v>
      </c>
      <c r="BS162" s="172">
        <f t="shared" si="89"/>
        <v>6.5021913043478268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53.378834782608699</v>
      </c>
      <c r="AW163" s="61">
        <f t="shared" ref="AW163:BS163" si="92">AW147+AW148*AW162</f>
        <v>53.277060869565219</v>
      </c>
      <c r="AX163" s="61">
        <f t="shared" si="92"/>
        <v>53.175286956521738</v>
      </c>
      <c r="AY163" s="61">
        <f t="shared" si="92"/>
        <v>53.124400000000001</v>
      </c>
      <c r="AZ163" s="61">
        <f t="shared" si="92"/>
        <v>53.073513043478258</v>
      </c>
      <c r="BA163" s="61">
        <f t="shared" si="92"/>
        <v>53.022626086956521</v>
      </c>
      <c r="BB163" s="61">
        <f t="shared" si="92"/>
        <v>52.971739130434784</v>
      </c>
      <c r="BC163" s="61">
        <f t="shared" si="92"/>
        <v>52.920852173913048</v>
      </c>
      <c r="BD163" s="61">
        <f t="shared" si="92"/>
        <v>52.819078260869567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51.292469565217395</v>
      </c>
      <c r="BP163" s="61">
        <f t="shared" si="92"/>
        <v>51.292469565217395</v>
      </c>
      <c r="BQ163" s="61">
        <f t="shared" si="92"/>
        <v>53.378834782608699</v>
      </c>
      <c r="BR163" s="61">
        <f t="shared" si="92"/>
        <v>53.378834782608699</v>
      </c>
      <c r="BS163" s="61">
        <f t="shared" si="92"/>
        <v>53.378834782608699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68.45264232000001</v>
      </c>
      <c r="D165" s="262">
        <f t="shared" si="50"/>
        <v>75.297906552000015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45.64579904422223</v>
      </c>
      <c r="D166" s="262">
        <f t="shared" si="50"/>
        <v>50.210378948644454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21</v>
      </c>
      <c r="AW168" s="189">
        <f>IF(AW122&gt;0,HLOOKUP(AW122,[1]Trav!$C$11:$O$31,$AU$166),0)</f>
        <v>21</v>
      </c>
      <c r="AX168" s="189">
        <f>IF(AX122&gt;0,HLOOKUP(AX122,[1]Trav!$C$11:$O$31,$AU$166),0)</f>
        <v>21</v>
      </c>
      <c r="AY168" s="189">
        <f>IF(AY122&gt;0,HLOOKUP(AY122,[1]Trav!$C$11:$O$31,$AU$166),0)</f>
        <v>21</v>
      </c>
      <c r="AZ168" s="189">
        <f>IF(AZ122&gt;0,HLOOKUP(AZ122,[1]Trav!$C$11:$O$31,$AU$166),0)</f>
        <v>21</v>
      </c>
      <c r="BA168" s="189">
        <f>IF(BA122&gt;0,HLOOKUP(BA122,[1]Trav!$C$11:$O$31,$AU$166),0)</f>
        <v>28</v>
      </c>
      <c r="BB168" s="189">
        <f>IF(BB122&gt;0,HLOOKUP(BB122,[1]Trav!$C$11:$O$31,$AU$166),0)</f>
        <v>28</v>
      </c>
      <c r="BC168" s="189">
        <f>IF(BC122&gt;0,HLOOKUP(BC122,[1]Trav!$C$11:$O$31,$AU$166),0)</f>
        <v>28</v>
      </c>
      <c r="BD168" s="189">
        <f>IF(BD122&gt;0,HLOOKUP(BD122,[1]Trav!$C$11:$O$31,$AU$166),0)</f>
        <v>28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28</v>
      </c>
      <c r="BP168" s="189">
        <f>IF(BP122&gt;0,HLOOKUP(BP122,[1]Trav!$C$11:$O$31,$AU$166),0)</f>
        <v>28</v>
      </c>
      <c r="BQ168" s="189">
        <f>IF(BQ122&gt;0,HLOOKUP(BQ122,[1]Trav!$C$11:$O$31,$AU$166),0)</f>
        <v>28</v>
      </c>
      <c r="BR168" s="189">
        <f>IF(BR122&gt;0,HLOOKUP(BR122,[1]Trav!$C$11:$O$31,$AU$166),0)</f>
        <v>21</v>
      </c>
      <c r="BS168" s="189">
        <f>IF(BS122&gt;0,HLOOKUP(BS122,[1]Trav!$C$11:$O$31,$AU$166),0)</f>
        <v>21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130.87079</v>
      </c>
      <c r="D169" s="262">
        <f t="shared" si="50"/>
        <v>143.95786899999999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98.854743785704358</v>
      </c>
      <c r="D170" s="262">
        <f t="shared" si="50"/>
        <v>108.74021816427479</v>
      </c>
      <c r="AT170" s="188" t="str">
        <f t="shared" si="95"/>
        <v>beliers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88.921549999999996</v>
      </c>
      <c r="D171" s="262">
        <f t="shared" si="50"/>
        <v>97.813704999999999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179.4</v>
      </c>
      <c r="D172" s="262">
        <f t="shared" si="50"/>
        <v>197.34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32.016046214295642</v>
      </c>
      <c r="D173" s="262">
        <f t="shared" si="50"/>
        <v>35.217650835725209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75.5</v>
      </c>
      <c r="D174" s="262">
        <f t="shared" si="50"/>
        <v>83.05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-90.478450000000009</v>
      </c>
      <c r="D175" s="262">
        <f>C175*$D$82/$C$82</f>
        <v>-99.526295000000019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90.478450000000009</v>
      </c>
      <c r="D176" s="262">
        <f>C176*$D$82/$C$82</f>
        <v>99.526295000000019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67</v>
      </c>
      <c r="D178" s="172">
        <f>ROUND((D170+D171)/(D170+D172),2)*100</f>
        <v>67</v>
      </c>
      <c r="AT178" s="40" t="s">
        <v>865</v>
      </c>
      <c r="AV178" s="172">
        <f>SUM(AV167:AV176)</f>
        <v>21</v>
      </c>
      <c r="AW178" s="172">
        <f t="shared" ref="AW178:BS178" si="98">SUM(AW167:AW176)</f>
        <v>21</v>
      </c>
      <c r="AX178" s="172">
        <f t="shared" si="98"/>
        <v>21</v>
      </c>
      <c r="AY178" s="172">
        <f t="shared" si="98"/>
        <v>21</v>
      </c>
      <c r="AZ178" s="172">
        <f t="shared" si="98"/>
        <v>21</v>
      </c>
      <c r="BA178" s="172">
        <f t="shared" si="98"/>
        <v>42</v>
      </c>
      <c r="BB178" s="172">
        <f t="shared" si="98"/>
        <v>42</v>
      </c>
      <c r="BC178" s="172">
        <f t="shared" si="98"/>
        <v>42</v>
      </c>
      <c r="BD178" s="172">
        <f t="shared" si="98"/>
        <v>42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42</v>
      </c>
      <c r="BP178" s="172">
        <f t="shared" si="98"/>
        <v>28</v>
      </c>
      <c r="BQ178" s="172">
        <f t="shared" si="98"/>
        <v>28</v>
      </c>
      <c r="BR178" s="172">
        <f t="shared" si="98"/>
        <v>21</v>
      </c>
      <c r="BS178" s="172">
        <f t="shared" si="98"/>
        <v>21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49</v>
      </c>
      <c r="CM178" s="172">
        <f t="shared" si="99"/>
        <v>49</v>
      </c>
      <c r="CN178" s="172">
        <f t="shared" si="99"/>
        <v>49</v>
      </c>
      <c r="CO178" s="172">
        <f t="shared" si="99"/>
        <v>49</v>
      </c>
      <c r="CP178" s="172">
        <f t="shared" si="99"/>
        <v>49</v>
      </c>
      <c r="CQ178" s="172">
        <f t="shared" si="99"/>
        <v>49</v>
      </c>
      <c r="CR178" s="172">
        <f t="shared" si="99"/>
        <v>49</v>
      </c>
      <c r="CS178" s="172">
        <f t="shared" si="99"/>
        <v>49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4737</v>
      </c>
      <c r="D183" s="263">
        <f>ROUND(D184*D185,0)</f>
        <v>5209</v>
      </c>
      <c r="E183" s="17" t="s">
        <v>1295</v>
      </c>
    </row>
    <row r="184" spans="1:132" x14ac:dyDescent="0.25">
      <c r="B184" s="14" t="s">
        <v>1296</v>
      </c>
      <c r="C184" s="172">
        <f>Protection!AK26</f>
        <v>20.5</v>
      </c>
      <c r="D184" s="264">
        <f>C184*D82/C82</f>
        <v>22.55</v>
      </c>
    </row>
    <row r="185" spans="1:132" x14ac:dyDescent="0.25">
      <c r="B185" s="14" t="s">
        <v>1297</v>
      </c>
      <c r="C185" s="172">
        <f>IF(C183=0,0,ROUND(C183/C184,0))</f>
        <v>231</v>
      </c>
      <c r="D185" s="172">
        <f>C185</f>
        <v>231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0.2</v>
      </c>
      <c r="D187" s="172">
        <f>C187</f>
        <v>0.2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6</v>
      </c>
      <c r="D189" s="172">
        <f t="shared" si="101"/>
        <v>6</v>
      </c>
      <c r="AH189" s="15"/>
      <c r="AJ189" s="14" t="s">
        <v>1114</v>
      </c>
      <c r="AK189" s="30">
        <f>D189</f>
        <v>6</v>
      </c>
      <c r="AO189" s="172">
        <f>ROUND((([1]Protect!$B$5/[1]Protect!$B$11)+[1]Protect!$B$8)*AK189,0)</f>
        <v>5426</v>
      </c>
    </row>
    <row r="190" spans="1:132" x14ac:dyDescent="0.25">
      <c r="B190" s="14" t="s">
        <v>1302</v>
      </c>
      <c r="C190" s="172">
        <f>'Calcul éco'!T246*(30)</f>
        <v>18.000000000000004</v>
      </c>
      <c r="D190" s="172">
        <f>C190</f>
        <v>18.000000000000004</v>
      </c>
      <c r="AH190" s="15"/>
      <c r="AJ190" s="14" t="s">
        <v>1115</v>
      </c>
      <c r="AK190" s="30">
        <f>D190/30</f>
        <v>0.60000000000000009</v>
      </c>
      <c r="AN190" s="172">
        <f>[1]Eco!$B$106*[1]Eco!$B$108*[1]Eco!$B$109</f>
        <v>2551.2000000000003</v>
      </c>
      <c r="AO190" s="172">
        <f>AK190*AN190</f>
        <v>1530.7200000000005</v>
      </c>
    </row>
    <row r="191" spans="1:132" x14ac:dyDescent="0.25">
      <c r="B191" s="14" t="s">
        <v>1303</v>
      </c>
      <c r="C191" s="197">
        <f>ROUND(SUM(Travail!F69:F74)/8,1)</f>
        <v>20</v>
      </c>
      <c r="D191" s="172">
        <f>C191</f>
        <v>20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16.8</v>
      </c>
      <c r="AN191" s="172">
        <f>[1]Eco!$B$111</f>
        <v>28.3</v>
      </c>
      <c r="AO191" s="172">
        <f>AK191*AN191</f>
        <v>475.44000000000005</v>
      </c>
    </row>
    <row r="192" spans="1:132" x14ac:dyDescent="0.25">
      <c r="B192" s="14" t="s">
        <v>1307</v>
      </c>
      <c r="C192" s="172">
        <f>(Travail!F83+Travail!F84)/8</f>
        <v>0.67500000000000004</v>
      </c>
      <c r="D192" s="265">
        <f>ROUND((D183/1000)*([1]Protect!$B$25*8/10+[1]Protect!$B$26),2)/8</f>
        <v>0.73624999999999996</v>
      </c>
      <c r="E192" s="17" t="s">
        <v>1308</v>
      </c>
      <c r="I192" s="5"/>
      <c r="AN192" s="14" t="s">
        <v>1117</v>
      </c>
      <c r="AO192" s="172">
        <f>SUM(AO189:AO191)</f>
        <v>7432.16</v>
      </c>
    </row>
    <row r="193" spans="1:43" x14ac:dyDescent="0.25">
      <c r="B193" s="14" t="s">
        <v>1309</v>
      </c>
      <c r="C193" s="172">
        <f>(Travail!F75+Travail!F76+Travail!F81)/8</f>
        <v>23.1875</v>
      </c>
      <c r="D193" s="172">
        <f>C193</f>
        <v>23.1875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7712</v>
      </c>
      <c r="D206" s="260">
        <f>ROUND(C206*D$82/C$82,0)</f>
        <v>8483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7432.16</v>
      </c>
      <c r="AQ207" s="5"/>
    </row>
    <row r="208" spans="1:43" x14ac:dyDescent="0.25">
      <c r="B208" s="210" t="s">
        <v>987</v>
      </c>
      <c r="C208" s="172">
        <f>ROUND('Calcul éco'!J44,0)</f>
        <v>5327</v>
      </c>
      <c r="D208" s="260">
        <f>ROUND(C208*D$82/C$82,0)</f>
        <v>5860</v>
      </c>
      <c r="S208" s="14" t="s">
        <v>978</v>
      </c>
      <c r="T208" s="30">
        <f>L212</f>
        <v>87.460999999999999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7432.16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7432.16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5946</v>
      </c>
      <c r="D210" s="263">
        <f>ROUND(AL207,0)</f>
        <v>7432</v>
      </c>
      <c r="E210" s="17" t="s">
        <v>1329</v>
      </c>
      <c r="K210" s="14" t="s">
        <v>990</v>
      </c>
      <c r="L210" s="172">
        <f>J221</f>
        <v>54.284999999999997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48695.199999999997</v>
      </c>
      <c r="D211" s="263">
        <f>ROUND(SUM(D201:D210),0)</f>
        <v>52606</v>
      </c>
      <c r="E211" s="17" t="s">
        <v>1331</v>
      </c>
      <c r="K211" s="40" t="s">
        <v>995</v>
      </c>
      <c r="L211" s="61">
        <f>L209+L210</f>
        <v>87.460999999999999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87.460999999999999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78.135000000000005</v>
      </c>
      <c r="AK216" s="172"/>
      <c r="AL216" s="172"/>
      <c r="AM216" s="172">
        <f>'Calcul éco'!W272</f>
        <v>6</v>
      </c>
      <c r="AN216" s="172">
        <f>AJ216*AM216</f>
        <v>468.81000000000006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1368.951</v>
      </c>
      <c r="D217" s="260">
        <f t="shared" si="106"/>
        <v>1506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21709.894350000002</v>
      </c>
      <c r="D218" s="260">
        <f t="shared" si="106"/>
        <v>23881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0.4</v>
      </c>
      <c r="AK218" s="172"/>
      <c r="AL218" s="172"/>
      <c r="AM218" s="172">
        <f>'Calcul éco'!W274</f>
        <v>100</v>
      </c>
      <c r="AN218" s="172">
        <f>AJ218*AM218</f>
        <v>40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5426</v>
      </c>
      <c r="D219" s="260">
        <f t="shared" si="106"/>
        <v>5969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466.33000000000004</v>
      </c>
      <c r="D220" s="263">
        <f>SUM(AN215:AN219)</f>
        <v>508.81000000000006</v>
      </c>
      <c r="E220" s="17" t="s">
        <v>1345</v>
      </c>
      <c r="H220" s="14" t="s">
        <v>1000</v>
      </c>
      <c r="I220" s="30">
        <f>SUM(I216:I219)</f>
        <v>105</v>
      </c>
      <c r="J220" s="30">
        <f>SUM(J216:J219)</f>
        <v>115.5</v>
      </c>
    </row>
    <row r="221" spans="1:43" x14ac:dyDescent="0.25">
      <c r="B221" s="14" t="s">
        <v>1346</v>
      </c>
      <c r="C221" s="172">
        <f>ROUND(SUM(C216:C220),0)</f>
        <v>59611</v>
      </c>
      <c r="D221" s="263">
        <f>ROUND(SUM(D216:D220),0)</f>
        <v>65569</v>
      </c>
      <c r="E221" s="17" t="s">
        <v>1345</v>
      </c>
      <c r="H221" s="14" t="s">
        <v>1001</v>
      </c>
      <c r="I221" s="30">
        <f>I220*[1]Eco!$B$25</f>
        <v>49.349999999999994</v>
      </c>
      <c r="J221" s="30">
        <f>J220*[1]Eco!$B$25</f>
        <v>54.284999999999997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5209</v>
      </c>
      <c r="AL225" t="s">
        <v>1101</v>
      </c>
      <c r="AM225" s="172"/>
      <c r="AN225" s="172">
        <f>[1]Protect!$B$4</f>
        <v>6</v>
      </c>
      <c r="AO225" s="172">
        <f>AK225*AN225</f>
        <v>31254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0.2</v>
      </c>
      <c r="AN226" s="172">
        <f>[1]Protect!$B$83</f>
        <v>2000</v>
      </c>
      <c r="AO226" s="172">
        <f t="shared" ref="AO226:AO227" si="108">AK226*AN226</f>
        <v>400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31654</v>
      </c>
      <c r="AQ228" s="30">
        <f>IF(Scénario!K84=1,MIN(0.8*AO228,[1]Protect!$B$68),IF(Scénario!K84=2,MIN(0.8*AO228,[1]Protect!$B$67),0))</f>
        <v>15500</v>
      </c>
      <c r="AR228" s="30">
        <f>AO228-AQ228</f>
        <v>16154</v>
      </c>
      <c r="AS228" s="30">
        <f>(1-Scénario!K127/100)*AR228</f>
        <v>16154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-185.70599999999999</v>
      </c>
      <c r="D230" s="260">
        <f t="shared" si="109"/>
        <v>-204</v>
      </c>
    </row>
    <row r="231" spans="1:49" x14ac:dyDescent="0.25">
      <c r="B231" s="14" t="s">
        <v>1083</v>
      </c>
      <c r="C231" s="172">
        <f>'Calcul éco'!J159</f>
        <v>-21.000000000000032</v>
      </c>
      <c r="D231" s="260">
        <f t="shared" si="109"/>
        <v>-23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-88.577999999999989</v>
      </c>
      <c r="D233" s="260">
        <f t="shared" si="109"/>
        <v>-97</v>
      </c>
    </row>
    <row r="234" spans="1:49" x14ac:dyDescent="0.25">
      <c r="B234" s="14" t="s">
        <v>1352</v>
      </c>
      <c r="C234" s="172">
        <f>'Calcul éco'!J166</f>
        <v>1530.7200000000005</v>
      </c>
      <c r="D234" s="172">
        <f>C234</f>
        <v>1530.7200000000005</v>
      </c>
    </row>
    <row r="235" spans="1:49" x14ac:dyDescent="0.25">
      <c r="B235" s="14" t="s">
        <v>1353</v>
      </c>
      <c r="C235" s="172">
        <f>'Calcul éco'!J167</f>
        <v>3469.6320000000005</v>
      </c>
      <c r="D235" s="263">
        <f>(D191+D192)*8*[1]Eco!$B$106</f>
        <v>1763.4106999999999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29558</v>
      </c>
      <c r="D236" s="263">
        <f>ROUND(SUM(D222:D235),0)</f>
        <v>29690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21412.199999999997</v>
      </c>
      <c r="D237" s="263">
        <f>D194+D211-D221-D236</f>
        <v>25422</v>
      </c>
    </row>
    <row r="238" spans="1:49" x14ac:dyDescent="0.25">
      <c r="B238" s="210" t="s">
        <v>1090</v>
      </c>
      <c r="C238" s="172">
        <f>ROUND(C237/Scénario!$K$4,0)</f>
        <v>14275</v>
      </c>
      <c r="D238" s="263">
        <f>ROUND(D237/D83,0)</f>
        <v>12711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1642.4819603660785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8770</v>
      </c>
      <c r="D241" s="267">
        <f>ROUND(D237-D239-D240,0)</f>
        <v>14422</v>
      </c>
    </row>
    <row r="242" spans="1:15" x14ac:dyDescent="0.25">
      <c r="B242" s="210" t="s">
        <v>1094</v>
      </c>
      <c r="C242" s="172">
        <f>ROUND(C241/Scénario!K4,0)</f>
        <v>5847</v>
      </c>
      <c r="D242" s="263">
        <f>ROUND(D241/D83,0)</f>
        <v>7211</v>
      </c>
    </row>
    <row r="243" spans="1:15" x14ac:dyDescent="0.25">
      <c r="B243" s="210" t="s">
        <v>1357</v>
      </c>
      <c r="C243" s="172">
        <f>'Calcul éco'!X237+'Calcul éco'!X240</f>
        <v>28822</v>
      </c>
      <c r="D243" s="172">
        <f>C243</f>
        <v>28822</v>
      </c>
    </row>
    <row r="244" spans="1:15" x14ac:dyDescent="0.25">
      <c r="B244" s="210" t="s">
        <v>1358</v>
      </c>
      <c r="C244" s="172">
        <f>'Calcul éco'!AA237+'Calcul éco'!AA240</f>
        <v>13322</v>
      </c>
      <c r="D244" s="172">
        <f>C244</f>
        <v>13322</v>
      </c>
    </row>
    <row r="245" spans="1:15" x14ac:dyDescent="0.25">
      <c r="A245" s="2" t="s">
        <v>1359</v>
      </c>
      <c r="B245" s="14" t="s">
        <v>568</v>
      </c>
      <c r="C245" s="269">
        <f>Travail!F5</f>
        <v>595</v>
      </c>
      <c r="D245" s="172">
        <f>C245</f>
        <v>595</v>
      </c>
    </row>
    <row r="246" spans="1:15" x14ac:dyDescent="0.25">
      <c r="B246" s="14" t="s">
        <v>601</v>
      </c>
      <c r="C246" s="269">
        <f>Travail!F6</f>
        <v>151.19999999999999</v>
      </c>
      <c r="D246" s="172">
        <f t="shared" ref="D246:D247" si="112">C246</f>
        <v>151.19999999999999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967.73600000000022</v>
      </c>
      <c r="D248" s="263">
        <f>ROUND(SUM(AV163:BS163),1)</f>
        <v>988.9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134.4</v>
      </c>
      <c r="D251" s="172">
        <f>C251</f>
        <v>134.4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16.335000000000001</v>
      </c>
      <c r="L258" s="189">
        <f>IF(K258&gt;[1]Trav!E121,[1]Trav!C121,[1]Trav!B121)</f>
        <v>7.2</v>
      </c>
      <c r="N258" s="273"/>
      <c r="O258">
        <f t="shared" si="114"/>
        <v>117.61200000000001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12.54</v>
      </c>
      <c r="L259" s="189">
        <f>IF(K259&gt;[1]Trav!E121,[1]Trav!C121,[1]Trav!B121)</f>
        <v>7.2</v>
      </c>
      <c r="N259" s="273"/>
      <c r="O259">
        <f t="shared" si="114"/>
        <v>90.287999999999997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1.8149999999999999</v>
      </c>
      <c r="L261" s="189">
        <f>IF(K261&gt;[1]Trav!E122,[1]Trav!C122,[1]Trav!B122)</f>
        <v>4.4000000000000004</v>
      </c>
      <c r="M261" s="5"/>
      <c r="N261" s="273"/>
      <c r="O261">
        <f t="shared" si="114"/>
        <v>7.9860000000000007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107</v>
      </c>
      <c r="D267" s="263">
        <f t="shared" si="116"/>
        <v>118</v>
      </c>
    </row>
    <row r="268" spans="1:15" x14ac:dyDescent="0.25">
      <c r="B268" s="32" t="s">
        <v>791</v>
      </c>
      <c r="C268" s="269">
        <f>Travail!F56</f>
        <v>82</v>
      </c>
      <c r="D268" s="263">
        <f t="shared" si="116"/>
        <v>90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7</v>
      </c>
      <c r="D270" s="263">
        <f t="shared" si="116"/>
        <v>8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160</v>
      </c>
      <c r="D275" s="172">
        <f>C275</f>
        <v>160</v>
      </c>
    </row>
    <row r="276" spans="1:4" x14ac:dyDescent="0.25">
      <c r="A276" s="23"/>
      <c r="B276" s="32" t="s">
        <v>1369</v>
      </c>
      <c r="C276" s="269">
        <f>C192*8</f>
        <v>5.4</v>
      </c>
      <c r="D276" s="263">
        <f>D192*8</f>
        <v>5.89</v>
      </c>
    </row>
    <row r="277" spans="1:4" x14ac:dyDescent="0.25">
      <c r="B277" s="32" t="s">
        <v>1420</v>
      </c>
      <c r="C277" s="269">
        <f>Travail!F75+Travail!F81</f>
        <v>161</v>
      </c>
      <c r="D277" s="172">
        <f>C277</f>
        <v>161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144.00000000000003</v>
      </c>
      <c r="D279" s="269">
        <f>C279</f>
        <v>144.00000000000003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2877</v>
      </c>
      <c r="D281" s="263">
        <f>ROUND(D245+D248+D251+D254+D257+D260+D261,0)</f>
        <v>2994</v>
      </c>
    </row>
    <row r="282" spans="1:4" x14ac:dyDescent="0.25">
      <c r="B282" s="14" t="s">
        <v>1372</v>
      </c>
      <c r="C282" s="172">
        <f>ROUND(C246+C249+C252+C255+C258,0)</f>
        <v>757</v>
      </c>
      <c r="D282" s="263">
        <f>ROUND(D246+D249+D252+D255+D258,0)</f>
        <v>767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9.4600000000000009</v>
      </c>
      <c r="D284" s="172">
        <f>ROUND(D281/(Troupeau!$B$17*G63),2)</f>
        <v>8.9499999999999993</v>
      </c>
    </row>
    <row r="285" spans="1:4" x14ac:dyDescent="0.25">
      <c r="B285" s="14" t="s">
        <v>1375</v>
      </c>
      <c r="C285" s="172">
        <f>IF(Troupeau!$C$17=0,0,ROUND(C282/Troupeau!$C$17,2))</f>
        <v>32.909999999999997</v>
      </c>
      <c r="D285" s="172">
        <f>IF(Troupeau!$C$17=0,0,ROUND(D282/Troupeau!$C$17*G63,2))</f>
        <v>36.68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3634</v>
      </c>
      <c r="D287" s="263">
        <f>SUM(D281:D283)</f>
        <v>3761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263</v>
      </c>
      <c r="D289" s="263">
        <f>SUM(D262:D271)</f>
        <v>290</v>
      </c>
    </row>
    <row r="290" spans="2:4" x14ac:dyDescent="0.25">
      <c r="B290" s="14" t="s">
        <v>1422</v>
      </c>
      <c r="C290" s="269">
        <f>C275+C276+C277</f>
        <v>326.39999999999998</v>
      </c>
      <c r="D290" s="276">
        <f>D275+D276+D277</f>
        <v>326.89</v>
      </c>
    </row>
    <row r="291" spans="2:4" x14ac:dyDescent="0.25">
      <c r="B291" s="14" t="s">
        <v>1423</v>
      </c>
      <c r="C291" s="269">
        <f>C278+C279+C280</f>
        <v>168.50000000000003</v>
      </c>
      <c r="D291" s="269">
        <f>D278+D279+D280</f>
        <v>168.50000000000003</v>
      </c>
    </row>
    <row r="292" spans="2:4" x14ac:dyDescent="0.25">
      <c r="B292" s="14" t="s">
        <v>873</v>
      </c>
      <c r="C292" s="172">
        <f>ROUND(SUM(C287:C291),0)</f>
        <v>4992</v>
      </c>
      <c r="D292" s="263">
        <f>ROUND(SUM(D287:D291),0)</f>
        <v>5146</v>
      </c>
    </row>
    <row r="293" spans="2:4" x14ac:dyDescent="0.25">
      <c r="B293" s="14" t="s">
        <v>874</v>
      </c>
      <c r="C293" s="172">
        <f>ROUND(IF(Scénario!$K$129=1,SUM(C275:C280),SUM(C278:C280)),0)</f>
        <v>495</v>
      </c>
      <c r="D293" s="172">
        <f>ROUND(IF(Scénario!$K$129=1,SUM(D275:D280),SUM(D278:D280)),0)</f>
        <v>495</v>
      </c>
    </row>
    <row r="294" spans="2:4" x14ac:dyDescent="0.25">
      <c r="B294" s="14" t="s">
        <v>875</v>
      </c>
      <c r="C294" s="172">
        <f>ROUND((C292-C293)/C83,0)</f>
        <v>2998</v>
      </c>
      <c r="D294" s="172">
        <f>ROUND((D292-D293)/D83,0)</f>
        <v>2326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39.529078765704341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59.325665020000002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13.400000000000002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28422</v>
      </c>
    </row>
    <row r="308" spans="2:3" x14ac:dyDescent="0.25">
      <c r="B308" s="14" t="s">
        <v>1460</v>
      </c>
      <c r="C308" s="172">
        <f>'Calcul éco'!X235</f>
        <v>400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7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155">
        <v>0</v>
      </c>
      <c r="C53" s="155">
        <v>0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0</v>
      </c>
      <c r="H64" s="60">
        <f t="shared" si="19"/>
        <v>0</v>
      </c>
      <c r="I64" s="60">
        <f t="shared" si="19"/>
        <v>0</v>
      </c>
      <c r="J64" s="60">
        <f t="shared" si="19"/>
        <v>0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0</v>
      </c>
      <c r="W64" s="60">
        <f t="shared" si="19"/>
        <v>0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29.829008695652174</v>
      </c>
      <c r="H65" s="60">
        <f t="shared" si="20"/>
        <v>28.866782608695654</v>
      </c>
      <c r="I65" s="60">
        <f t="shared" si="20"/>
        <v>28.866782608695654</v>
      </c>
      <c r="J65" s="60">
        <f t="shared" si="20"/>
        <v>74.572521739130451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17.209043478260874</v>
      </c>
      <c r="C66" s="60">
        <f t="shared" si="21"/>
        <v>17.209043478260874</v>
      </c>
      <c r="D66" s="60">
        <f t="shared" si="21"/>
        <v>15.543652173913047</v>
      </c>
      <c r="E66" s="60">
        <f t="shared" si="21"/>
        <v>15.543652173913047</v>
      </c>
      <c r="F66" s="60">
        <f t="shared" si="21"/>
        <v>17.209043478260874</v>
      </c>
      <c r="G66" s="60">
        <f t="shared" si="21"/>
        <v>17.209043478260874</v>
      </c>
      <c r="H66" s="60">
        <f t="shared" si="21"/>
        <v>16.653913043478266</v>
      </c>
      <c r="I66" s="60">
        <f t="shared" si="21"/>
        <v>16.653913043478266</v>
      </c>
      <c r="J66" s="60">
        <f t="shared" si="21"/>
        <v>17.209043478260874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17.209043478260874</v>
      </c>
      <c r="V66" s="60">
        <f t="shared" si="21"/>
        <v>16.653913043478266</v>
      </c>
      <c r="W66" s="60">
        <f t="shared" si="21"/>
        <v>16.653913043478266</v>
      </c>
      <c r="X66" s="60">
        <f t="shared" si="21"/>
        <v>17.209043478260874</v>
      </c>
      <c r="Y66" s="60">
        <f t="shared" si="21"/>
        <v>17.209043478260874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621</v>
      </c>
      <c r="C73" s="63">
        <f t="shared" ref="C73:Y73" si="28">ROUND(SUM(C63:C72),0)</f>
        <v>615</v>
      </c>
      <c r="D73" s="63">
        <f t="shared" si="28"/>
        <v>550</v>
      </c>
      <c r="E73" s="63">
        <f t="shared" si="28"/>
        <v>295</v>
      </c>
      <c r="F73" s="63">
        <f t="shared" si="28"/>
        <v>325</v>
      </c>
      <c r="G73" s="63">
        <f t="shared" si="28"/>
        <v>324</v>
      </c>
      <c r="H73" s="63">
        <f t="shared" si="28"/>
        <v>312</v>
      </c>
      <c r="I73" s="63">
        <f t="shared" si="28"/>
        <v>311</v>
      </c>
      <c r="J73" s="63">
        <f t="shared" si="28"/>
        <v>363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320</v>
      </c>
      <c r="V73" s="63">
        <f t="shared" si="28"/>
        <v>602</v>
      </c>
      <c r="W73" s="63">
        <f t="shared" si="28"/>
        <v>601</v>
      </c>
      <c r="X73" s="63">
        <f t="shared" si="28"/>
        <v>621</v>
      </c>
      <c r="Y73" s="63">
        <f t="shared" si="28"/>
        <v>621</v>
      </c>
      <c r="Z73" s="51"/>
      <c r="AA73" s="55">
        <f>ROUND(SUM(B73:Y73),0)</f>
        <v>7669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1</v>
      </c>
      <c r="C77" s="59">
        <v>1</v>
      </c>
      <c r="D77" s="59">
        <v>1</v>
      </c>
      <c r="E77" s="59">
        <v>1</v>
      </c>
      <c r="F77" s="59">
        <v>1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1</v>
      </c>
      <c r="Y77" s="59">
        <v>1</v>
      </c>
      <c r="AB77" t="s">
        <v>447</v>
      </c>
      <c r="AC77">
        <f>COUNTIF($B$76:$Y$85,"&gt;0")/2</f>
        <v>19.5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/>
      <c r="H78" s="59"/>
      <c r="I78" s="59"/>
      <c r="J78" s="59"/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/>
      <c r="V78" s="59"/>
      <c r="W78" s="59"/>
      <c r="X78" s="59"/>
      <c r="Y78" s="59"/>
      <c r="AB78">
        <v>1</v>
      </c>
      <c r="AC78">
        <f>COUNTIF($B$76:$Y$85,AB78)/2</f>
        <v>12.5</v>
      </c>
      <c r="AG78" s="5"/>
    </row>
    <row r="79" spans="1:33" x14ac:dyDescent="0.25">
      <c r="A79" s="126" t="str">
        <f>A$18</f>
        <v>beliers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3.5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/>
      <c r="V125" s="59"/>
      <c r="W125" s="59"/>
      <c r="X125" s="59"/>
      <c r="Y125" s="59"/>
    </row>
    <row r="126" spans="1:29" x14ac:dyDescent="0.25">
      <c r="A126" s="126" t="str">
        <f>A$18</f>
        <v>beliers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0.38777711304347828</v>
      </c>
      <c r="H138" s="60">
        <f t="shared" si="52"/>
        <v>0.37526817391304346</v>
      </c>
      <c r="I138" s="60">
        <f t="shared" si="52"/>
        <v>0.37526817391304346</v>
      </c>
      <c r="J138" s="60">
        <f t="shared" si="52"/>
        <v>0.96944278260869587</v>
      </c>
      <c r="K138" s="60">
        <f t="shared" si="52"/>
        <v>0</v>
      </c>
      <c r="L138" s="60">
        <f t="shared" si="52"/>
        <v>0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5.1224105739130437</v>
      </c>
    </row>
    <row r="139" spans="1:31" x14ac:dyDescent="0.25">
      <c r="A139" s="126" t="str">
        <f>A$18</f>
        <v>beliers</v>
      </c>
      <c r="B139" s="60">
        <f t="shared" si="52"/>
        <v>0.22371756521739136</v>
      </c>
      <c r="C139" s="60">
        <f t="shared" si="52"/>
        <v>0.22371756521739136</v>
      </c>
      <c r="D139" s="60">
        <f t="shared" si="52"/>
        <v>0.20206747826086963</v>
      </c>
      <c r="E139" s="60">
        <f t="shared" si="52"/>
        <v>0.20206747826086963</v>
      </c>
      <c r="F139" s="60">
        <f t="shared" si="52"/>
        <v>0.22371756521739136</v>
      </c>
      <c r="G139" s="60">
        <f t="shared" si="52"/>
        <v>0.22371756521739136</v>
      </c>
      <c r="H139" s="60">
        <f t="shared" si="52"/>
        <v>0.21650086956521744</v>
      </c>
      <c r="I139" s="60">
        <f t="shared" si="52"/>
        <v>0.21650086956521744</v>
      </c>
      <c r="J139" s="60">
        <f t="shared" si="52"/>
        <v>0.22371756521739136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0.22371756521739136</v>
      </c>
      <c r="V139" s="60">
        <f t="shared" si="52"/>
        <v>0.21650086956521744</v>
      </c>
      <c r="W139" s="60">
        <f t="shared" si="52"/>
        <v>0.21650086956521744</v>
      </c>
      <c r="X139" s="60">
        <f t="shared" si="52"/>
        <v>0.22371756521739136</v>
      </c>
      <c r="Y139" s="60">
        <f t="shared" si="52"/>
        <v>0.22371756521739136</v>
      </c>
      <c r="AA139" s="60">
        <f t="shared" si="53"/>
        <v>3.0598789565217399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121.53333853238263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133.68667238562091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</v>
      </c>
      <c r="H151" s="60">
        <f t="shared" si="57"/>
        <v>0</v>
      </c>
      <c r="I151" s="60">
        <f t="shared" si="57"/>
        <v>0</v>
      </c>
      <c r="J151" s="60">
        <f t="shared" si="57"/>
        <v>0</v>
      </c>
      <c r="K151" s="60">
        <f t="shared" si="57"/>
        <v>0.96944278260869587</v>
      </c>
      <c r="L151" s="60">
        <f t="shared" si="57"/>
        <v>0.93817043478260886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0.96944278260869587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</v>
      </c>
      <c r="C152" s="60">
        <f t="shared" si="58"/>
        <v>0</v>
      </c>
      <c r="D152" s="60">
        <f t="shared" si="58"/>
        <v>0</v>
      </c>
      <c r="E152" s="60">
        <f t="shared" si="58"/>
        <v>0</v>
      </c>
      <c r="F152" s="60">
        <f t="shared" si="58"/>
        <v>0</v>
      </c>
      <c r="G152" s="60">
        <f t="shared" si="58"/>
        <v>0</v>
      </c>
      <c r="H152" s="60">
        <f t="shared" si="58"/>
        <v>0</v>
      </c>
      <c r="I152" s="60">
        <f t="shared" si="58"/>
        <v>0</v>
      </c>
      <c r="J152" s="60">
        <f t="shared" si="58"/>
        <v>0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</v>
      </c>
      <c r="V152" s="60">
        <f t="shared" si="58"/>
        <v>0</v>
      </c>
      <c r="W152" s="60">
        <f t="shared" si="58"/>
        <v>0</v>
      </c>
      <c r="X152" s="60">
        <f t="shared" si="58"/>
        <v>0</v>
      </c>
      <c r="Y152" s="60">
        <f t="shared" si="58"/>
        <v>0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83.166064931965153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0.70843895652173916</v>
      </c>
      <c r="C163" s="60">
        <f t="shared" si="66"/>
        <v>0.70843895652173916</v>
      </c>
      <c r="D163" s="60">
        <f t="shared" si="66"/>
        <v>0.63988034782608705</v>
      </c>
      <c r="E163" s="60">
        <f t="shared" si="66"/>
        <v>0.63988034782608705</v>
      </c>
      <c r="F163" s="60">
        <f t="shared" si="66"/>
        <v>0.70843895652173916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0.70843895652173916</v>
      </c>
      <c r="Y163" s="60">
        <f t="shared" si="66"/>
        <v>0.70843895652173916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</v>
      </c>
      <c r="H164" s="60">
        <f t="shared" si="67"/>
        <v>0</v>
      </c>
      <c r="I164" s="60">
        <f t="shared" si="67"/>
        <v>0</v>
      </c>
      <c r="J164" s="60">
        <f t="shared" si="67"/>
        <v>0</v>
      </c>
      <c r="K164" s="60">
        <f t="shared" si="67"/>
        <v>0.96944278260869587</v>
      </c>
      <c r="L164" s="60">
        <f t="shared" si="67"/>
        <v>0.93817043478260886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0.96944278260869587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0.70843895652173916</v>
      </c>
      <c r="C172" s="60">
        <f t="shared" ref="C172:Y172" si="75">SUM(C162:C171)</f>
        <v>0.70843895652173916</v>
      </c>
      <c r="D172" s="60">
        <f t="shared" si="75"/>
        <v>0.63988034782608705</v>
      </c>
      <c r="E172" s="60">
        <f t="shared" si="75"/>
        <v>0.63988034782608705</v>
      </c>
      <c r="F172" s="60">
        <f t="shared" si="75"/>
        <v>0.70843895652173916</v>
      </c>
      <c r="G172" s="60">
        <f t="shared" si="75"/>
        <v>2.6886290942608699</v>
      </c>
      <c r="H172" s="60">
        <f t="shared" si="75"/>
        <v>2.588417780869567</v>
      </c>
      <c r="I172" s="60">
        <f t="shared" si="75"/>
        <v>2.5749364382608704</v>
      </c>
      <c r="J172" s="60">
        <f t="shared" si="75"/>
        <v>2.6329062114782618</v>
      </c>
      <c r="K172" s="60">
        <f t="shared" si="75"/>
        <v>3.7566051234782614</v>
      </c>
      <c r="L172" s="60">
        <f t="shared" si="75"/>
        <v>3.6354243130434787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2.4143940950956533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0.70843895652173916</v>
      </c>
      <c r="Y172" s="60">
        <f t="shared" si="75"/>
        <v>0.70843895652173916</v>
      </c>
      <c r="AA172" s="63">
        <f>SUM(B172:Y172)</f>
        <v>34.661417548313047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</v>
      </c>
      <c r="C176" s="60">
        <f t="shared" si="77"/>
        <v>0</v>
      </c>
      <c r="D176" s="60">
        <f t="shared" si="77"/>
        <v>0</v>
      </c>
      <c r="E176" s="60">
        <f t="shared" si="77"/>
        <v>0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</v>
      </c>
      <c r="C178" s="60">
        <f t="shared" si="79"/>
        <v>0</v>
      </c>
      <c r="D178" s="60">
        <f t="shared" si="79"/>
        <v>0</v>
      </c>
      <c r="E178" s="60">
        <f t="shared" si="79"/>
        <v>0</v>
      </c>
      <c r="F178" s="60">
        <f t="shared" si="79"/>
        <v>0</v>
      </c>
      <c r="G178" s="60">
        <f t="shared" si="79"/>
        <v>0</v>
      </c>
      <c r="H178" s="60">
        <f t="shared" si="79"/>
        <v>0</v>
      </c>
      <c r="I178" s="60">
        <f t="shared" si="79"/>
        <v>0</v>
      </c>
      <c r="J178" s="60">
        <f t="shared" si="79"/>
        <v>0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</v>
      </c>
      <c r="V178" s="60">
        <f t="shared" si="79"/>
        <v>0</v>
      </c>
      <c r="W178" s="60">
        <f t="shared" si="79"/>
        <v>0</v>
      </c>
      <c r="X178" s="60">
        <f t="shared" si="79"/>
        <v>0</v>
      </c>
      <c r="Y178" s="60">
        <f t="shared" si="79"/>
        <v>0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</v>
      </c>
      <c r="C185" s="60">
        <f>SUM(CdTrp1!C175:C184)</f>
        <v>0</v>
      </c>
      <c r="D185" s="60">
        <f>SUM(CdTrp1!D175:D184)</f>
        <v>0</v>
      </c>
      <c r="E185" s="60">
        <f>SUM(CdTrp1!E175:E184)</f>
        <v>0</v>
      </c>
      <c r="F185" s="60">
        <f>SUM(CdTrp1!F175:F184)</f>
        <v>0</v>
      </c>
      <c r="G185" s="60">
        <f>SUM(CdTrp1!G175:G184)</f>
        <v>0</v>
      </c>
      <c r="H185" s="60">
        <f>SUM(CdTrp1!H175:H184)</f>
        <v>0</v>
      </c>
      <c r="I185" s="60">
        <f>SUM(CdTrp1!I175:I184)</f>
        <v>0</v>
      </c>
      <c r="J185" s="60">
        <f>SUM(CdTrp1!J175:J184)</f>
        <v>0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</v>
      </c>
      <c r="V185" s="60">
        <f>SUM(CdTrp1!V175:V184)</f>
        <v>0</v>
      </c>
      <c r="W185" s="60">
        <f>SUM(CdTrp1!W175:W184)</f>
        <v>0</v>
      </c>
      <c r="X185" s="60">
        <f>SUM(CdTrp1!X175:X184)</f>
        <v>0</v>
      </c>
      <c r="Y185" s="60">
        <f>SUM(CdTrp1!Y175:Y184)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</v>
      </c>
      <c r="Y189" s="60">
        <f t="shared" si="87"/>
        <v>0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</v>
      </c>
      <c r="Y198" s="60">
        <f t="shared" si="96"/>
        <v>0</v>
      </c>
      <c r="AA198" s="63">
        <f>SUM(B198:Y198)</f>
        <v>4.867661217391305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0.70843895652173916</v>
      </c>
      <c r="C215" s="60">
        <f t="shared" ref="C215:Y215" si="108">C172</f>
        <v>0.70843895652173916</v>
      </c>
      <c r="D215" s="60">
        <f t="shared" si="108"/>
        <v>0.63988034782608705</v>
      </c>
      <c r="E215" s="60">
        <f t="shared" si="108"/>
        <v>0.63988034782608705</v>
      </c>
      <c r="F215" s="60">
        <f t="shared" si="108"/>
        <v>0.70843895652173916</v>
      </c>
      <c r="G215" s="60">
        <f t="shared" si="108"/>
        <v>2.6886290942608699</v>
      </c>
      <c r="H215" s="60">
        <f t="shared" si="108"/>
        <v>2.588417780869567</v>
      </c>
      <c r="I215" s="60">
        <f t="shared" si="108"/>
        <v>2.5749364382608704</v>
      </c>
      <c r="J215" s="60">
        <f t="shared" si="108"/>
        <v>2.6329062114782618</v>
      </c>
      <c r="K215" s="60">
        <f t="shared" si="108"/>
        <v>3.7566051234782614</v>
      </c>
      <c r="L215" s="60">
        <f t="shared" si="108"/>
        <v>3.6354243130434787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2.4143940950956533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0.70843895652173916</v>
      </c>
      <c r="Y215" s="60">
        <f t="shared" si="108"/>
        <v>0.70843895652173916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109">C185</f>
        <v>0</v>
      </c>
      <c r="D216" s="60">
        <f t="shared" si="109"/>
        <v>0</v>
      </c>
      <c r="E216" s="60">
        <f t="shared" si="109"/>
        <v>0</v>
      </c>
      <c r="F216" s="60">
        <f t="shared" si="109"/>
        <v>0</v>
      </c>
      <c r="G216" s="60">
        <f t="shared" si="109"/>
        <v>0</v>
      </c>
      <c r="H216" s="60">
        <f t="shared" si="109"/>
        <v>0</v>
      </c>
      <c r="I216" s="60">
        <f t="shared" si="109"/>
        <v>0</v>
      </c>
      <c r="J216" s="60">
        <f t="shared" si="109"/>
        <v>0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</v>
      </c>
      <c r="V216" s="60">
        <f t="shared" si="109"/>
        <v>0</v>
      </c>
      <c r="W216" s="60">
        <f t="shared" si="109"/>
        <v>0</v>
      </c>
      <c r="X216" s="60">
        <f t="shared" si="109"/>
        <v>0</v>
      </c>
      <c r="Y216" s="60">
        <f t="shared" si="109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</v>
      </c>
      <c r="Y217" s="60">
        <f t="shared" si="110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78.009900762226067</v>
      </c>
      <c r="AB219" t="s">
        <v>222</v>
      </c>
    </row>
    <row r="220" spans="1:28" x14ac:dyDescent="0.25">
      <c r="AA220" s="30">
        <f>SUM(B215:Y217)</f>
        <v>39.529078765704341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73" activePane="bottomLeft" state="frozen"/>
      <selection pane="bottomLeft" activeCell="P79" sqref="P79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3</v>
      </c>
      <c r="K78" s="59">
        <v>2</v>
      </c>
      <c r="L78" s="59">
        <v>2</v>
      </c>
      <c r="M78" s="59">
        <v>2</v>
      </c>
      <c r="N78" s="59">
        <v>2</v>
      </c>
      <c r="O78" s="59">
        <v>3</v>
      </c>
      <c r="P78" s="59">
        <v>3</v>
      </c>
      <c r="Q78" s="59">
        <v>2</v>
      </c>
      <c r="R78" s="59">
        <v>2</v>
      </c>
      <c r="S78" s="59">
        <v>3</v>
      </c>
      <c r="T78" s="59">
        <v>2</v>
      </c>
      <c r="U78" s="59">
        <v>2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14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0.5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1.16127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32.30410256592593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43.47218956592593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45.64579904422223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1.16127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68.45264232000001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2.7301575000000002</v>
      </c>
      <c r="M162" s="60">
        <f t="shared" si="47"/>
        <v>2.7301575000000002</v>
      </c>
      <c r="N162" s="60">
        <f t="shared" si="47"/>
        <v>2.8211627500000001</v>
      </c>
      <c r="O162" s="60">
        <f t="shared" si="47"/>
        <v>2.8211627500000001</v>
      </c>
      <c r="P162" s="60">
        <f t="shared" si="47"/>
        <v>2.8211627500000001</v>
      </c>
      <c r="Q162" s="60">
        <f t="shared" si="47"/>
        <v>2.8211627500000001</v>
      </c>
      <c r="R162" s="60">
        <f t="shared" si="47"/>
        <v>2.32254</v>
      </c>
      <c r="S162" s="60">
        <f t="shared" si="47"/>
        <v>1.16127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2.9185275000000002</v>
      </c>
      <c r="M172" s="60">
        <f t="shared" si="57"/>
        <v>2.9185275000000002</v>
      </c>
      <c r="N172" s="60">
        <f t="shared" si="57"/>
        <v>3.0158117500000001</v>
      </c>
      <c r="O172" s="60">
        <f t="shared" si="57"/>
        <v>3.0158117500000001</v>
      </c>
      <c r="P172" s="60">
        <f t="shared" si="57"/>
        <v>3.0158117500000001</v>
      </c>
      <c r="Q172" s="60">
        <f t="shared" si="57"/>
        <v>3.0158117500000001</v>
      </c>
      <c r="R172" s="60">
        <f t="shared" si="57"/>
        <v>2.51091</v>
      </c>
      <c r="S172" s="60">
        <f t="shared" si="57"/>
        <v>1.34964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34.812449020000003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0</v>
      </c>
      <c r="K177" s="60">
        <f t="shared" si="60"/>
        <v>1.5571919999999997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1.5571919999999997</v>
      </c>
      <c r="O177" s="60">
        <f t="shared" si="60"/>
        <v>0</v>
      </c>
      <c r="P177" s="60">
        <f t="shared" si="60"/>
        <v>0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0</v>
      </c>
      <c r="T177" s="60">
        <f t="shared" si="60"/>
        <v>1.5571919999999997</v>
      </c>
      <c r="U177" s="60">
        <f t="shared" si="60"/>
        <v>1.5571919999999997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0</v>
      </c>
      <c r="K185" s="60">
        <f>SUM(CdTrp2!K175:K184)</f>
        <v>1.5571919999999997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1.5571919999999997</v>
      </c>
      <c r="O185" s="60">
        <f>SUM(CdTrp2!O175:O184)</f>
        <v>0</v>
      </c>
      <c r="P185" s="60">
        <f>SUM(CdTrp2!P175:P184)</f>
        <v>0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0</v>
      </c>
      <c r="T185" s="60">
        <f>SUM(CdTrp2!T175:T184)</f>
        <v>1.5571919999999997</v>
      </c>
      <c r="U185" s="60">
        <f>SUM(CdTrp2!U175:U184)</f>
        <v>1.5571919999999997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18.334679999999999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1.5571919999999997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1.5571919999999997</v>
      </c>
      <c r="P190" s="60">
        <f t="shared" si="70"/>
        <v>1.5571919999999997</v>
      </c>
      <c r="Q190" s="60">
        <f t="shared" si="70"/>
        <v>0</v>
      </c>
      <c r="R190" s="60">
        <f t="shared" si="70"/>
        <v>0</v>
      </c>
      <c r="S190" s="60">
        <f t="shared" si="70"/>
        <v>1.5069599999999999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1.5571919999999997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1.5571919999999997</v>
      </c>
      <c r="P198" s="60">
        <f t="shared" si="78"/>
        <v>1.5571919999999997</v>
      </c>
      <c r="Q198" s="60">
        <f t="shared" si="78"/>
        <v>0</v>
      </c>
      <c r="R198" s="60">
        <f t="shared" si="78"/>
        <v>0</v>
      </c>
      <c r="S198" s="60">
        <f t="shared" si="78"/>
        <v>1.5069599999999999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6.1785359999999994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2.9185275000000002</v>
      </c>
      <c r="M215" s="60">
        <f t="shared" si="90"/>
        <v>2.9185275000000002</v>
      </c>
      <c r="N215" s="60">
        <f t="shared" si="90"/>
        <v>3.0158117500000001</v>
      </c>
      <c r="O215" s="60">
        <f t="shared" si="90"/>
        <v>3.0158117500000001</v>
      </c>
      <c r="P215" s="60">
        <f t="shared" si="90"/>
        <v>3.0158117500000001</v>
      </c>
      <c r="Q215" s="60">
        <f t="shared" si="90"/>
        <v>3.0158117500000001</v>
      </c>
      <c r="R215" s="60">
        <f t="shared" si="90"/>
        <v>2.51091</v>
      </c>
      <c r="S215" s="60">
        <f t="shared" si="90"/>
        <v>1.34964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0</v>
      </c>
      <c r="K216" s="60">
        <f t="shared" si="91"/>
        <v>1.5571919999999997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1.5571919999999997</v>
      </c>
      <c r="O216" s="60">
        <f t="shared" si="91"/>
        <v>0</v>
      </c>
      <c r="P216" s="60">
        <f t="shared" si="91"/>
        <v>0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0</v>
      </c>
      <c r="T216" s="60">
        <f t="shared" si="91"/>
        <v>1.5571919999999997</v>
      </c>
      <c r="U216" s="60">
        <f t="shared" si="91"/>
        <v>1.5571919999999997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1.5571919999999997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1.5571919999999997</v>
      </c>
      <c r="P217" s="60">
        <f t="shared" si="92"/>
        <v>1.5571919999999997</v>
      </c>
      <c r="Q217" s="60">
        <f t="shared" si="92"/>
        <v>0</v>
      </c>
      <c r="R217" s="60">
        <f t="shared" si="92"/>
        <v>0</v>
      </c>
      <c r="S217" s="60">
        <f t="shared" si="92"/>
        <v>1.5069599999999999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59.325665020000002</v>
      </c>
      <c r="AB219" t="s">
        <v>222</v>
      </c>
    </row>
    <row r="220" spans="1:28" x14ac:dyDescent="0.25">
      <c r="AA220" s="30">
        <f>SUM(B215:Y217)</f>
        <v>59.325665020000002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2023-01-09T10:52:50Z</dcterms:modified>
</cp:coreProperties>
</file>