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tabRatio="652" firstSheet="1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2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K12" i="29"/>
  <c r="J12" i="29"/>
  <c r="I12" i="29"/>
  <c r="H12" i="29"/>
  <c r="E12" i="29"/>
  <c r="D12" i="29"/>
  <c r="C12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W93" i="30" s="1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P93" i="30"/>
  <c r="BO93" i="30"/>
  <c r="BM93" i="30"/>
  <c r="BK93" i="30"/>
  <c r="BI93" i="30"/>
  <c r="BG93" i="30"/>
  <c r="BE93" i="30"/>
  <c r="BB93" i="30"/>
  <c r="BA93" i="30"/>
  <c r="AZ93" i="30"/>
  <c r="AY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E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3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252" i="33" l="1"/>
  <c r="D253" i="33"/>
  <c r="D280" i="33"/>
  <c r="D273" i="33"/>
  <c r="S8" i="29"/>
  <c r="S20" i="29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Y72" i="30" s="1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D274" i="33" l="1"/>
  <c r="AB24" i="28"/>
  <c r="U72" i="30"/>
  <c r="Q8" i="29"/>
  <c r="V72" i="30"/>
  <c r="R8" i="29"/>
  <c r="N8" i="29"/>
  <c r="N201" i="29" s="1"/>
  <c r="R72" i="30"/>
  <c r="S72" i="30"/>
  <c r="O8" i="29"/>
  <c r="M8" i="29"/>
  <c r="Q72" i="30"/>
  <c r="T72" i="30"/>
  <c r="P8" i="29"/>
  <c r="W72" i="30"/>
  <c r="T8" i="29"/>
  <c r="T201" i="29" s="1"/>
  <c r="X72" i="30"/>
  <c r="Z24" i="28"/>
  <c r="W24" i="28"/>
  <c r="X24" i="28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C191" i="33" s="1"/>
  <c r="AK224" i="33"/>
  <c r="AO224" i="33" s="1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C275" i="33"/>
  <c r="D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D275" i="33" l="1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82" i="33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D230" i="33" l="1"/>
  <c r="F10" i="30"/>
  <c r="C249" i="33" s="1"/>
  <c r="C270" i="33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BS78" i="33"/>
  <c r="BS154" i="33"/>
  <c r="BS76" i="33"/>
  <c r="BS152" i="33"/>
  <c r="BA76" i="33"/>
  <c r="BA133" i="33" s="1"/>
  <c r="BA152" i="33"/>
  <c r="AV76" i="33"/>
  <c r="AV152" i="33"/>
  <c r="BC78" i="33"/>
  <c r="BC154" i="33"/>
  <c r="AZ76" i="33"/>
  <c r="AZ152" i="33"/>
  <c r="BC76" i="33"/>
  <c r="BC122" i="33" s="1"/>
  <c r="BC168" i="33" s="1"/>
  <c r="BC152" i="33"/>
  <c r="BA78" i="33"/>
  <c r="BA154" i="33"/>
  <c r="BD78" i="33"/>
  <c r="BD154" i="33"/>
  <c r="BD76" i="33"/>
  <c r="BD152" i="33"/>
  <c r="BR76" i="33"/>
  <c r="BR122" i="33" s="1"/>
  <c r="BR168" i="33" s="1"/>
  <c r="BR152" i="33"/>
  <c r="AZ78" i="33"/>
  <c r="AZ124" i="33" s="1"/>
  <c r="AZ170" i="33" s="1"/>
  <c r="AZ154" i="33"/>
  <c r="AY76" i="33"/>
  <c r="AY152" i="33"/>
  <c r="BB78" i="33"/>
  <c r="BB154" i="33"/>
  <c r="BB76" i="33"/>
  <c r="BB122" i="33" s="1"/>
  <c r="BB168" i="33" s="1"/>
  <c r="BB152" i="33"/>
  <c r="BO78" i="33"/>
  <c r="BO154" i="33"/>
  <c r="BQ78" i="33"/>
  <c r="BQ154" i="33"/>
  <c r="AX78" i="33"/>
  <c r="AX154" i="33"/>
  <c r="AW78" i="33"/>
  <c r="AW124" i="33" s="1"/>
  <c r="AW170" i="33" s="1"/>
  <c r="AW154" i="33"/>
  <c r="BP78" i="33"/>
  <c r="BP154" i="33"/>
  <c r="AX76" i="33"/>
  <c r="AX152" i="33"/>
  <c r="AY78" i="33"/>
  <c r="AY154" i="33"/>
  <c r="AV78" i="33"/>
  <c r="AV124" i="33" s="1"/>
  <c r="AV170" i="33" s="1"/>
  <c r="AV154" i="33"/>
  <c r="BQ76" i="33"/>
  <c r="BQ122" i="33" s="1"/>
  <c r="BQ168" i="33" s="1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W135" i="33" l="1"/>
  <c r="AV135" i="33"/>
  <c r="BB133" i="33"/>
  <c r="BA122" i="33"/>
  <c r="BA168" i="33" s="1"/>
  <c r="BQ133" i="33"/>
  <c r="AZ135" i="33"/>
  <c r="BR133" i="33"/>
  <c r="BC160" i="33"/>
  <c r="BC161" i="33" s="1"/>
  <c r="BC162" i="33" s="1"/>
  <c r="BC133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E146" i="33" l="1"/>
  <c r="CE147" i="33" s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CE148" i="33" l="1"/>
  <c r="AY148" i="33"/>
  <c r="AY163" i="33" s="1"/>
  <c r="CF148" i="33"/>
  <c r="CF163" i="33" s="1"/>
  <c r="CB148" i="33"/>
  <c r="CB163" i="33" s="1"/>
  <c r="AZ147" i="33"/>
  <c r="AZ163" i="33" s="1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C193" i="33"/>
  <c r="C278" i="33"/>
  <c r="B113" i="30"/>
  <c r="B125" i="30" s="1"/>
  <c r="X245" i="31"/>
  <c r="C189" i="33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193" i="33" l="1"/>
  <c r="D277" i="33"/>
  <c r="D189" i="33"/>
  <c r="AK189" i="33" s="1"/>
  <c r="AO189" i="33" s="1"/>
  <c r="AO192" i="33" s="1"/>
  <c r="AL208" i="33" s="1"/>
  <c r="X248" i="31"/>
  <c r="J141" i="31"/>
  <c r="C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L209" i="33" l="1"/>
  <c r="AL207" i="33" s="1"/>
  <c r="D210" i="33" s="1"/>
  <c r="D219" i="33"/>
  <c r="L201" i="24"/>
  <c r="L211" i="24" s="1"/>
  <c r="L218" i="24" s="1"/>
  <c r="L162" i="24"/>
  <c r="K175" i="24"/>
  <c r="K162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K172" i="24"/>
  <c r="K215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M201" i="24"/>
  <c r="M211" i="24" s="1"/>
  <c r="M218" i="24" s="1"/>
  <c r="M162" i="24"/>
  <c r="M172" i="24" s="1"/>
  <c r="M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U185" i="24"/>
  <c r="U216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71" i="33" l="1"/>
  <c r="D159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X198" i="18" l="1"/>
  <c r="X217" i="18" s="1"/>
  <c r="AC7" i="22" s="1"/>
  <c r="BO17" i="23" s="1"/>
  <c r="BO38" i="23" s="1"/>
  <c r="F83" i="30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192" i="33" l="1"/>
  <c r="B167" i="31"/>
  <c r="J167" i="31" s="1"/>
  <c r="C235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36" i="33" l="1"/>
  <c r="C276" i="33"/>
  <c r="J170" i="3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3" i="33" l="1"/>
  <c r="D161" i="33"/>
  <c r="C290" i="33"/>
  <c r="C244" i="33"/>
  <c r="AB237" i="31"/>
  <c r="AC237" i="31" s="1"/>
  <c r="AF237" i="31" s="1"/>
  <c r="B178" i="31" s="1"/>
  <c r="C240" i="33" s="1"/>
  <c r="D243" i="33"/>
  <c r="D235" i="33"/>
  <c r="D236" i="33" s="1"/>
  <c r="D276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292" i="33" l="1"/>
  <c r="D290" i="33"/>
  <c r="D292" i="33" s="1"/>
  <c r="D293" i="33"/>
  <c r="D244" i="33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C294" i="33" l="1"/>
  <c r="D162" i="33"/>
  <c r="D294" i="33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30" i="31"/>
  <c r="C160" i="33"/>
  <c r="J118" i="31"/>
  <c r="C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J145" i="3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D157" i="33"/>
  <c r="C174" i="33"/>
  <c r="D173" i="33"/>
  <c r="D241" i="33"/>
  <c r="D242" i="33" s="1"/>
  <c r="D238" i="33"/>
  <c r="B180" i="31"/>
  <c r="B181" i="31" s="1"/>
  <c r="B175" i="31"/>
  <c r="D174" i="33" l="1"/>
  <c r="C241" i="33"/>
  <c r="C238" i="33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<sst xmlns="http://schemas.openxmlformats.org/spreadsheetml/2006/main" count="3090" uniqueCount="1464">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</sst>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176.90691452215617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6.0848665956521746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139.54061751648698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7.591826595652174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101.05979551996523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25.5</v>
      </c>
      <c r="H18" s="157">
        <f>G18/G17</f>
        <v>0.49514563106796117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4" zoomScale="90" zoomScaleNormal="90" workbookViewId="0">
      <selection activeCell="K27" sqref="K27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7.591826595652174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7.591826595652174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39.540426231478264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29.256152833878261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6.0848665956521746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6.0848665956521746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27.773730579304349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17.377598399095653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41.459999999999994</v>
      </c>
      <c r="E24" s="60">
        <f t="shared" si="21"/>
        <v>24.574999999999996</v>
      </c>
      <c r="F24" s="60">
        <f t="shared" si="21"/>
        <v>30.608716000000001</v>
      </c>
      <c r="G24" s="60">
        <f t="shared" si="21"/>
        <v>16.564178999999999</v>
      </c>
      <c r="H24" s="60">
        <f t="shared" si="21"/>
        <v>19.552895000000003</v>
      </c>
      <c r="I24" s="60">
        <f t="shared" si="21"/>
        <v>0</v>
      </c>
      <c r="J24" s="62"/>
      <c r="K24" s="60">
        <f>AL27+AL49+AL71</f>
        <v>87.031549999999996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39.540426231478264</v>
      </c>
      <c r="E25" s="60">
        <f>BR8</f>
        <v>22.169786130434783</v>
      </c>
      <c r="F25" s="60">
        <f>BR9</f>
        <v>29.256152833878261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1.9195737685217296</v>
      </c>
      <c r="E27" s="92">
        <f t="shared" si="23"/>
        <v>2.4052138695652125</v>
      </c>
      <c r="F27" s="92">
        <f t="shared" si="23"/>
        <v>1.3525631661217403</v>
      </c>
      <c r="G27" s="92">
        <f t="shared" si="23"/>
        <v>12.835552913043477</v>
      </c>
      <c r="H27" s="92">
        <f t="shared" si="23"/>
        <v>13.188090762782611</v>
      </c>
      <c r="I27" s="92">
        <f t="shared" si="23"/>
        <v>0</v>
      </c>
      <c r="J27" s="62"/>
      <c r="K27" s="92">
        <f>K24-K25</f>
        <v>-89.968450000000004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87.031549999999996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27.773730579304349</v>
      </c>
      <c r="E73" s="60">
        <f>BR20</f>
        <v>15.941018130434784</v>
      </c>
      <c r="F73" s="60">
        <f>BR21</f>
        <v>17.377598399095653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1.5262694206956482</v>
      </c>
      <c r="E75" s="92">
        <f t="shared" ref="E75:I75" si="71">E72-E73</f>
        <v>0.25898186956521485</v>
      </c>
      <c r="F75" s="92">
        <f t="shared" si="71"/>
        <v>-7.7598399095652582E-2</v>
      </c>
      <c r="G75" s="92">
        <f t="shared" si="71"/>
        <v>9.75</v>
      </c>
      <c r="H75" s="92">
        <f t="shared" si="71"/>
        <v>5.8334044584347806</v>
      </c>
      <c r="I75" s="92">
        <f t="shared" si="71"/>
        <v>0</v>
      </c>
      <c r="J75" s="62"/>
      <c r="K75" s="92">
        <f>+K27</f>
        <v>-89.968450000000004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opLeftCell="D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4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16.2</v>
      </c>
      <c r="V228" s="61">
        <f t="shared" ref="V228:W228" si="22">SUM(V164:V227)</f>
        <v>11.100000000000001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6.7</v>
      </c>
      <c r="AI228" s="61">
        <f t="shared" si="24"/>
        <v>5.0999999999999996</v>
      </c>
      <c r="AJ228" s="61">
        <f t="shared" si="24"/>
        <v>11.100000000000001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1" sqref="A11:XFD1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2</v>
      </c>
      <c r="D17" s="172">
        <f t="shared" si="18"/>
        <v>2</v>
      </c>
      <c r="E17" s="172">
        <f t="shared" si="18"/>
        <v>2</v>
      </c>
      <c r="F17" s="172">
        <f t="shared" si="18"/>
        <v>3</v>
      </c>
      <c r="G17" s="172">
        <f t="shared" si="18"/>
        <v>3</v>
      </c>
      <c r="H17" s="172">
        <f t="shared" si="18"/>
        <v>4</v>
      </c>
      <c r="I17" s="172">
        <f t="shared" si="18"/>
        <v>4</v>
      </c>
      <c r="J17" s="172">
        <f t="shared" si="18"/>
        <v>4</v>
      </c>
      <c r="K17" s="172">
        <f t="shared" si="18"/>
        <v>4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4</v>
      </c>
      <c r="W17" s="172">
        <f t="shared" si="18"/>
        <v>2</v>
      </c>
      <c r="X17" s="172">
        <f t="shared" si="18"/>
        <v>2</v>
      </c>
      <c r="Y17" s="172">
        <f t="shared" si="18"/>
        <v>2</v>
      </c>
      <c r="Z17" s="172">
        <f t="shared" si="18"/>
        <v>2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7262</v>
      </c>
      <c r="AE20" s="63">
        <v>0</v>
      </c>
      <c r="AF20" s="63">
        <f>SUM(AD20:AE20)</f>
        <v>7262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7262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3</v>
      </c>
      <c r="N25" s="176">
        <f t="shared" si="23"/>
        <v>3</v>
      </c>
      <c r="O25" s="176">
        <f t="shared" si="23"/>
        <v>2</v>
      </c>
      <c r="P25" s="176">
        <f t="shared" si="23"/>
        <v>2</v>
      </c>
      <c r="Q25" s="176">
        <f t="shared" si="23"/>
        <v>3</v>
      </c>
      <c r="R25" s="176">
        <f t="shared" si="23"/>
        <v>3</v>
      </c>
      <c r="S25" s="176">
        <f t="shared" si="23"/>
        <v>3</v>
      </c>
      <c r="T25" s="176">
        <f t="shared" si="23"/>
        <v>3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7262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32.299999999999997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6</v>
      </c>
      <c r="N29" s="176">
        <f>N25*[1]Protect!$B$12</f>
        <v>6</v>
      </c>
      <c r="O29" s="176">
        <f>O25*[1]Protect!$B$12</f>
        <v>4</v>
      </c>
      <c r="P29" s="176">
        <f>P25*[1]Protect!$B$12</f>
        <v>4</v>
      </c>
      <c r="Q29" s="176">
        <f>Q25*[1]Protect!$B$12</f>
        <v>6</v>
      </c>
      <c r="R29" s="176">
        <f>R25*[1]Protect!$B$12</f>
        <v>6</v>
      </c>
      <c r="S29" s="176">
        <f>S25*[1]Protect!$B$12</f>
        <v>6</v>
      </c>
      <c r="T29" s="176">
        <f>T25*[1]Protect!$B$12</f>
        <v>6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6</v>
      </c>
      <c r="N32" s="176">
        <f t="shared" si="28"/>
        <v>6</v>
      </c>
      <c r="O32" s="176">
        <f t="shared" si="28"/>
        <v>7</v>
      </c>
      <c r="P32" s="176">
        <f t="shared" si="28"/>
        <v>7</v>
      </c>
      <c r="Q32" s="176">
        <f t="shared" si="28"/>
        <v>6</v>
      </c>
      <c r="R32" s="176">
        <f t="shared" si="28"/>
        <v>6</v>
      </c>
      <c r="S32" s="176">
        <f t="shared" si="28"/>
        <v>6</v>
      </c>
      <c r="T32" s="176">
        <f t="shared" si="28"/>
        <v>6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0.5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896</v>
      </c>
      <c r="G5" s="172">
        <f>AV117</f>
        <v>42</v>
      </c>
      <c r="H5" s="172">
        <f t="shared" ref="H5:AD5" si="0">AW117</f>
        <v>42</v>
      </c>
      <c r="I5" s="172">
        <f t="shared" si="0"/>
        <v>42</v>
      </c>
      <c r="J5" s="172">
        <f t="shared" si="0"/>
        <v>42</v>
      </c>
      <c r="K5" s="172">
        <f t="shared" si="0"/>
        <v>42</v>
      </c>
      <c r="L5" s="172">
        <f t="shared" si="0"/>
        <v>70</v>
      </c>
      <c r="M5" s="172">
        <f t="shared" si="0"/>
        <v>70</v>
      </c>
      <c r="N5" s="172">
        <f t="shared" si="0"/>
        <v>70</v>
      </c>
      <c r="O5" s="172">
        <f t="shared" si="0"/>
        <v>70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56</v>
      </c>
      <c r="AA5" s="172">
        <f t="shared" si="0"/>
        <v>42</v>
      </c>
      <c r="AB5" s="172">
        <f t="shared" si="0"/>
        <v>42</v>
      </c>
      <c r="AC5" s="172">
        <f t="shared" si="0"/>
        <v>42</v>
      </c>
      <c r="AD5" s="172">
        <f t="shared" si="0"/>
        <v>42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875.04139130434783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30.167565217391306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2527.0413913043481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136.87921739130434</v>
      </c>
      <c r="J13" s="30">
        <f t="shared" si="8"/>
        <v>136.83295652173913</v>
      </c>
      <c r="K13" s="30">
        <f t="shared" si="8"/>
        <v>136.7866956521739</v>
      </c>
      <c r="L13" s="30">
        <f t="shared" si="8"/>
        <v>143.7404347826087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148.80539130434784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126.41756521739131</v>
      </c>
      <c r="AA13" s="30">
        <f t="shared" si="8"/>
        <v>140.41756521739131</v>
      </c>
      <c r="AB13" s="30">
        <f t="shared" si="8"/>
        <v>142.3142608695652</v>
      </c>
      <c r="AC13" s="30">
        <f t="shared" si="8"/>
        <v>137.0642608695652</v>
      </c>
      <c r="AD13" s="30">
        <f t="shared" si="8"/>
        <v>137.0642608695652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672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2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14.58</v>
      </c>
      <c r="C55" s="189">
        <f>IF(B55&gt;[1]Trav!E121,[1]Trav!C121,[1]Trav!B121)</f>
        <v>7.2</v>
      </c>
      <c r="D55"/>
      <c r="E55" s="171"/>
      <c r="F55" s="172">
        <f t="shared" si="32"/>
        <v>105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11.100000000000001</v>
      </c>
      <c r="C56" s="189">
        <f>IF(B56&gt;[1]Trav!E121,[1]Trav!C121,[1]Trav!B121)</f>
        <v>7.2</v>
      </c>
      <c r="D56"/>
      <c r="E56" s="171"/>
      <c r="F56" s="172">
        <f t="shared" si="32"/>
        <v>80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1.6199999999999992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222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222</v>
      </c>
      <c r="AW63" s="172">
        <f>IF(AW18=0,0,IF(AW40=3,0,VALUE(CONCATENATE(Travail!AW29,Travail!AW40,Travail!AW51))))</f>
        <v>222</v>
      </c>
      <c r="AX63" s="172">
        <f>IF(AX18=0,0,IF(AX40=3,0,VALUE(CONCATENATE(Travail!AX29,Travail!AX40,Travail!AX51))))</f>
        <v>222</v>
      </c>
      <c r="AY63" s="172">
        <f>IF(AY18=0,0,IF(AY40=3,0,VALUE(CONCATENATE(Travail!AY29,Travail!AY40,Travail!AY51))))</f>
        <v>222</v>
      </c>
      <c r="AZ63" s="172">
        <f>IF(AZ18=0,0,IF(AZ40=3,0,VALUE(CONCATENATE(Travail!AZ29,Travail!AZ40,Travail!AZ51))))</f>
        <v>222</v>
      </c>
      <c r="BA63" s="172">
        <f>IF(BA18=0,0,IF(BA40=3,0,VALUE(CONCATENATE(Travail!BA29,Travail!BA40,Travail!BA51))))</f>
        <v>222</v>
      </c>
      <c r="BB63" s="172">
        <f>IF(BB18=0,0,IF(BB40=3,0,VALUE(CONCATENATE(Travail!BB29,Travail!BB40,Travail!BB51))))</f>
        <v>222</v>
      </c>
      <c r="BC63" s="172">
        <f>IF(BC18=0,0,IF(BC40=3,0,VALUE(CONCATENATE(Travail!BC29,Travail!BC40,Travail!BC51))))</f>
        <v>222</v>
      </c>
      <c r="BD63" s="172">
        <f>IF(BD18=0,0,IF(BD40=3,0,VALUE(CONCATENATE(Travail!BD29,Travail!BD40,Travail!BD51))))</f>
        <v>222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222</v>
      </c>
      <c r="BP63" s="172">
        <f>IF(BP18=0,0,IF(BP40=3,0,VALUE(CONCATENATE(Travail!BP29,Travail!BP40,Travail!BP51))))</f>
        <v>222</v>
      </c>
      <c r="BQ63" s="172">
        <f>IF(BQ18=0,0,IF(BQ40=3,0,VALUE(CONCATENATE(Travail!BQ29,Travail!BQ40,Travail!BQ51))))</f>
        <v>222</v>
      </c>
      <c r="BR63" s="172">
        <f>IF(BR18=0,0,IF(BR40=3,0,VALUE(CONCATENATE(Travail!BR29,Travail!BR40,Travail!BR51))))</f>
        <v>222</v>
      </c>
      <c r="BS63" s="172">
        <f>IF(BS18=0,0,IF(BS40=3,0,VALUE(CONCATENATE(Travail!BS29,Travail!BS40,Travail!BS51))))</f>
        <v>222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260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22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368.5</v>
      </c>
      <c r="G77" s="45">
        <f t="shared" ref="G77:AD77" si="43">+SUM(G69:G76)</f>
        <v>13.5</v>
      </c>
      <c r="H77" s="45">
        <f t="shared" si="43"/>
        <v>13.5</v>
      </c>
      <c r="I77" s="45">
        <f t="shared" si="43"/>
        <v>13.5</v>
      </c>
      <c r="J77" s="45">
        <f t="shared" si="43"/>
        <v>13.5</v>
      </c>
      <c r="K77" s="45">
        <f t="shared" si="43"/>
        <v>13.5</v>
      </c>
      <c r="L77" s="45">
        <f t="shared" si="43"/>
        <v>23.5</v>
      </c>
      <c r="M77" s="45">
        <f t="shared" si="43"/>
        <v>23.5</v>
      </c>
      <c r="N77" s="45">
        <f t="shared" si="43"/>
        <v>23.5</v>
      </c>
      <c r="O77" s="45">
        <f t="shared" si="43"/>
        <v>23.5</v>
      </c>
      <c r="P77" s="45">
        <f t="shared" si="43"/>
        <v>18.5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23.5</v>
      </c>
      <c r="AA77" s="45">
        <f t="shared" si="43"/>
        <v>13.5</v>
      </c>
      <c r="AB77" s="45">
        <f t="shared" si="43"/>
        <v>13.5</v>
      </c>
      <c r="AC77" s="45">
        <f t="shared" si="43"/>
        <v>13.5</v>
      </c>
      <c r="AD77" s="45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1.29</v>
      </c>
      <c r="C81" s="189">
        <f>[1]Protect!$B$10</f>
        <v>4</v>
      </c>
      <c r="D81" s="171"/>
      <c r="E81" s="171"/>
      <c r="F81" s="172">
        <f>ROUND(C81*B81*8,0)</f>
        <v>41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7.2619999999999996</v>
      </c>
      <c r="C83" s="189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3</v>
      </c>
      <c r="AZ83" s="172">
        <f t="shared" si="50"/>
        <v>3</v>
      </c>
      <c r="BA83" s="172">
        <f t="shared" si="50"/>
        <v>4</v>
      </c>
      <c r="BB83" s="172">
        <f t="shared" si="50"/>
        <v>4</v>
      </c>
      <c r="BC83" s="172">
        <f t="shared" si="50"/>
        <v>4</v>
      </c>
      <c r="BD83" s="172">
        <f t="shared" si="50"/>
        <v>4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3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3</v>
      </c>
      <c r="C86" s="175"/>
      <c r="D86" s="175"/>
      <c r="E86" s="175"/>
      <c r="F86" s="172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1771.0413913043478</v>
      </c>
      <c r="C91" s="5"/>
      <c r="D91" s="201">
        <f>B91/Troupeau!$B$17</f>
        <v>5.8257940503432497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2426.2413913043479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672</v>
      </c>
      <c r="C95" s="5"/>
      <c r="D95" s="201">
        <f>B95/Troupeau!$B$17</f>
        <v>2.2105263157894739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672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31.740434782608695</v>
      </c>
      <c r="BB102" s="61">
        <f t="shared" si="77"/>
        <v>31.694173913043478</v>
      </c>
      <c r="BC102" s="61">
        <f t="shared" si="77"/>
        <v>31.647913043478262</v>
      </c>
      <c r="BD102" s="61">
        <f t="shared" si="77"/>
        <v>31.555391304347829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30.167565217391306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21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259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260</v>
      </c>
      <c r="D109" s="196"/>
      <c r="AT109" s="188" t="str">
        <f t="shared" si="80"/>
        <v>beliers</v>
      </c>
      <c r="AV109" s="189">
        <f>IF(AV63&gt;0,HLOOKUP(AV63,[1]Trav!$C$11:$O$31,$AU$105),0)</f>
        <v>21</v>
      </c>
      <c r="AW109" s="189">
        <f>IF(AW63&gt;0,HLOOKUP(AW63,[1]Trav!$C$11:$O$31,$AU$105),0)</f>
        <v>21</v>
      </c>
      <c r="AX109" s="189">
        <f>IF(AX63&gt;0,HLOOKUP(AX63,[1]Trav!$C$11:$O$31,$AU$105),0)</f>
        <v>21</v>
      </c>
      <c r="AY109" s="189">
        <f>IF(AY63&gt;0,HLOOKUP(AY63,[1]Trav!$C$11:$O$31,$AU$105),0)</f>
        <v>21</v>
      </c>
      <c r="AZ109" s="189">
        <f>IF(AZ63&gt;0,HLOOKUP(AZ63,[1]Trav!$C$11:$O$31,$AU$105),0)</f>
        <v>21</v>
      </c>
      <c r="BA109" s="189">
        <f>IF(BA63&gt;0,HLOOKUP(BA63,[1]Trav!$C$11:$O$31,$AU$105),0)</f>
        <v>21</v>
      </c>
      <c r="BB109" s="189">
        <f>IF(BB63&gt;0,HLOOKUP(BB63,[1]Trav!$C$11:$O$31,$AU$105),0)</f>
        <v>21</v>
      </c>
      <c r="BC109" s="189">
        <f>IF(BC63&gt;0,HLOOKUP(BC63,[1]Trav!$C$11:$O$31,$AU$105),0)</f>
        <v>21</v>
      </c>
      <c r="BD109" s="189">
        <f>IF(BD63&gt;0,HLOOKUP(BD63,[1]Trav!$C$11:$O$31,$AU$105),0)</f>
        <v>21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21</v>
      </c>
      <c r="BP109" s="189">
        <f>IF(BP63&gt;0,HLOOKUP(BP63,[1]Trav!$C$11:$O$31,$AU$105),0)</f>
        <v>21</v>
      </c>
      <c r="BQ109" s="189">
        <f>IF(BQ63&gt;0,HLOOKUP(BQ63,[1]Trav!$C$11:$O$31,$AU$105),0)</f>
        <v>21</v>
      </c>
      <c r="BR109" s="189">
        <f>IF(BR63&gt;0,HLOOKUP(BR63,[1]Trav!$C$11:$O$31,$AU$105),0)</f>
        <v>21</v>
      </c>
      <c r="BS109" s="189">
        <f>IF(BS63&gt;0,HLOOKUP(BS63,[1]Trav!$C$11:$O$31,$AU$105),0)</f>
        <v>21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8.1999999999999993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720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42</v>
      </c>
      <c r="AW117" s="172">
        <f t="shared" ref="AW117:BS117" si="83">SUM(AW106:AW115)</f>
        <v>42</v>
      </c>
      <c r="AX117" s="172">
        <f t="shared" si="83"/>
        <v>42</v>
      </c>
      <c r="AY117" s="172">
        <f t="shared" si="83"/>
        <v>42</v>
      </c>
      <c r="AZ117" s="172">
        <f t="shared" si="83"/>
        <v>42</v>
      </c>
      <c r="BA117" s="172">
        <f t="shared" si="83"/>
        <v>70</v>
      </c>
      <c r="BB117" s="172">
        <f t="shared" si="83"/>
        <v>70</v>
      </c>
      <c r="BC117" s="172">
        <f t="shared" si="83"/>
        <v>70</v>
      </c>
      <c r="BD117" s="172">
        <f t="shared" si="83"/>
        <v>70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56</v>
      </c>
      <c r="BP117" s="172">
        <f t="shared" si="83"/>
        <v>42</v>
      </c>
      <c r="BQ117" s="172">
        <f t="shared" si="83"/>
        <v>42</v>
      </c>
      <c r="BR117" s="172">
        <f t="shared" si="83"/>
        <v>42</v>
      </c>
      <c r="BS117" s="172">
        <f t="shared" si="83"/>
        <v>42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3623.204724637681</v>
      </c>
      <c r="D118" s="201">
        <f>B118/Troupeau!$B$17</f>
        <v>11.918436594202898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4380.4047246376813</v>
      </c>
    </row>
    <row r="123" spans="1:132" x14ac:dyDescent="0.25">
      <c r="A123" s="2" t="s">
        <v>856</v>
      </c>
      <c r="B123" s="30">
        <f>B108</f>
        <v>259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284.5</v>
      </c>
    </row>
    <row r="126" spans="1:132" x14ac:dyDescent="0.25">
      <c r="A126" s="2" t="s">
        <v>872</v>
      </c>
      <c r="B126" s="30">
        <f>B114+B115+B116</f>
        <v>769.2</v>
      </c>
    </row>
    <row r="128" spans="1:132" x14ac:dyDescent="0.25">
      <c r="A128" s="2" t="s">
        <v>873</v>
      </c>
      <c r="B128" s="200">
        <f>SUM(B122:B126)</f>
        <v>6293.1047246376811</v>
      </c>
    </row>
    <row r="129" spans="1:2" x14ac:dyDescent="0.25">
      <c r="A129" s="2" t="s">
        <v>874</v>
      </c>
      <c r="B129" s="30">
        <f>IF(Scénario!K129=1,Travail!F77+Travail!F86,F86)</f>
        <v>1088.5</v>
      </c>
    </row>
    <row r="130" spans="1:2" x14ac:dyDescent="0.25">
      <c r="A130" s="2" t="s">
        <v>875</v>
      </c>
      <c r="B130" s="200">
        <f>ROUND((B128-B129)/(Scénario!K4+Scénario!K6),0)</f>
        <v>3470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R230" zoomScale="90" zoomScaleNormal="90" workbookViewId="0">
      <selection activeCell="T247" sqref="T24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12500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117135.84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89.968450000000004</v>
      </c>
      <c r="C118" s="189">
        <f>IF(Scénario!$K$12="BV",[1]Eco!$B$78,IF(Scénario!$K$12="BL",[1]Eco!$B$77,[1]Eco!$B$76))</f>
        <v>223</v>
      </c>
      <c r="J118" s="172">
        <f>B118*C118</f>
        <v>20062.964350000002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301.5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752.02500000000009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8139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853.58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62590.570350000009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16.2</v>
      </c>
      <c r="X153" t="s">
        <v>52</v>
      </c>
      <c r="Y153" s="172">
        <f>W153-Scénario!K28</f>
        <v>-6</v>
      </c>
      <c r="Z153" s="172">
        <f>Y153-Y156</f>
        <v>-5.4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11.100000000000001</v>
      </c>
      <c r="X154" t="s">
        <v>52</v>
      </c>
      <c r="Y154" s="172">
        <f>W154-Scénario!K29</f>
        <v>-1</v>
      </c>
      <c r="Z154" s="172">
        <f>Y154</f>
        <v>-1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-0.6</v>
      </c>
      <c r="Z156" s="172">
        <f t="shared" si="68"/>
        <v>-0.6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-5.4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-195.48000000000002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-1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-30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-0.6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-93.24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720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7653.6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393.2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4179.7160000000003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36367.487999999998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18177.78164999999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12119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3707.6052778958656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3470.1763721041243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2313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16.2</v>
      </c>
      <c r="V228" s="61">
        <f t="shared" ref="V228:W228" si="84">SUM(V164:V227)</f>
        <v>11.100000000000001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6.7</v>
      </c>
      <c r="AI228" s="61">
        <f t="shared" si="86"/>
        <v>5.0999999999999996</v>
      </c>
      <c r="AJ228" s="61">
        <f t="shared" si="86"/>
        <v>11.100000000000001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7262</v>
      </c>
      <c r="U234" t="s">
        <v>1101</v>
      </c>
      <c r="V234" s="172"/>
      <c r="W234" s="172">
        <f>[1]Protect!$B$4</f>
        <v>6</v>
      </c>
      <c r="X234" s="172">
        <f>T234*W234</f>
        <v>43572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2">
        <f>[1]Protect!$B$83</f>
        <v>2000</v>
      </c>
      <c r="X235" s="172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45572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30072</v>
      </c>
      <c r="AB237" s="30">
        <f>(Scénario!K127/100)*AA237</f>
        <v>0</v>
      </c>
      <c r="AC237" s="30">
        <f>AA237-AB237</f>
        <v>30072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3707.6052778958656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2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</v>
      </c>
      <c r="W246" s="172">
        <f>[1]Eco!$B$106*[1]Eco!$B$108*[1]Eco!$B$109</f>
        <v>2551.2000000000003</v>
      </c>
      <c r="X246" s="172">
        <f>T246*W246</f>
        <v>7653.6</v>
      </c>
    </row>
    <row r="247" spans="17:31" x14ac:dyDescent="0.25">
      <c r="S247" s="14" t="s">
        <v>1116</v>
      </c>
      <c r="T247" s="30">
        <f>Travail!F16/8</f>
        <v>84</v>
      </c>
      <c r="W247" s="172">
        <f>[1]Eco!$B$111</f>
        <v>28.3</v>
      </c>
      <c r="X247" s="172">
        <f>T247*W247</f>
        <v>2377.2000000000003</v>
      </c>
    </row>
    <row r="248" spans="17:31" x14ac:dyDescent="0.25">
      <c r="W248" s="14" t="s">
        <v>1117</v>
      </c>
      <c r="X248" s="172">
        <f>SUM(X245:X247)</f>
        <v>18169.8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18169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233.33333333333334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2">
        <f>IF(T257=0,0,[1]Protect!$B77)</f>
        <v>12500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12500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108.93</v>
      </c>
      <c r="U272" s="172"/>
      <c r="V272" s="172"/>
      <c r="W272" s="172">
        <f>W234</f>
        <v>6</v>
      </c>
      <c r="X272" s="172">
        <f>T272*W272</f>
        <v>653.58000000000004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2</v>
      </c>
      <c r="U274" s="172"/>
      <c r="V274" s="172"/>
      <c r="W274" s="172">
        <f>W271</f>
        <v>100</v>
      </c>
      <c r="X274" s="172">
        <f>T274*W274</f>
        <v>200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Z1_OLBV_T3_Ms1</v>
      </c>
      <c r="D1" s="274" t="str">
        <f>CONCATENATE(C1,"_corr")</f>
        <v>Z1_OLBV_T3_Ms1_corr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16.2</v>
      </c>
      <c r="D85" s="260">
        <f>ROUND(C85*$D$82/$C$82,3)</f>
        <v>17.82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11.100000000000001</v>
      </c>
      <c r="D86" s="260">
        <f t="shared" ref="D86:D97" si="14">ROUND(C86*$D$82/$C$82,3)</f>
        <v>12.21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1.62</v>
      </c>
      <c r="D88" s="260">
        <f t="shared" si="14"/>
        <v>1.782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2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222</v>
      </c>
      <c r="AW122" s="172">
        <f>IF(AW76=0,0,IF(AW99=3,0,VALUE(CONCATENATE(Travail!AW27,Travail!AW38,Travail!AW49))))</f>
        <v>222</v>
      </c>
      <c r="AX122" s="172">
        <f>IF(AX76=0,0,IF(AX99=3,0,VALUE(CONCATENATE(Travail!AX27,Travail!AX38,Travail!AX49))))</f>
        <v>222</v>
      </c>
      <c r="AY122" s="172">
        <f>IF(AY76=0,0,IF(AY99=3,0,VALUE(CONCATENATE(Travail!AY27,Travail!AY38,Travail!AY49))))</f>
        <v>222</v>
      </c>
      <c r="AZ122" s="172">
        <f>IF(AZ76=0,0,IF(AZ99=3,0,VALUE(CONCATENATE(Travail!AZ27,Travail!AZ38,Travail!AZ49))))</f>
        <v>222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222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222</v>
      </c>
      <c r="BS122" s="172">
        <f>IF(BS76=0,0,IF(BS99=3,0,VALUE(CONCATENATE(Travail!BS27,Travail!BS38,Travail!BS49))))</f>
        <v>222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222</v>
      </c>
      <c r="AW124" s="172">
        <f>IF(AW78=0,0,IF(AW101=3,0,VALUE(CONCATENATE(Travail!AW29,Travail!AW40,Travail!AW51))))</f>
        <v>222</v>
      </c>
      <c r="AX124" s="172">
        <f>IF(AX78=0,0,IF(AX101=3,0,VALUE(CONCATENATE(Travail!AX29,Travail!AX40,Travail!AX51))))</f>
        <v>222</v>
      </c>
      <c r="AY124" s="172">
        <f>IF(AY78=0,0,IF(AY101=3,0,VALUE(CONCATENATE(Travail!AY29,Travail!AY40,Travail!AY51))))</f>
        <v>222</v>
      </c>
      <c r="AZ124" s="172">
        <f>IF(AZ78=0,0,IF(AZ101=3,0,VALUE(CONCATENATE(Travail!AZ29,Travail!AZ40,Travail!AZ51))))</f>
        <v>222</v>
      </c>
      <c r="BA124" s="172">
        <f>IF(BA78=0,0,IF(BA101=3,0,VALUE(CONCATENATE(Travail!BA29,Travail!BA40,Travail!BA51))))</f>
        <v>222</v>
      </c>
      <c r="BB124" s="172">
        <f>IF(BB78=0,0,IF(BB101=3,0,VALUE(CONCATENATE(Travail!BB29,Travail!BB40,Travail!BB51))))</f>
        <v>222</v>
      </c>
      <c r="BC124" s="172">
        <f>IF(BC78=0,0,IF(BC101=3,0,VALUE(CONCATENATE(Travail!BC29,Travail!BC40,Travail!BC51))))</f>
        <v>222</v>
      </c>
      <c r="BD124" s="172">
        <f>IF(BD78=0,0,IF(BD101=3,0,VALUE(CONCATENATE(Travail!BD29,Travail!BD40,Travail!BD51))))</f>
        <v>222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222</v>
      </c>
      <c r="BP124" s="172">
        <f>IF(BP78=0,0,IF(BP101=3,0,VALUE(CONCATENATE(Travail!BP29,Travail!BP40,Travail!BP51))))</f>
        <v>222</v>
      </c>
      <c r="BQ124" s="172">
        <f>IF(BQ78=0,0,IF(BQ101=3,0,VALUE(CONCATENATE(Travail!BQ29,Travail!BQ40,Travail!BQ51))))</f>
        <v>222</v>
      </c>
      <c r="BR124" s="172">
        <f>IF(BR78=0,0,IF(BR101=3,0,VALUE(CONCATENATE(Travail!BR29,Travail!BR40,Travail!BR51))))</f>
        <v>222</v>
      </c>
      <c r="BS124" s="172">
        <f>IF(BS78=0,0,IF(BS101=3,0,VALUE(CONCATENATE(Travail!BS29,Travail!BS40,Travail!BS51))))</f>
        <v>222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22</v>
      </c>
      <c r="AW135" s="172">
        <f t="shared" si="39"/>
        <v>22</v>
      </c>
      <c r="AX135" s="172">
        <f t="shared" si="39"/>
        <v>22</v>
      </c>
      <c r="AY135" s="172">
        <f t="shared" si="39"/>
        <v>22</v>
      </c>
      <c r="AZ135" s="172">
        <f t="shared" si="39"/>
        <v>22</v>
      </c>
      <c r="BA135" s="172">
        <f t="shared" si="39"/>
        <v>22</v>
      </c>
      <c r="BB135" s="172">
        <f t="shared" si="39"/>
        <v>22</v>
      </c>
      <c r="BC135" s="172">
        <f t="shared" si="39"/>
        <v>22</v>
      </c>
      <c r="BD135" s="172">
        <f t="shared" si="39"/>
        <v>22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22</v>
      </c>
      <c r="BP135" s="172">
        <f t="shared" si="39"/>
        <v>22</v>
      </c>
      <c r="BQ135" s="172">
        <f t="shared" si="39"/>
        <v>22</v>
      </c>
      <c r="BR135" s="172">
        <f t="shared" si="39"/>
        <v>22</v>
      </c>
      <c r="BS135" s="172">
        <f t="shared" si="39"/>
        <v>22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0.53125</v>
      </c>
      <c r="D136" s="261">
        <f t="shared" si="25"/>
        <v>0.53125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2</v>
      </c>
      <c r="AW144" s="172">
        <f t="shared" ref="AW144:BS144" si="64">COUNTIF(AW$132:AW$141,22)</f>
        <v>2</v>
      </c>
      <c r="AX144" s="172">
        <f t="shared" si="64"/>
        <v>2</v>
      </c>
      <c r="AY144" s="172">
        <f t="shared" si="64"/>
        <v>3</v>
      </c>
      <c r="AZ144" s="172">
        <f t="shared" si="64"/>
        <v>3</v>
      </c>
      <c r="BA144" s="172">
        <f t="shared" si="64"/>
        <v>4</v>
      </c>
      <c r="BB144" s="172">
        <f t="shared" si="64"/>
        <v>4</v>
      </c>
      <c r="BC144" s="172">
        <f t="shared" si="64"/>
        <v>4</v>
      </c>
      <c r="BD144" s="172">
        <f t="shared" si="64"/>
        <v>4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3</v>
      </c>
      <c r="BP144" s="172">
        <f t="shared" si="64"/>
        <v>2</v>
      </c>
      <c r="BQ144" s="172">
        <f t="shared" si="64"/>
        <v>2</v>
      </c>
      <c r="BR144" s="172">
        <f t="shared" si="64"/>
        <v>2</v>
      </c>
      <c r="BS144" s="172">
        <f t="shared" si="64"/>
        <v>2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32.989478260869561</v>
      </c>
      <c r="BB163" s="61">
        <f t="shared" si="92"/>
        <v>32.938591304347824</v>
      </c>
      <c r="BC163" s="61">
        <f t="shared" si="92"/>
        <v>32.887704347826087</v>
      </c>
      <c r="BD163" s="61">
        <f t="shared" si="92"/>
        <v>32.785930434782607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31.259321739130435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21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132.76078999999999</v>
      </c>
      <c r="D169" s="262">
        <f t="shared" si="50"/>
        <v>146.036869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101.05979551996523</v>
      </c>
      <c r="D170" s="262">
        <f t="shared" si="50"/>
        <v>111.16577507196176</v>
      </c>
      <c r="AT170" s="188" t="str">
        <f t="shared" si="95"/>
        <v>beliers</v>
      </c>
      <c r="AV170" s="189">
        <f>IF(AV124&gt;0,HLOOKUP(AV124,[1]Trav!$C$11:$O$31,$AU$166),0)</f>
        <v>21</v>
      </c>
      <c r="AW170" s="189">
        <f>IF(AW124&gt;0,HLOOKUP(AW124,[1]Trav!$C$11:$O$31,$AU$166),0)</f>
        <v>21</v>
      </c>
      <c r="AX170" s="189">
        <f>IF(AX124&gt;0,HLOOKUP(AX124,[1]Trav!$C$11:$O$31,$AU$166),0)</f>
        <v>21</v>
      </c>
      <c r="AY170" s="189">
        <f>IF(AY124&gt;0,HLOOKUP(AY124,[1]Trav!$C$11:$O$31,$AU$166),0)</f>
        <v>21</v>
      </c>
      <c r="AZ170" s="189">
        <f>IF(AZ124&gt;0,HLOOKUP(AZ124,[1]Trav!$C$11:$O$31,$AU$166),0)</f>
        <v>21</v>
      </c>
      <c r="BA170" s="189">
        <f>IF(BA124&gt;0,HLOOKUP(BA124,[1]Trav!$C$11:$O$31,$AU$166),0)</f>
        <v>21</v>
      </c>
      <c r="BB170" s="189">
        <f>IF(BB124&gt;0,HLOOKUP(BB124,[1]Trav!$C$11:$O$31,$AU$166),0)</f>
        <v>21</v>
      </c>
      <c r="BC170" s="189">
        <f>IF(BC124&gt;0,HLOOKUP(BC124,[1]Trav!$C$11:$O$31,$AU$166),0)</f>
        <v>21</v>
      </c>
      <c r="BD170" s="189">
        <f>IF(BD124&gt;0,HLOOKUP(BD124,[1]Trav!$C$11:$O$31,$AU$166),0)</f>
        <v>21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21</v>
      </c>
      <c r="BP170" s="189">
        <f>IF(BP124&gt;0,HLOOKUP(BP124,[1]Trav!$C$11:$O$31,$AU$166),0)</f>
        <v>21</v>
      </c>
      <c r="BQ170" s="189">
        <f>IF(BQ124&gt;0,HLOOKUP(BQ124,[1]Trav!$C$11:$O$31,$AU$166),0)</f>
        <v>21</v>
      </c>
      <c r="BR170" s="189">
        <f>IF(BR124&gt;0,HLOOKUP(BR124,[1]Trav!$C$11:$O$31,$AU$166),0)</f>
        <v>21</v>
      </c>
      <c r="BS170" s="189">
        <f>IF(BS124&gt;0,HLOOKUP(BS124,[1]Trav!$C$11:$O$31,$AU$166),0)</f>
        <v>21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87.031549999999996</v>
      </c>
      <c r="D171" s="262">
        <f t="shared" si="50"/>
        <v>95.734704999999991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177</v>
      </c>
      <c r="D172" s="262">
        <f t="shared" si="50"/>
        <v>194.7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31.700994480034751</v>
      </c>
      <c r="D173" s="262">
        <f t="shared" si="50"/>
        <v>34.871093928038228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76.099999999999994</v>
      </c>
      <c r="D174" s="262">
        <f t="shared" si="50"/>
        <v>83.71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-89.968450000000004</v>
      </c>
      <c r="D175" s="262">
        <f>C175*$D$82/$C$82</f>
        <v>-98.965295000000012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89.968450000000004</v>
      </c>
      <c r="D176" s="262">
        <f>C176*$D$82/$C$82</f>
        <v>98.965295000000012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68</v>
      </c>
      <c r="D178" s="172">
        <f>ROUND((D170+D171)/(D170+D172),2)*100</f>
        <v>68</v>
      </c>
      <c r="AT178" s="40" t="s">
        <v>865</v>
      </c>
      <c r="AV178" s="172">
        <f>SUM(AV167:AV176)</f>
        <v>42</v>
      </c>
      <c r="AW178" s="172">
        <f t="shared" ref="AW178:BS178" si="98">SUM(AW167:AW176)</f>
        <v>42</v>
      </c>
      <c r="AX178" s="172">
        <f t="shared" si="98"/>
        <v>42</v>
      </c>
      <c r="AY178" s="172">
        <f t="shared" si="98"/>
        <v>42</v>
      </c>
      <c r="AZ178" s="172">
        <f t="shared" si="98"/>
        <v>42</v>
      </c>
      <c r="BA178" s="172">
        <f t="shared" si="98"/>
        <v>70</v>
      </c>
      <c r="BB178" s="172">
        <f t="shared" si="98"/>
        <v>70</v>
      </c>
      <c r="BC178" s="172">
        <f t="shared" si="98"/>
        <v>70</v>
      </c>
      <c r="BD178" s="172">
        <f t="shared" si="98"/>
        <v>70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56</v>
      </c>
      <c r="BP178" s="172">
        <f t="shared" si="98"/>
        <v>42</v>
      </c>
      <c r="BQ178" s="172">
        <f t="shared" si="98"/>
        <v>42</v>
      </c>
      <c r="BR178" s="172">
        <f t="shared" si="98"/>
        <v>42</v>
      </c>
      <c r="BS178" s="172">
        <f t="shared" si="98"/>
        <v>42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7262</v>
      </c>
      <c r="D183" s="263">
        <f>ROUND(D184*D185,0)</f>
        <v>7994</v>
      </c>
      <c r="E183" s="17" t="s">
        <v>1295</v>
      </c>
    </row>
    <row r="184" spans="1:132" x14ac:dyDescent="0.25">
      <c r="B184" s="14" t="s">
        <v>1296</v>
      </c>
      <c r="C184" s="172">
        <f>Protection!AK26</f>
        <v>32.299999999999997</v>
      </c>
      <c r="D184" s="264">
        <f>C184*D82/C82</f>
        <v>35.53</v>
      </c>
    </row>
    <row r="185" spans="1:132" x14ac:dyDescent="0.25">
      <c r="B185" s="14" t="s">
        <v>1297</v>
      </c>
      <c r="C185" s="172">
        <f>IF(C183=0,0,ROUND(C183/C184,0))</f>
        <v>225</v>
      </c>
      <c r="D185" s="172">
        <f>C185</f>
        <v>225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1</v>
      </c>
      <c r="D187" s="172">
        <f>C187</f>
        <v>1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9</v>
      </c>
      <c r="D189" s="172">
        <f t="shared" si="101"/>
        <v>9</v>
      </c>
      <c r="AH189" s="15"/>
      <c r="AJ189" s="14" t="s">
        <v>1114</v>
      </c>
      <c r="AK189" s="30">
        <f>D189</f>
        <v>9</v>
      </c>
      <c r="AO189" s="172">
        <f>ROUND((([1]Protect!$B$5/[1]Protect!$B$11)+[1]Protect!$B$8)*AK189,0)</f>
        <v>8139</v>
      </c>
    </row>
    <row r="190" spans="1:132" x14ac:dyDescent="0.25">
      <c r="B190" s="14" t="s">
        <v>1302</v>
      </c>
      <c r="C190" s="172">
        <f>'Calcul éco'!T246*(30)</f>
        <v>90</v>
      </c>
      <c r="D190" s="172">
        <f>C190</f>
        <v>90</v>
      </c>
      <c r="AH190" s="15"/>
      <c r="AJ190" s="14" t="s">
        <v>1115</v>
      </c>
      <c r="AK190" s="30">
        <f>D190/30</f>
        <v>3</v>
      </c>
      <c r="AN190" s="172">
        <f>[1]Eco!$B$106*[1]Eco!$B$108*[1]Eco!$B$109</f>
        <v>2551.2000000000003</v>
      </c>
      <c r="AO190" s="172">
        <f>AK190*AN190</f>
        <v>7653.6</v>
      </c>
    </row>
    <row r="191" spans="1:132" x14ac:dyDescent="0.25">
      <c r="B191" s="14" t="s">
        <v>1303</v>
      </c>
      <c r="C191" s="197">
        <f>ROUND(SUM(Travail!F69:F74)/8,1)</f>
        <v>32.5</v>
      </c>
      <c r="D191" s="172">
        <f>C191</f>
        <v>32.5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84</v>
      </c>
      <c r="AN191" s="172">
        <f>[1]Eco!$B$111</f>
        <v>28.3</v>
      </c>
      <c r="AO191" s="172">
        <f>AK191*AN191</f>
        <v>2377.2000000000003</v>
      </c>
    </row>
    <row r="192" spans="1:132" x14ac:dyDescent="0.25">
      <c r="B192" s="14" t="s">
        <v>1307</v>
      </c>
      <c r="C192" s="172">
        <f>(Travail!F83+Travail!F84)/8</f>
        <v>1.0249999999999999</v>
      </c>
      <c r="D192" s="265">
        <f>ROUND((D183/1000)*([1]Protect!$B$25*8/10+[1]Protect!$B$26),2)/8</f>
        <v>1.1287499999999999</v>
      </c>
      <c r="E192" s="17" t="s">
        <v>1308</v>
      </c>
      <c r="I192" s="5"/>
      <c r="AN192" s="14" t="s">
        <v>1117</v>
      </c>
      <c r="AO192" s="172">
        <f>SUM(AO189:AO191)</f>
        <v>18169.8</v>
      </c>
    </row>
    <row r="193" spans="1:43" x14ac:dyDescent="0.25">
      <c r="B193" s="14" t="s">
        <v>1309</v>
      </c>
      <c r="C193" s="172">
        <f>(Travail!F75+Travail!F76+Travail!F81)/8</f>
        <v>18.6875</v>
      </c>
      <c r="D193" s="172">
        <f>C193</f>
        <v>18.6875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256.66666666666669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1</v>
      </c>
      <c r="AK201" s="172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12500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12500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55249.2</v>
      </c>
      <c r="D211" s="263">
        <f>ROUND(SUM(D201:D210),0)</f>
        <v>55174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119.91</v>
      </c>
      <c r="AK216" s="172"/>
      <c r="AL216" s="172"/>
      <c r="AM216" s="172">
        <f>'Calcul éco'!W272</f>
        <v>6</v>
      </c>
      <c r="AN216" s="172">
        <f>AJ216*AM216</f>
        <v>719.46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1362.126</v>
      </c>
      <c r="D217" s="260">
        <f t="shared" si="106"/>
        <v>1498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21596.164350000003</v>
      </c>
      <c r="D218" s="260">
        <f t="shared" si="106"/>
        <v>23756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2</v>
      </c>
      <c r="AK218" s="172"/>
      <c r="AL218" s="172"/>
      <c r="AM218" s="172">
        <f>'Calcul éco'!W274</f>
        <v>100</v>
      </c>
      <c r="AN218" s="172">
        <f>AJ218*AM218</f>
        <v>200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8139</v>
      </c>
      <c r="D219" s="260">
        <f t="shared" si="106"/>
        <v>8953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853.58</v>
      </c>
      <c r="D220" s="263">
        <f>SUM(AN215:AN219)</f>
        <v>919.46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62591</v>
      </c>
      <c r="D221" s="263">
        <f>ROUND(SUM(D216:D220),0)</f>
        <v>68830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7994</v>
      </c>
      <c r="AL225" t="s">
        <v>1101</v>
      </c>
      <c r="AM225" s="172"/>
      <c r="AN225" s="172">
        <f>[1]Protect!$B$4</f>
        <v>6</v>
      </c>
      <c r="AO225" s="172">
        <f>AK225*AN225</f>
        <v>47964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1</v>
      </c>
      <c r="AN226" s="172">
        <f>[1]Protect!$B$83</f>
        <v>2000</v>
      </c>
      <c r="AO226" s="172">
        <f t="shared" ref="AO226:AO227" si="108">AK226*AN226</f>
        <v>2000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49964</v>
      </c>
      <c r="AQ228" s="30">
        <f>IF(Scénario!K84=1,MIN(0.8*AO228,[1]Protect!$B$68),IF(Scénario!K84=2,MIN(0.8*AO228,[1]Protect!$B$67),0))</f>
        <v>15500</v>
      </c>
      <c r="AR228" s="30">
        <f>AO228-AQ228</f>
        <v>34464</v>
      </c>
      <c r="AS228" s="30">
        <f>(1-Scénario!K127/100)*AR228</f>
        <v>34464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-195.48000000000002</v>
      </c>
      <c r="D230" s="260">
        <f t="shared" si="109"/>
        <v>-215</v>
      </c>
    </row>
    <row r="231" spans="1:49" x14ac:dyDescent="0.25">
      <c r="B231" s="14" t="s">
        <v>1083</v>
      </c>
      <c r="C231" s="172">
        <f>'Calcul éco'!J159</f>
        <v>-30</v>
      </c>
      <c r="D231" s="260">
        <f t="shared" si="109"/>
        <v>-33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-93.24</v>
      </c>
      <c r="D233" s="260">
        <f t="shared" si="109"/>
        <v>-103</v>
      </c>
    </row>
    <row r="234" spans="1:49" x14ac:dyDescent="0.25">
      <c r="B234" s="14" t="s">
        <v>1352</v>
      </c>
      <c r="C234" s="172">
        <f>'Calcul éco'!J166</f>
        <v>7653.6</v>
      </c>
      <c r="D234" s="172">
        <f>C234</f>
        <v>7653.6</v>
      </c>
    </row>
    <row r="235" spans="1:49" x14ac:dyDescent="0.25">
      <c r="B235" s="14" t="s">
        <v>1353</v>
      </c>
      <c r="C235" s="172">
        <f>'Calcul éco'!J167</f>
        <v>4179.7160000000003</v>
      </c>
      <c r="D235" s="263">
        <f>(D191+D192)*8*[1]Eco!$B$106</f>
        <v>2859.7889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36367</v>
      </c>
      <c r="D236" s="263">
        <f>ROUND(SUM(D222:D235),0)</f>
        <v>36882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18177.199999999997</v>
      </c>
      <c r="D237" s="263">
        <f>D194+D211-D221-D236</f>
        <v>17537</v>
      </c>
    </row>
    <row r="238" spans="1:49" x14ac:dyDescent="0.25">
      <c r="B238" s="210" t="s">
        <v>1090</v>
      </c>
      <c r="C238" s="172">
        <f>ROUND(C237/Scénario!$K$4,0)</f>
        <v>12118</v>
      </c>
      <c r="D238" s="263">
        <f>ROUND(D237/D83,0)</f>
        <v>8769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3707.6052778958656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3470</v>
      </c>
      <c r="D241" s="267">
        <f>ROUND(D237-D239-D240,0)</f>
        <v>6537</v>
      </c>
    </row>
    <row r="242" spans="1:15" x14ac:dyDescent="0.25">
      <c r="B242" s="210" t="s">
        <v>1094</v>
      </c>
      <c r="C242" s="172">
        <f>ROUND(C241/Scénario!K4,0)</f>
        <v>2313</v>
      </c>
      <c r="D242" s="263">
        <f>ROUND(D241/D83,0)</f>
        <v>3269</v>
      </c>
    </row>
    <row r="243" spans="1:15" x14ac:dyDescent="0.25">
      <c r="B243" s="210" t="s">
        <v>1357</v>
      </c>
      <c r="C243" s="172">
        <f>'Calcul éco'!X237+'Calcul éco'!X240</f>
        <v>45572</v>
      </c>
      <c r="D243" s="172">
        <f>C243</f>
        <v>45572</v>
      </c>
    </row>
    <row r="244" spans="1:15" x14ac:dyDescent="0.25">
      <c r="B244" s="210" t="s">
        <v>1358</v>
      </c>
      <c r="C244" s="172">
        <f>'Calcul éco'!AA237+'Calcul éco'!AA240</f>
        <v>30072</v>
      </c>
      <c r="D244" s="172">
        <f>C244</f>
        <v>30072</v>
      </c>
    </row>
    <row r="245" spans="1:15" x14ac:dyDescent="0.25">
      <c r="A245" s="2" t="s">
        <v>1359</v>
      </c>
      <c r="B245" s="14" t="s">
        <v>568</v>
      </c>
      <c r="C245" s="269">
        <f>Travail!F5</f>
        <v>896</v>
      </c>
      <c r="D245" s="172">
        <f>C245</f>
        <v>896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875.04139130434783</v>
      </c>
      <c r="D248" s="263">
        <f>ROUND(SUM(AV163:BS163),1)</f>
        <v>897.4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672</v>
      </c>
      <c r="D251" s="172">
        <f>C251</f>
        <v>672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16.038</v>
      </c>
      <c r="L258" s="189">
        <f>IF(K258&gt;[1]Trav!E121,[1]Trav!C121,[1]Trav!B121)</f>
        <v>7.2</v>
      </c>
      <c r="N258" s="273"/>
      <c r="O258">
        <f t="shared" si="114"/>
        <v>115.4736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12.21</v>
      </c>
      <c r="L259" s="189">
        <f>IF(K259&gt;[1]Trav!E121,[1]Trav!C121,[1]Trav!B121)</f>
        <v>7.2</v>
      </c>
      <c r="N259" s="273"/>
      <c r="O259">
        <f t="shared" si="114"/>
        <v>87.912000000000006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1.782</v>
      </c>
      <c r="L261" s="189">
        <f>IF(K261&gt;[1]Trav!E122,[1]Trav!C122,[1]Trav!B122)</f>
        <v>4.4000000000000004</v>
      </c>
      <c r="M261" s="5"/>
      <c r="N261" s="273"/>
      <c r="O261">
        <f t="shared" si="114"/>
        <v>7.8408000000000007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105</v>
      </c>
      <c r="D267" s="263">
        <f t="shared" si="116"/>
        <v>115</v>
      </c>
    </row>
    <row r="268" spans="1:15" x14ac:dyDescent="0.25">
      <c r="B268" s="32" t="s">
        <v>791</v>
      </c>
      <c r="C268" s="269">
        <f>Travail!F56</f>
        <v>80</v>
      </c>
      <c r="D268" s="263">
        <f t="shared" si="116"/>
        <v>88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260</v>
      </c>
      <c r="D275" s="172">
        <f>C275</f>
        <v>260</v>
      </c>
    </row>
    <row r="276" spans="1:4" x14ac:dyDescent="0.25">
      <c r="A276" s="23"/>
      <c r="B276" s="32" t="s">
        <v>1369</v>
      </c>
      <c r="C276" s="269">
        <f>C192*8</f>
        <v>8.1999999999999993</v>
      </c>
      <c r="D276" s="263">
        <f>D192*8</f>
        <v>9.0299999999999994</v>
      </c>
    </row>
    <row r="277" spans="1:4" x14ac:dyDescent="0.25">
      <c r="B277" s="32" t="s">
        <v>1420</v>
      </c>
      <c r="C277" s="269">
        <f>Travail!F75+Travail!F81</f>
        <v>125</v>
      </c>
      <c r="D277" s="172">
        <f>C277</f>
        <v>125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720</v>
      </c>
      <c r="D279" s="269">
        <f>C279</f>
        <v>720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3623</v>
      </c>
      <c r="D281" s="263">
        <f>ROUND(D245+D248+D251+D254+D257+D260+D261,0)</f>
        <v>3741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11.92</v>
      </c>
      <c r="D284" s="172">
        <f>ROUND(D281/(Troupeau!$B$17*G63),2)</f>
        <v>11.19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4380</v>
      </c>
      <c r="D287" s="263">
        <f>SUM(D281:D283)</f>
        <v>4508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259</v>
      </c>
      <c r="D289" s="263">
        <f>SUM(D262:D271)</f>
        <v>285</v>
      </c>
    </row>
    <row r="290" spans="2:4" x14ac:dyDescent="0.25">
      <c r="B290" s="14" t="s">
        <v>1422</v>
      </c>
      <c r="C290" s="269">
        <f>C275+C276+C277</f>
        <v>393.2</v>
      </c>
      <c r="D290" s="276">
        <f>D275+D276+D277</f>
        <v>394.03</v>
      </c>
    </row>
    <row r="291" spans="2:4" x14ac:dyDescent="0.25">
      <c r="B291" s="14" t="s">
        <v>1423</v>
      </c>
      <c r="C291" s="269">
        <f>C278+C279+C280</f>
        <v>744.5</v>
      </c>
      <c r="D291" s="269">
        <f>D278+D279+D280</f>
        <v>744.5</v>
      </c>
    </row>
    <row r="292" spans="2:4" x14ac:dyDescent="0.25">
      <c r="B292" s="14" t="s">
        <v>873</v>
      </c>
      <c r="C292" s="172">
        <f>ROUND(SUM(C287:C291),0)</f>
        <v>6377</v>
      </c>
      <c r="D292" s="263">
        <f>ROUND(SUM(D287:D291),0)</f>
        <v>6532</v>
      </c>
    </row>
    <row r="293" spans="2:4" x14ac:dyDescent="0.25">
      <c r="B293" s="14" t="s">
        <v>874</v>
      </c>
      <c r="C293" s="172">
        <f>ROUND(IF(Scénario!$K$129=1,SUM(C275:C280),SUM(C278:C280)),0)</f>
        <v>1138</v>
      </c>
      <c r="D293" s="172">
        <f>ROUND(IF(Scénario!$K$129=1,SUM(D275:D280),SUM(D278:D280)),0)</f>
        <v>1139</v>
      </c>
    </row>
    <row r="294" spans="2:4" x14ac:dyDescent="0.25">
      <c r="B294" s="14" t="s">
        <v>875</v>
      </c>
      <c r="C294" s="172">
        <f>ROUND((C292-C293)/C83,0)</f>
        <v>3493</v>
      </c>
      <c r="D294" s="172">
        <f>ROUND((D292-D293)/D83,0)</f>
        <v>2697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43572</v>
      </c>
    </row>
    <row r="308" spans="2:3" x14ac:dyDescent="0.25">
      <c r="B308" s="14" t="s">
        <v>1460</v>
      </c>
      <c r="C308" s="172">
        <f>'Calcul éco'!X235</f>
        <v>2000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0.5</v>
      </c>
      <c r="C55" s="59">
        <v>0.5</v>
      </c>
      <c r="D55" s="59">
        <v>0.5</v>
      </c>
      <c r="E55" s="59">
        <v>0.5</v>
      </c>
      <c r="F55" s="59">
        <v>0.5</v>
      </c>
      <c r="G55" s="59">
        <v>0.5</v>
      </c>
      <c r="H55" s="59">
        <v>0.5</v>
      </c>
      <c r="I55" s="59">
        <v>0.5</v>
      </c>
      <c r="J55" s="59">
        <v>0.5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0.5</v>
      </c>
      <c r="V55" s="59">
        <v>0.5</v>
      </c>
      <c r="W55" s="59">
        <v>0.5</v>
      </c>
      <c r="X55" s="59">
        <v>0.5</v>
      </c>
      <c r="Y55" s="59">
        <v>0.5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8.6045217391304369</v>
      </c>
      <c r="C66" s="60">
        <f t="shared" si="21"/>
        <v>8.6045217391304369</v>
      </c>
      <c r="D66" s="60">
        <f t="shared" si="21"/>
        <v>7.7718260869565237</v>
      </c>
      <c r="E66" s="60">
        <f t="shared" si="21"/>
        <v>7.7718260869565237</v>
      </c>
      <c r="F66" s="60">
        <f t="shared" si="21"/>
        <v>8.6045217391304369</v>
      </c>
      <c r="G66" s="60">
        <f t="shared" si="21"/>
        <v>8.6045217391304369</v>
      </c>
      <c r="H66" s="60">
        <f t="shared" si="21"/>
        <v>8.3269565217391328</v>
      </c>
      <c r="I66" s="60">
        <f t="shared" si="21"/>
        <v>8.3269565217391328</v>
      </c>
      <c r="J66" s="60">
        <f t="shared" si="21"/>
        <v>8.6045217391304369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8.6045217391304369</v>
      </c>
      <c r="V66" s="60">
        <f t="shared" si="21"/>
        <v>8.3269565217391328</v>
      </c>
      <c r="W66" s="60">
        <f t="shared" si="21"/>
        <v>8.3269565217391328</v>
      </c>
      <c r="X66" s="60">
        <f t="shared" si="21"/>
        <v>8.6045217391304369</v>
      </c>
      <c r="Y66" s="60">
        <f t="shared" si="21"/>
        <v>8.6045217391304369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639</v>
      </c>
      <c r="C73" s="63">
        <f t="shared" ref="C73:Y73" si="28">ROUND(SUM(C63:C72),0)</f>
        <v>634</v>
      </c>
      <c r="D73" s="63">
        <f t="shared" si="28"/>
        <v>567</v>
      </c>
      <c r="E73" s="63">
        <f t="shared" si="28"/>
        <v>312</v>
      </c>
      <c r="F73" s="63">
        <f t="shared" si="28"/>
        <v>344</v>
      </c>
      <c r="G73" s="63">
        <f t="shared" si="28"/>
        <v>328</v>
      </c>
      <c r="H73" s="63">
        <f t="shared" si="28"/>
        <v>316</v>
      </c>
      <c r="I73" s="63">
        <f t="shared" si="28"/>
        <v>314</v>
      </c>
      <c r="J73" s="63">
        <f t="shared" si="28"/>
        <v>344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338</v>
      </c>
      <c r="V73" s="63">
        <f t="shared" si="28"/>
        <v>620</v>
      </c>
      <c r="W73" s="63">
        <f t="shared" si="28"/>
        <v>619</v>
      </c>
      <c r="X73" s="63">
        <f t="shared" si="28"/>
        <v>639</v>
      </c>
      <c r="Y73" s="63">
        <f t="shared" si="28"/>
        <v>639</v>
      </c>
      <c r="Z73" s="51"/>
      <c r="AA73" s="55">
        <f>ROUND(SUM(B73:Y73),0)</f>
        <v>7841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9" activePane="bottomLeft" state="frozen"/>
      <selection pane="bottomLeft" activeCell="Q123" sqref="Q123:R123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2023-01-16T17:46:47Z</dcterms:modified>
</cp:coreProperties>
</file>